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comments6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omments15.xml" ContentType="application/vnd.openxmlformats-officedocument.spreadsheetml.comments+xml"/>
  <Override PartName="/xl/comments9.xml" ContentType="application/vnd.openxmlformats-officedocument.spreadsheetml.comments+xml"/>
  <Override PartName="/xl/comments8.xml" ContentType="application/vnd.openxmlformats-officedocument.spreadsheetml.comments+xml"/>
  <Override PartName="/xl/comments5.xml" ContentType="application/vnd.openxmlformats-officedocument.spreadsheetml.comments+xml"/>
  <Override PartName="/xl/comments7.xml" ContentType="application/vnd.openxmlformats-officedocument.spreadsheetml.comments+xml"/>
  <Override PartName="/xl/comments10.xml" ContentType="application/vnd.openxmlformats-officedocument.spreadsheetml.comments+xml"/>
  <Override PartName="/xl/comments2.xml" ContentType="application/vnd.openxmlformats-officedocument.spreadsheetml.comments+xml"/>
  <Override PartName="/xl/comments14.xml" ContentType="application/vnd.openxmlformats-officedocument.spreadsheetml.comments+xml"/>
  <Override PartName="/xl/comments13.xml" ContentType="application/vnd.openxmlformats-officedocument.spreadsheetml.comments+xml"/>
  <Override PartName="/xl/comments3.xml" ContentType="application/vnd.openxmlformats-officedocument.spreadsheetml.comments+xml"/>
  <Override PartName="/xl/comments12.xml" ContentType="application/vnd.openxmlformats-officedocument.spreadsheetml.comments+xml"/>
  <Override PartName="/xl/comments11.xml" ContentType="application/vnd.openxmlformats-officedocument.spreadsheetml.comments+xml"/>
  <Override PartName="/xl/comments4.xml" ContentType="application/vnd.openxmlformats-officedocument.spreadsheetml.comments+xml"/>
  <Override PartName="/xl/comments16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715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Kaj/RushFiles/Energistatistik+LEKS+2017/Energibalanser till kund/"/>
    </mc:Choice>
  </mc:AlternateContent>
  <bookViews>
    <workbookView xWindow="400" yWindow="1420" windowWidth="28400" windowHeight="16020" tabRatio="919"/>
  </bookViews>
  <sheets>
    <sheet name="Dalarna" sheetId="28" r:id="rId1"/>
    <sheet name="Vansbro" sheetId="2" r:id="rId2"/>
    <sheet name="Malung-Sälen" sheetId="3" r:id="rId3"/>
    <sheet name="Gagnef" sheetId="4" r:id="rId4"/>
    <sheet name="Leksand" sheetId="5" r:id="rId5"/>
    <sheet name="Rättvik" sheetId="6" r:id="rId6"/>
    <sheet name="Orsa" sheetId="7" r:id="rId7"/>
    <sheet name="Älvdalen" sheetId="8" r:id="rId8"/>
    <sheet name="Smedjebacken" sheetId="9" r:id="rId9"/>
    <sheet name="Mora" sheetId="10" r:id="rId10"/>
    <sheet name="Falun" sheetId="11" r:id="rId11"/>
    <sheet name="Borlänge" sheetId="12" r:id="rId12"/>
    <sheet name="Säter" sheetId="13" r:id="rId13"/>
    <sheet name="Hedemora" sheetId="14" r:id="rId14"/>
    <sheet name="Avesta" sheetId="15" r:id="rId15"/>
    <sheet name="Ludvika" sheetId="16" r:id="rId16"/>
  </sheets>
  <calcPr calcId="150001" concurrentCalc="0"/>
  <fileRecoveryPr autoRecover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5" i="28" l="1"/>
  <c r="V25" i="28"/>
  <c r="C39" i="11"/>
  <c r="B32" i="28"/>
  <c r="C32" i="3"/>
  <c r="N34" i="9"/>
  <c r="C34" i="9"/>
  <c r="C32" i="9"/>
  <c r="C32" i="13"/>
  <c r="C32" i="28"/>
  <c r="D32" i="6"/>
  <c r="D32" i="28"/>
  <c r="E32" i="28"/>
  <c r="F32" i="28"/>
  <c r="G32" i="3"/>
  <c r="G32" i="4"/>
  <c r="G32" i="8"/>
  <c r="O32" i="11"/>
  <c r="N32" i="11"/>
  <c r="G32" i="11"/>
  <c r="G32" i="13"/>
  <c r="G32" i="14"/>
  <c r="G32" i="28"/>
  <c r="H32" i="28"/>
  <c r="I32" i="28"/>
  <c r="J32" i="28"/>
  <c r="K32" i="28"/>
  <c r="L32" i="28"/>
  <c r="M32" i="28"/>
  <c r="N32" i="12"/>
  <c r="N32" i="16"/>
  <c r="N32" i="28"/>
  <c r="O32" i="28"/>
  <c r="B33" i="16"/>
  <c r="B33" i="28"/>
  <c r="C33" i="28"/>
  <c r="D33" i="28"/>
  <c r="E33" i="28"/>
  <c r="F33" i="28"/>
  <c r="G33" i="28"/>
  <c r="H33" i="28"/>
  <c r="I33" i="28"/>
  <c r="J33" i="28"/>
  <c r="K33" i="28"/>
  <c r="L33" i="28"/>
  <c r="M33" i="28"/>
  <c r="N36" i="8"/>
  <c r="N38" i="8"/>
  <c r="N33" i="8"/>
  <c r="N33" i="16"/>
  <c r="N33" i="28"/>
  <c r="O33" i="28"/>
  <c r="B34" i="28"/>
  <c r="C34" i="28"/>
  <c r="D34" i="28"/>
  <c r="E34" i="28"/>
  <c r="F34" i="28"/>
  <c r="G34" i="28"/>
  <c r="H34" i="28"/>
  <c r="I34" i="28"/>
  <c r="J34" i="28"/>
  <c r="K34" i="28"/>
  <c r="L34" i="28"/>
  <c r="M34" i="28"/>
  <c r="N34" i="16"/>
  <c r="N34" i="28"/>
  <c r="O34" i="28"/>
  <c r="B35" i="6"/>
  <c r="B35" i="16"/>
  <c r="B35" i="28"/>
  <c r="C35" i="6"/>
  <c r="C35" i="16"/>
  <c r="C35" i="28"/>
  <c r="D35" i="28"/>
  <c r="E35" i="28"/>
  <c r="F35" i="28"/>
  <c r="G35" i="28"/>
  <c r="H35" i="28"/>
  <c r="I35" i="28"/>
  <c r="J35" i="28"/>
  <c r="K35" i="28"/>
  <c r="L35" i="28"/>
  <c r="M35" i="28"/>
  <c r="N35" i="16"/>
  <c r="N35" i="28"/>
  <c r="O35" i="28"/>
  <c r="B36" i="28"/>
  <c r="C36" i="3"/>
  <c r="C36" i="28"/>
  <c r="D36" i="28"/>
  <c r="E36" i="28"/>
  <c r="F36" i="28"/>
  <c r="G36" i="28"/>
  <c r="H36" i="28"/>
  <c r="I36" i="28"/>
  <c r="J36" i="28"/>
  <c r="K36" i="28"/>
  <c r="L36" i="28"/>
  <c r="M36" i="28"/>
  <c r="E39" i="9"/>
  <c r="N39" i="9"/>
  <c r="N36" i="9"/>
  <c r="N36" i="16"/>
  <c r="N36" i="28"/>
  <c r="O36" i="28"/>
  <c r="O36" i="14"/>
  <c r="O37" i="14"/>
  <c r="B37" i="14"/>
  <c r="B37" i="28"/>
  <c r="C37" i="28"/>
  <c r="D37" i="28"/>
  <c r="E37" i="28"/>
  <c r="F37" i="28"/>
  <c r="G37" i="28"/>
  <c r="H37" i="28"/>
  <c r="I37" i="28"/>
  <c r="J37" i="28"/>
  <c r="K37" i="28"/>
  <c r="L37" i="28"/>
  <c r="M37" i="28"/>
  <c r="N37" i="28"/>
  <c r="O37" i="28"/>
  <c r="B38" i="28"/>
  <c r="C38" i="28"/>
  <c r="D38" i="28"/>
  <c r="E38" i="28"/>
  <c r="F38" i="28"/>
  <c r="G38" i="28"/>
  <c r="H38" i="28"/>
  <c r="I38" i="28"/>
  <c r="J38" i="28"/>
  <c r="K38" i="28"/>
  <c r="L38" i="28"/>
  <c r="M38" i="28"/>
  <c r="N38" i="28"/>
  <c r="O38" i="28"/>
  <c r="B31" i="28"/>
  <c r="C31" i="28"/>
  <c r="D31" i="28"/>
  <c r="E31" i="28"/>
  <c r="F31" i="28"/>
  <c r="G31" i="28"/>
  <c r="H31" i="28"/>
  <c r="I31" i="28"/>
  <c r="J31" i="28"/>
  <c r="K31" i="28"/>
  <c r="L31" i="28"/>
  <c r="M31" i="28"/>
  <c r="N31" i="28"/>
  <c r="O31" i="28"/>
  <c r="C39" i="28"/>
  <c r="D39" i="28"/>
  <c r="E39" i="28"/>
  <c r="F39" i="28"/>
  <c r="G39" i="28"/>
  <c r="H39" i="28"/>
  <c r="I39" i="28"/>
  <c r="J39" i="28"/>
  <c r="K39" i="28"/>
  <c r="L39" i="28"/>
  <c r="M39" i="28"/>
  <c r="N39" i="28"/>
  <c r="O39" i="28"/>
  <c r="B39" i="28"/>
  <c r="C17" i="28"/>
  <c r="C18" i="16"/>
  <c r="C18" i="28"/>
  <c r="C23" i="28"/>
  <c r="D17" i="28"/>
  <c r="D18" i="28"/>
  <c r="D23" i="28"/>
  <c r="E17" i="28"/>
  <c r="E18" i="28"/>
  <c r="E23" i="28"/>
  <c r="F17" i="28"/>
  <c r="F18" i="28"/>
  <c r="F23" i="28"/>
  <c r="G17" i="11"/>
  <c r="G17" i="12"/>
  <c r="G17" i="14"/>
  <c r="G17" i="28"/>
  <c r="G18" i="5"/>
  <c r="G18" i="15"/>
  <c r="G18" i="16"/>
  <c r="G18" i="28"/>
  <c r="G23" i="28"/>
  <c r="H17" i="28"/>
  <c r="H18" i="28"/>
  <c r="H23" i="28"/>
  <c r="I17" i="28"/>
  <c r="I18" i="28"/>
  <c r="I23" i="28"/>
  <c r="J17" i="28"/>
  <c r="J18" i="28"/>
  <c r="J23" i="28"/>
  <c r="K17" i="12"/>
  <c r="K17" i="28"/>
  <c r="K18" i="28"/>
  <c r="K23" i="28"/>
  <c r="L17" i="28"/>
  <c r="L18" i="28"/>
  <c r="L23" i="28"/>
  <c r="M17" i="28"/>
  <c r="M18" i="28"/>
  <c r="M23" i="28"/>
  <c r="N17" i="28"/>
  <c r="N18" i="9"/>
  <c r="N18" i="28"/>
  <c r="N23" i="28"/>
  <c r="O17" i="28"/>
  <c r="O18" i="28"/>
  <c r="O23" i="28"/>
  <c r="B17" i="11"/>
  <c r="B17" i="12"/>
  <c r="B17" i="28"/>
  <c r="B18" i="5"/>
  <c r="B18" i="9"/>
  <c r="B18" i="15"/>
  <c r="B18" i="16"/>
  <c r="B18" i="28"/>
  <c r="B19" i="28"/>
  <c r="B20" i="28"/>
  <c r="B21" i="28"/>
  <c r="B22" i="28"/>
  <c r="B23" i="28"/>
  <c r="C7" i="28"/>
  <c r="D7" i="28"/>
  <c r="E7" i="28"/>
  <c r="F7" i="28"/>
  <c r="G7" i="28"/>
  <c r="H7" i="28"/>
  <c r="I7" i="28"/>
  <c r="J7" i="28"/>
  <c r="K7" i="28"/>
  <c r="L7" i="28"/>
  <c r="M7" i="28"/>
  <c r="N7" i="28"/>
  <c r="O7" i="28"/>
  <c r="C6" i="28"/>
  <c r="D6" i="28"/>
  <c r="E6" i="28"/>
  <c r="F6" i="28"/>
  <c r="G6" i="28"/>
  <c r="H6" i="28"/>
  <c r="I6" i="28"/>
  <c r="J6" i="28"/>
  <c r="K6" i="28"/>
  <c r="L6" i="28"/>
  <c r="M6" i="28"/>
  <c r="N6" i="28"/>
  <c r="O6" i="28"/>
  <c r="D10" i="28"/>
  <c r="E10" i="28"/>
  <c r="F10" i="28"/>
  <c r="G10" i="28"/>
  <c r="H10" i="28"/>
  <c r="I10" i="28"/>
  <c r="J10" i="28"/>
  <c r="K10" i="28"/>
  <c r="L10" i="28"/>
  <c r="M10" i="28"/>
  <c r="N10" i="28"/>
  <c r="O10" i="28"/>
  <c r="C10" i="28"/>
  <c r="B4" i="28"/>
  <c r="B6" i="28"/>
  <c r="B7" i="28"/>
  <c r="B8" i="28"/>
  <c r="B9" i="28"/>
  <c r="B10" i="28"/>
  <c r="L23" i="15"/>
  <c r="L42" i="15"/>
  <c r="C39" i="15"/>
  <c r="C42" i="15"/>
  <c r="D23" i="15"/>
  <c r="D42" i="15"/>
  <c r="E39" i="15"/>
  <c r="E23" i="15"/>
  <c r="E42" i="15"/>
  <c r="F23" i="15"/>
  <c r="F42" i="15"/>
  <c r="G39" i="15"/>
  <c r="G23" i="15"/>
  <c r="G42" i="15"/>
  <c r="H42" i="15"/>
  <c r="I42" i="15"/>
  <c r="J42" i="15"/>
  <c r="K23" i="15"/>
  <c r="K42" i="15"/>
  <c r="M42" i="15"/>
  <c r="N39" i="15"/>
  <c r="N45" i="15"/>
  <c r="N42" i="15"/>
  <c r="O42" i="15"/>
  <c r="L43" i="15"/>
  <c r="U32" i="15"/>
  <c r="T32" i="15"/>
  <c r="I39" i="11"/>
  <c r="L23" i="11"/>
  <c r="L42" i="11"/>
  <c r="C42" i="11"/>
  <c r="D42" i="11"/>
  <c r="E42" i="11"/>
  <c r="F39" i="11"/>
  <c r="F42" i="11"/>
  <c r="G39" i="11"/>
  <c r="G42" i="11"/>
  <c r="H23" i="11"/>
  <c r="H42" i="11"/>
  <c r="I42" i="11"/>
  <c r="J42" i="11"/>
  <c r="K42" i="11"/>
  <c r="M42" i="11"/>
  <c r="N39" i="11"/>
  <c r="N45" i="11"/>
  <c r="N42" i="11"/>
  <c r="O42" i="11"/>
  <c r="L43" i="11"/>
  <c r="U33" i="11"/>
  <c r="T33" i="11"/>
  <c r="L42" i="28"/>
  <c r="C39" i="6"/>
  <c r="C39" i="8"/>
  <c r="C39" i="12"/>
  <c r="C23" i="8"/>
  <c r="C23" i="12"/>
  <c r="C23" i="16"/>
  <c r="C42" i="28"/>
  <c r="D39" i="6"/>
  <c r="D39" i="12"/>
  <c r="D42" i="28"/>
  <c r="E39" i="6"/>
  <c r="E39" i="10"/>
  <c r="E39" i="14"/>
  <c r="E39" i="16"/>
  <c r="E42" i="28"/>
  <c r="F42" i="28"/>
  <c r="G39" i="2"/>
  <c r="G39" i="3"/>
  <c r="G39" i="5"/>
  <c r="G39" i="6"/>
  <c r="G39" i="10"/>
  <c r="G39" i="12"/>
  <c r="G39" i="13"/>
  <c r="G39" i="14"/>
  <c r="G39" i="16"/>
  <c r="G23" i="5"/>
  <c r="G23" i="6"/>
  <c r="G23" i="8"/>
  <c r="G23" i="10"/>
  <c r="G23" i="12"/>
  <c r="G23" i="16"/>
  <c r="G42" i="28"/>
  <c r="H23" i="12"/>
  <c r="H42" i="28"/>
  <c r="I42" i="28"/>
  <c r="J42" i="28"/>
  <c r="K23" i="10"/>
  <c r="K23" i="12"/>
  <c r="K42" i="28"/>
  <c r="M42" i="28"/>
  <c r="N39" i="12"/>
  <c r="N23" i="9"/>
  <c r="N23" i="12"/>
  <c r="N45" i="28"/>
  <c r="N42" i="28"/>
  <c r="O42" i="28"/>
  <c r="L43" i="28"/>
  <c r="U33" i="28"/>
  <c r="T33" i="28"/>
  <c r="O35" i="11"/>
  <c r="O39" i="11"/>
  <c r="N45" i="3"/>
  <c r="N42" i="3"/>
  <c r="C42" i="3"/>
  <c r="D42" i="3"/>
  <c r="E42" i="3"/>
  <c r="F42" i="3"/>
  <c r="G42" i="3"/>
  <c r="H42" i="3"/>
  <c r="I42" i="3"/>
  <c r="J42" i="3"/>
  <c r="K42" i="3"/>
  <c r="L42" i="3"/>
  <c r="M42" i="3"/>
  <c r="O42" i="3"/>
  <c r="N43" i="3"/>
  <c r="U24" i="3"/>
  <c r="G43" i="3"/>
  <c r="U25" i="3"/>
  <c r="J43" i="3"/>
  <c r="U26" i="3"/>
  <c r="F43" i="3"/>
  <c r="U27" i="3"/>
  <c r="E43" i="3"/>
  <c r="U28" i="3"/>
  <c r="D43" i="3"/>
  <c r="U29" i="3"/>
  <c r="K43" i="3"/>
  <c r="U30" i="3"/>
  <c r="I43" i="3"/>
  <c r="U31" i="3"/>
  <c r="H43" i="3"/>
  <c r="U32" i="3"/>
  <c r="C43" i="3"/>
  <c r="U33" i="3"/>
  <c r="U34" i="3"/>
  <c r="N45" i="4"/>
  <c r="N42" i="4"/>
  <c r="C42" i="4"/>
  <c r="D42" i="4"/>
  <c r="E42" i="4"/>
  <c r="F42" i="4"/>
  <c r="G42" i="4"/>
  <c r="H42" i="4"/>
  <c r="I42" i="4"/>
  <c r="J42" i="4"/>
  <c r="K42" i="4"/>
  <c r="L42" i="4"/>
  <c r="M42" i="4"/>
  <c r="O42" i="4"/>
  <c r="N43" i="4"/>
  <c r="U24" i="4"/>
  <c r="G43" i="4"/>
  <c r="U25" i="4"/>
  <c r="J43" i="4"/>
  <c r="U26" i="4"/>
  <c r="F43" i="4"/>
  <c r="U27" i="4"/>
  <c r="E43" i="4"/>
  <c r="U28" i="4"/>
  <c r="D43" i="4"/>
  <c r="U29" i="4"/>
  <c r="K43" i="4"/>
  <c r="U30" i="4"/>
  <c r="I43" i="4"/>
  <c r="U31" i="4"/>
  <c r="H43" i="4"/>
  <c r="U32" i="4"/>
  <c r="C43" i="4"/>
  <c r="U33" i="4"/>
  <c r="U34" i="4"/>
  <c r="N45" i="5"/>
  <c r="N42" i="5"/>
  <c r="C42" i="5"/>
  <c r="D42" i="5"/>
  <c r="E42" i="5"/>
  <c r="F42" i="5"/>
  <c r="G42" i="5"/>
  <c r="H42" i="5"/>
  <c r="I42" i="5"/>
  <c r="J42" i="5"/>
  <c r="K42" i="5"/>
  <c r="L42" i="5"/>
  <c r="M42" i="5"/>
  <c r="O42" i="5"/>
  <c r="N43" i="5"/>
  <c r="U24" i="5"/>
  <c r="G43" i="5"/>
  <c r="U25" i="5"/>
  <c r="J43" i="5"/>
  <c r="U26" i="5"/>
  <c r="F43" i="5"/>
  <c r="U27" i="5"/>
  <c r="E43" i="5"/>
  <c r="U28" i="5"/>
  <c r="D43" i="5"/>
  <c r="U29" i="5"/>
  <c r="K43" i="5"/>
  <c r="U30" i="5"/>
  <c r="I43" i="5"/>
  <c r="U31" i="5"/>
  <c r="H43" i="5"/>
  <c r="U32" i="5"/>
  <c r="C43" i="5"/>
  <c r="U33" i="5"/>
  <c r="U34" i="5"/>
  <c r="N45" i="6"/>
  <c r="N42" i="6"/>
  <c r="C42" i="6"/>
  <c r="D42" i="6"/>
  <c r="E42" i="6"/>
  <c r="F42" i="6"/>
  <c r="G42" i="6"/>
  <c r="H42" i="6"/>
  <c r="I42" i="6"/>
  <c r="J42" i="6"/>
  <c r="K42" i="6"/>
  <c r="L42" i="6"/>
  <c r="M42" i="6"/>
  <c r="O42" i="6"/>
  <c r="N43" i="6"/>
  <c r="U24" i="6"/>
  <c r="G43" i="6"/>
  <c r="U25" i="6"/>
  <c r="J43" i="6"/>
  <c r="U26" i="6"/>
  <c r="F43" i="6"/>
  <c r="U27" i="6"/>
  <c r="E43" i="6"/>
  <c r="U28" i="6"/>
  <c r="D43" i="6"/>
  <c r="U29" i="6"/>
  <c r="K43" i="6"/>
  <c r="U30" i="6"/>
  <c r="I43" i="6"/>
  <c r="U31" i="6"/>
  <c r="H43" i="6"/>
  <c r="U32" i="6"/>
  <c r="C43" i="6"/>
  <c r="U33" i="6"/>
  <c r="U34" i="6"/>
  <c r="N45" i="7"/>
  <c r="N42" i="7"/>
  <c r="C42" i="7"/>
  <c r="D42" i="7"/>
  <c r="E42" i="7"/>
  <c r="F42" i="7"/>
  <c r="G42" i="7"/>
  <c r="H42" i="7"/>
  <c r="I42" i="7"/>
  <c r="J42" i="7"/>
  <c r="K42" i="7"/>
  <c r="L42" i="7"/>
  <c r="M42" i="7"/>
  <c r="O42" i="7"/>
  <c r="N43" i="7"/>
  <c r="U24" i="7"/>
  <c r="G43" i="7"/>
  <c r="U25" i="7"/>
  <c r="J43" i="7"/>
  <c r="U26" i="7"/>
  <c r="F43" i="7"/>
  <c r="U27" i="7"/>
  <c r="E43" i="7"/>
  <c r="U28" i="7"/>
  <c r="D43" i="7"/>
  <c r="U29" i="7"/>
  <c r="K43" i="7"/>
  <c r="U30" i="7"/>
  <c r="I43" i="7"/>
  <c r="U31" i="7"/>
  <c r="H43" i="7"/>
  <c r="U32" i="7"/>
  <c r="C43" i="7"/>
  <c r="U33" i="7"/>
  <c r="U34" i="7"/>
  <c r="N45" i="8"/>
  <c r="N42" i="8"/>
  <c r="C42" i="8"/>
  <c r="D42" i="8"/>
  <c r="E42" i="8"/>
  <c r="F42" i="8"/>
  <c r="G42" i="8"/>
  <c r="H42" i="8"/>
  <c r="I42" i="8"/>
  <c r="J42" i="8"/>
  <c r="K42" i="8"/>
  <c r="L42" i="8"/>
  <c r="M42" i="8"/>
  <c r="O42" i="8"/>
  <c r="N43" i="8"/>
  <c r="U24" i="8"/>
  <c r="G43" i="8"/>
  <c r="U25" i="8"/>
  <c r="J43" i="8"/>
  <c r="U26" i="8"/>
  <c r="F43" i="8"/>
  <c r="U27" i="8"/>
  <c r="E43" i="8"/>
  <c r="U28" i="8"/>
  <c r="D43" i="8"/>
  <c r="U29" i="8"/>
  <c r="K43" i="8"/>
  <c r="U30" i="8"/>
  <c r="I43" i="8"/>
  <c r="U31" i="8"/>
  <c r="H43" i="8"/>
  <c r="U32" i="8"/>
  <c r="C43" i="8"/>
  <c r="U33" i="8"/>
  <c r="U34" i="8"/>
  <c r="N45" i="9"/>
  <c r="N42" i="9"/>
  <c r="C42" i="9"/>
  <c r="D42" i="9"/>
  <c r="E42" i="9"/>
  <c r="F42" i="9"/>
  <c r="G42" i="9"/>
  <c r="H42" i="9"/>
  <c r="I42" i="9"/>
  <c r="J42" i="9"/>
  <c r="K42" i="9"/>
  <c r="L42" i="9"/>
  <c r="M42" i="9"/>
  <c r="O42" i="9"/>
  <c r="N43" i="9"/>
  <c r="U24" i="9"/>
  <c r="G43" i="9"/>
  <c r="U25" i="9"/>
  <c r="J43" i="9"/>
  <c r="U26" i="9"/>
  <c r="F43" i="9"/>
  <c r="U27" i="9"/>
  <c r="E43" i="9"/>
  <c r="U28" i="9"/>
  <c r="D43" i="9"/>
  <c r="U29" i="9"/>
  <c r="K43" i="9"/>
  <c r="U30" i="9"/>
  <c r="I43" i="9"/>
  <c r="U31" i="9"/>
  <c r="H43" i="9"/>
  <c r="U32" i="9"/>
  <c r="C43" i="9"/>
  <c r="U33" i="9"/>
  <c r="U34" i="9"/>
  <c r="N45" i="10"/>
  <c r="N42" i="10"/>
  <c r="C42" i="10"/>
  <c r="D42" i="10"/>
  <c r="E42" i="10"/>
  <c r="F42" i="10"/>
  <c r="G42" i="10"/>
  <c r="H42" i="10"/>
  <c r="I42" i="10"/>
  <c r="J42" i="10"/>
  <c r="K42" i="10"/>
  <c r="L42" i="10"/>
  <c r="M42" i="10"/>
  <c r="O42" i="10"/>
  <c r="N43" i="10"/>
  <c r="U24" i="10"/>
  <c r="G43" i="10"/>
  <c r="U25" i="10"/>
  <c r="J43" i="10"/>
  <c r="U26" i="10"/>
  <c r="F43" i="10"/>
  <c r="U27" i="10"/>
  <c r="E43" i="10"/>
  <c r="U28" i="10"/>
  <c r="D43" i="10"/>
  <c r="U29" i="10"/>
  <c r="K43" i="10"/>
  <c r="U30" i="10"/>
  <c r="I43" i="10"/>
  <c r="U31" i="10"/>
  <c r="H43" i="10"/>
  <c r="U32" i="10"/>
  <c r="C43" i="10"/>
  <c r="U33" i="10"/>
  <c r="U34" i="10"/>
  <c r="N43" i="11"/>
  <c r="U24" i="11"/>
  <c r="G43" i="11"/>
  <c r="U25" i="11"/>
  <c r="J43" i="11"/>
  <c r="U26" i="11"/>
  <c r="F43" i="11"/>
  <c r="U27" i="11"/>
  <c r="E43" i="11"/>
  <c r="U28" i="11"/>
  <c r="D43" i="11"/>
  <c r="U29" i="11"/>
  <c r="K43" i="11"/>
  <c r="U30" i="11"/>
  <c r="I43" i="11"/>
  <c r="U31" i="11"/>
  <c r="H43" i="11"/>
  <c r="U32" i="11"/>
  <c r="C43" i="11"/>
  <c r="U34" i="11"/>
  <c r="U35" i="11"/>
  <c r="N45" i="12"/>
  <c r="N42" i="12"/>
  <c r="C42" i="12"/>
  <c r="D42" i="12"/>
  <c r="E42" i="12"/>
  <c r="F42" i="12"/>
  <c r="G42" i="12"/>
  <c r="H42" i="12"/>
  <c r="I42" i="12"/>
  <c r="J42" i="12"/>
  <c r="K42" i="12"/>
  <c r="L42" i="12"/>
  <c r="M42" i="12"/>
  <c r="O42" i="12"/>
  <c r="N43" i="12"/>
  <c r="U24" i="12"/>
  <c r="G43" i="12"/>
  <c r="U25" i="12"/>
  <c r="J43" i="12"/>
  <c r="U26" i="12"/>
  <c r="F43" i="12"/>
  <c r="U27" i="12"/>
  <c r="E43" i="12"/>
  <c r="U28" i="12"/>
  <c r="D43" i="12"/>
  <c r="U29" i="12"/>
  <c r="K43" i="12"/>
  <c r="U30" i="12"/>
  <c r="I43" i="12"/>
  <c r="U31" i="12"/>
  <c r="H43" i="12"/>
  <c r="U32" i="12"/>
  <c r="C43" i="12"/>
  <c r="U33" i="12"/>
  <c r="U34" i="12"/>
  <c r="N45" i="13"/>
  <c r="N42" i="13"/>
  <c r="C42" i="13"/>
  <c r="D42" i="13"/>
  <c r="E42" i="13"/>
  <c r="F42" i="13"/>
  <c r="G42" i="13"/>
  <c r="H42" i="13"/>
  <c r="I42" i="13"/>
  <c r="J42" i="13"/>
  <c r="K42" i="13"/>
  <c r="L42" i="13"/>
  <c r="M42" i="13"/>
  <c r="O42" i="13"/>
  <c r="N43" i="13"/>
  <c r="U24" i="13"/>
  <c r="G43" i="13"/>
  <c r="U25" i="13"/>
  <c r="J43" i="13"/>
  <c r="U26" i="13"/>
  <c r="F43" i="13"/>
  <c r="U27" i="13"/>
  <c r="E43" i="13"/>
  <c r="U28" i="13"/>
  <c r="D43" i="13"/>
  <c r="U29" i="13"/>
  <c r="K43" i="13"/>
  <c r="U30" i="13"/>
  <c r="I43" i="13"/>
  <c r="U31" i="13"/>
  <c r="H43" i="13"/>
  <c r="U32" i="13"/>
  <c r="C43" i="13"/>
  <c r="U33" i="13"/>
  <c r="U34" i="13"/>
  <c r="N45" i="14"/>
  <c r="N42" i="14"/>
  <c r="C42" i="14"/>
  <c r="D42" i="14"/>
  <c r="E42" i="14"/>
  <c r="F42" i="14"/>
  <c r="G42" i="14"/>
  <c r="H42" i="14"/>
  <c r="I42" i="14"/>
  <c r="J42" i="14"/>
  <c r="K42" i="14"/>
  <c r="L42" i="14"/>
  <c r="M42" i="14"/>
  <c r="O42" i="14"/>
  <c r="N43" i="14"/>
  <c r="U24" i="14"/>
  <c r="G43" i="14"/>
  <c r="U25" i="14"/>
  <c r="J43" i="14"/>
  <c r="U26" i="14"/>
  <c r="F43" i="14"/>
  <c r="U27" i="14"/>
  <c r="E43" i="14"/>
  <c r="U28" i="14"/>
  <c r="D43" i="14"/>
  <c r="U29" i="14"/>
  <c r="K43" i="14"/>
  <c r="U30" i="14"/>
  <c r="I43" i="14"/>
  <c r="U31" i="14"/>
  <c r="H43" i="14"/>
  <c r="U32" i="14"/>
  <c r="C43" i="14"/>
  <c r="U33" i="14"/>
  <c r="U34" i="14"/>
  <c r="N43" i="15"/>
  <c r="U24" i="15"/>
  <c r="G43" i="15"/>
  <c r="U25" i="15"/>
  <c r="J43" i="15"/>
  <c r="U26" i="15"/>
  <c r="F43" i="15"/>
  <c r="U27" i="15"/>
  <c r="E43" i="15"/>
  <c r="U28" i="15"/>
  <c r="D43" i="15"/>
  <c r="U29" i="15"/>
  <c r="K43" i="15"/>
  <c r="U30" i="15"/>
  <c r="I43" i="15"/>
  <c r="U31" i="15"/>
  <c r="H43" i="15"/>
  <c r="C43" i="15"/>
  <c r="U33" i="15"/>
  <c r="U34" i="15"/>
  <c r="N45" i="16"/>
  <c r="N42" i="16"/>
  <c r="C42" i="16"/>
  <c r="D42" i="16"/>
  <c r="E42" i="16"/>
  <c r="F42" i="16"/>
  <c r="G42" i="16"/>
  <c r="H42" i="16"/>
  <c r="I42" i="16"/>
  <c r="J42" i="16"/>
  <c r="K42" i="16"/>
  <c r="L42" i="16"/>
  <c r="M42" i="16"/>
  <c r="O42" i="16"/>
  <c r="N43" i="16"/>
  <c r="U24" i="16"/>
  <c r="G43" i="16"/>
  <c r="U25" i="16"/>
  <c r="J43" i="16"/>
  <c r="U26" i="16"/>
  <c r="F43" i="16"/>
  <c r="U27" i="16"/>
  <c r="E43" i="16"/>
  <c r="U28" i="16"/>
  <c r="D43" i="16"/>
  <c r="U29" i="16"/>
  <c r="K43" i="16"/>
  <c r="U30" i="16"/>
  <c r="I43" i="16"/>
  <c r="U31" i="16"/>
  <c r="H43" i="16"/>
  <c r="U32" i="16"/>
  <c r="C43" i="16"/>
  <c r="U33" i="16"/>
  <c r="U34" i="16"/>
  <c r="N45" i="2"/>
  <c r="N42" i="2"/>
  <c r="C42" i="2"/>
  <c r="D42" i="2"/>
  <c r="E42" i="2"/>
  <c r="F42" i="2"/>
  <c r="G42" i="2"/>
  <c r="H42" i="2"/>
  <c r="I42" i="2"/>
  <c r="J42" i="2"/>
  <c r="K42" i="2"/>
  <c r="L42" i="2"/>
  <c r="M42" i="2"/>
  <c r="O42" i="2"/>
  <c r="N43" i="2"/>
  <c r="U24" i="2"/>
  <c r="G43" i="2"/>
  <c r="U25" i="2"/>
  <c r="J43" i="2"/>
  <c r="U26" i="2"/>
  <c r="F43" i="2"/>
  <c r="U27" i="2"/>
  <c r="E43" i="2"/>
  <c r="U28" i="2"/>
  <c r="D43" i="2"/>
  <c r="U29" i="2"/>
  <c r="K43" i="2"/>
  <c r="U30" i="2"/>
  <c r="I43" i="2"/>
  <c r="U31" i="2"/>
  <c r="H43" i="2"/>
  <c r="U32" i="2"/>
  <c r="C43" i="2"/>
  <c r="U33" i="2"/>
  <c r="U34" i="2"/>
  <c r="T24" i="3"/>
  <c r="T25" i="3"/>
  <c r="T26" i="3"/>
  <c r="T27" i="3"/>
  <c r="T28" i="3"/>
  <c r="T29" i="3"/>
  <c r="T30" i="3"/>
  <c r="T31" i="3"/>
  <c r="T32" i="3"/>
  <c r="T33" i="3"/>
  <c r="T34" i="3"/>
  <c r="T24" i="4"/>
  <c r="T25" i="4"/>
  <c r="T26" i="4"/>
  <c r="T27" i="4"/>
  <c r="T28" i="4"/>
  <c r="T29" i="4"/>
  <c r="T30" i="4"/>
  <c r="T31" i="4"/>
  <c r="T32" i="4"/>
  <c r="T33" i="4"/>
  <c r="T34" i="4"/>
  <c r="T24" i="5"/>
  <c r="T25" i="5"/>
  <c r="T26" i="5"/>
  <c r="T27" i="5"/>
  <c r="T28" i="5"/>
  <c r="T29" i="5"/>
  <c r="T30" i="5"/>
  <c r="T31" i="5"/>
  <c r="T32" i="5"/>
  <c r="T33" i="5"/>
  <c r="T34" i="5"/>
  <c r="T24" i="6"/>
  <c r="T25" i="6"/>
  <c r="T26" i="6"/>
  <c r="T27" i="6"/>
  <c r="T28" i="6"/>
  <c r="T29" i="6"/>
  <c r="T30" i="6"/>
  <c r="T31" i="6"/>
  <c r="T32" i="6"/>
  <c r="T33" i="6"/>
  <c r="T34" i="6"/>
  <c r="T24" i="7"/>
  <c r="T25" i="7"/>
  <c r="T26" i="7"/>
  <c r="T27" i="7"/>
  <c r="T28" i="7"/>
  <c r="T29" i="7"/>
  <c r="T30" i="7"/>
  <c r="T31" i="7"/>
  <c r="T32" i="7"/>
  <c r="T33" i="7"/>
  <c r="T34" i="7"/>
  <c r="T24" i="8"/>
  <c r="T25" i="8"/>
  <c r="T26" i="8"/>
  <c r="T27" i="8"/>
  <c r="T28" i="8"/>
  <c r="T29" i="8"/>
  <c r="T30" i="8"/>
  <c r="T31" i="8"/>
  <c r="T32" i="8"/>
  <c r="T33" i="8"/>
  <c r="T34" i="8"/>
  <c r="T24" i="9"/>
  <c r="T25" i="9"/>
  <c r="T26" i="9"/>
  <c r="T27" i="9"/>
  <c r="T28" i="9"/>
  <c r="T29" i="9"/>
  <c r="T30" i="9"/>
  <c r="T31" i="9"/>
  <c r="T32" i="9"/>
  <c r="T33" i="9"/>
  <c r="T34" i="9"/>
  <c r="T24" i="10"/>
  <c r="T25" i="10"/>
  <c r="T26" i="10"/>
  <c r="T27" i="10"/>
  <c r="T28" i="10"/>
  <c r="T29" i="10"/>
  <c r="T30" i="10"/>
  <c r="T31" i="10"/>
  <c r="T32" i="10"/>
  <c r="T33" i="10"/>
  <c r="T34" i="10"/>
  <c r="T25" i="11"/>
  <c r="T26" i="11"/>
  <c r="T27" i="11"/>
  <c r="T28" i="11"/>
  <c r="T29" i="11"/>
  <c r="T30" i="11"/>
  <c r="T31" i="11"/>
  <c r="T32" i="11"/>
  <c r="T24" i="11"/>
  <c r="T34" i="11"/>
  <c r="T35" i="11"/>
  <c r="T24" i="12"/>
  <c r="T25" i="12"/>
  <c r="T26" i="12"/>
  <c r="T27" i="12"/>
  <c r="T28" i="12"/>
  <c r="T29" i="12"/>
  <c r="T30" i="12"/>
  <c r="T31" i="12"/>
  <c r="T32" i="12"/>
  <c r="T33" i="12"/>
  <c r="T34" i="12"/>
  <c r="T24" i="13"/>
  <c r="T25" i="13"/>
  <c r="T26" i="13"/>
  <c r="T27" i="13"/>
  <c r="T28" i="13"/>
  <c r="T29" i="13"/>
  <c r="T30" i="13"/>
  <c r="T31" i="13"/>
  <c r="T32" i="13"/>
  <c r="T33" i="13"/>
  <c r="T34" i="13"/>
  <c r="T24" i="14"/>
  <c r="T25" i="14"/>
  <c r="T26" i="14"/>
  <c r="T27" i="14"/>
  <c r="T28" i="14"/>
  <c r="T29" i="14"/>
  <c r="T30" i="14"/>
  <c r="T31" i="14"/>
  <c r="T32" i="14"/>
  <c r="T33" i="14"/>
  <c r="T34" i="14"/>
  <c r="T25" i="15"/>
  <c r="T26" i="15"/>
  <c r="T27" i="15"/>
  <c r="T28" i="15"/>
  <c r="T29" i="15"/>
  <c r="T30" i="15"/>
  <c r="T31" i="15"/>
  <c r="T24" i="15"/>
  <c r="T33" i="15"/>
  <c r="T34" i="15"/>
  <c r="T24" i="16"/>
  <c r="T25" i="16"/>
  <c r="T26" i="16"/>
  <c r="T27" i="16"/>
  <c r="T28" i="16"/>
  <c r="T29" i="16"/>
  <c r="T30" i="16"/>
  <c r="T31" i="16"/>
  <c r="T32" i="16"/>
  <c r="T33" i="16"/>
  <c r="T34" i="16"/>
  <c r="T24" i="2"/>
  <c r="T25" i="2"/>
  <c r="T26" i="2"/>
  <c r="T27" i="2"/>
  <c r="T28" i="2"/>
  <c r="T29" i="2"/>
  <c r="T30" i="2"/>
  <c r="T31" i="2"/>
  <c r="T32" i="2"/>
  <c r="T33" i="2"/>
  <c r="T34" i="2"/>
  <c r="N43" i="28"/>
  <c r="U24" i="28"/>
  <c r="G43" i="28"/>
  <c r="U25" i="28"/>
  <c r="J43" i="28"/>
  <c r="U26" i="28"/>
  <c r="F43" i="28"/>
  <c r="U27" i="28"/>
  <c r="E43" i="28"/>
  <c r="U28" i="28"/>
  <c r="D43" i="28"/>
  <c r="U29" i="28"/>
  <c r="K43" i="28"/>
  <c r="U30" i="28"/>
  <c r="I43" i="28"/>
  <c r="U31" i="28"/>
  <c r="H43" i="28"/>
  <c r="U32" i="28"/>
  <c r="C43" i="28"/>
  <c r="U34" i="28"/>
  <c r="U35" i="28"/>
  <c r="T24" i="28"/>
  <c r="T25" i="28"/>
  <c r="T26" i="28"/>
  <c r="T27" i="28"/>
  <c r="T28" i="28"/>
  <c r="T29" i="28"/>
  <c r="T30" i="28"/>
  <c r="T31" i="28"/>
  <c r="T32" i="28"/>
  <c r="T34" i="28"/>
  <c r="T35" i="28"/>
  <c r="O33" i="15"/>
  <c r="O35" i="15"/>
  <c r="O36" i="15"/>
  <c r="O37" i="15"/>
  <c r="O39" i="15"/>
  <c r="O39" i="8"/>
  <c r="O33" i="6"/>
  <c r="O36" i="6"/>
  <c r="O39" i="6"/>
  <c r="O39" i="2"/>
  <c r="O32" i="12"/>
  <c r="O39" i="12"/>
  <c r="O32" i="10"/>
  <c r="O39" i="10"/>
  <c r="O32" i="8"/>
  <c r="O32" i="4"/>
  <c r="O32" i="3"/>
  <c r="O32" i="2"/>
  <c r="O39" i="3"/>
  <c r="O36" i="8"/>
  <c r="P32" i="6"/>
  <c r="B10" i="8"/>
  <c r="B10" i="2"/>
  <c r="B10" i="4"/>
  <c r="B10" i="5"/>
  <c r="B10" i="6"/>
  <c r="B10" i="7"/>
  <c r="B10" i="9"/>
  <c r="B10" i="10"/>
  <c r="B10" i="11"/>
  <c r="B10" i="12"/>
  <c r="B10" i="13"/>
  <c r="B10" i="14"/>
  <c r="B10" i="15"/>
  <c r="B10" i="16"/>
  <c r="B10" i="3"/>
  <c r="O35" i="8"/>
  <c r="O37" i="16"/>
  <c r="O37" i="8"/>
  <c r="O18" i="9"/>
  <c r="O23" i="9"/>
  <c r="O18" i="15"/>
  <c r="O17" i="11"/>
  <c r="O33" i="8"/>
  <c r="O38" i="16"/>
  <c r="O31" i="16"/>
  <c r="O36" i="13"/>
  <c r="O41" i="13"/>
  <c r="T39" i="13"/>
  <c r="O33" i="9"/>
  <c r="O38" i="9"/>
  <c r="F41" i="5"/>
  <c r="O23" i="11"/>
  <c r="O38" i="8"/>
  <c r="B23" i="16"/>
  <c r="B45" i="16"/>
  <c r="O18" i="16"/>
  <c r="O23" i="16"/>
  <c r="T41" i="15"/>
  <c r="O23" i="15"/>
  <c r="B23" i="12"/>
  <c r="O18" i="12"/>
  <c r="O17" i="12"/>
  <c r="O23" i="12"/>
  <c r="O18" i="10"/>
  <c r="O23" i="10"/>
  <c r="B23" i="10"/>
  <c r="B23" i="8"/>
  <c r="O18" i="8"/>
  <c r="O23" i="8"/>
  <c r="O23" i="6"/>
  <c r="O18" i="6"/>
  <c r="B23" i="6"/>
  <c r="P31" i="6"/>
  <c r="U42" i="6"/>
  <c r="O18" i="5"/>
  <c r="O23" i="5"/>
  <c r="O17" i="14"/>
  <c r="O36" i="4"/>
  <c r="O41" i="3"/>
  <c r="T39" i="3"/>
  <c r="T40" i="3"/>
  <c r="T41" i="3"/>
  <c r="T42" i="3"/>
  <c r="T43" i="3"/>
  <c r="T44" i="3"/>
  <c r="T45" i="3"/>
  <c r="B45" i="3"/>
  <c r="O45" i="3"/>
  <c r="T38" i="3"/>
  <c r="O41" i="4"/>
  <c r="P41" i="4"/>
  <c r="U39" i="4"/>
  <c r="T39" i="4"/>
  <c r="P34" i="4"/>
  <c r="U44" i="4"/>
  <c r="T44" i="4"/>
  <c r="P31" i="4"/>
  <c r="U42" i="4"/>
  <c r="T42" i="4"/>
  <c r="P33" i="4"/>
  <c r="U41" i="4"/>
  <c r="T41" i="4"/>
  <c r="P35" i="4"/>
  <c r="U40" i="4"/>
  <c r="T40" i="4"/>
  <c r="B45" i="4"/>
  <c r="O45" i="4"/>
  <c r="T38" i="4"/>
  <c r="T21" i="4"/>
  <c r="O41" i="5"/>
  <c r="P41" i="5"/>
  <c r="U39" i="5"/>
  <c r="P35" i="5"/>
  <c r="U40" i="5"/>
  <c r="P33" i="5"/>
  <c r="U41" i="5"/>
  <c r="P31" i="5"/>
  <c r="U42" i="5"/>
  <c r="P32" i="5"/>
  <c r="U43" i="5"/>
  <c r="P34" i="5"/>
  <c r="U44" i="5"/>
  <c r="T39" i="5"/>
  <c r="T40" i="5"/>
  <c r="T41" i="5"/>
  <c r="T42" i="5"/>
  <c r="T43" i="5"/>
  <c r="T44" i="5"/>
  <c r="T45" i="5"/>
  <c r="B45" i="5"/>
  <c r="O45" i="5"/>
  <c r="T38" i="5"/>
  <c r="T40" i="6"/>
  <c r="T42" i="6"/>
  <c r="T43" i="6"/>
  <c r="O41" i="6"/>
  <c r="T39" i="6"/>
  <c r="T41" i="6"/>
  <c r="T44" i="6"/>
  <c r="T45" i="6"/>
  <c r="B45" i="6"/>
  <c r="O45" i="6"/>
  <c r="T38" i="6"/>
  <c r="O41" i="7"/>
  <c r="P41" i="7"/>
  <c r="U39" i="7"/>
  <c r="P35" i="7"/>
  <c r="U40" i="7"/>
  <c r="P33" i="7"/>
  <c r="U41" i="7"/>
  <c r="P31" i="7"/>
  <c r="U42" i="7"/>
  <c r="P32" i="7"/>
  <c r="U43" i="7"/>
  <c r="P34" i="7"/>
  <c r="U44" i="7"/>
  <c r="T39" i="7"/>
  <c r="T40" i="7"/>
  <c r="T41" i="7"/>
  <c r="T42" i="7"/>
  <c r="T43" i="7"/>
  <c r="T44" i="7"/>
  <c r="T45" i="7"/>
  <c r="B45" i="7"/>
  <c r="O45" i="7"/>
  <c r="T38" i="7"/>
  <c r="T21" i="7"/>
  <c r="O41" i="8"/>
  <c r="P34" i="8"/>
  <c r="U44" i="8"/>
  <c r="T44" i="8"/>
  <c r="T42" i="8"/>
  <c r="T40" i="8"/>
  <c r="B45" i="8"/>
  <c r="O45" i="8"/>
  <c r="T38" i="8"/>
  <c r="T41" i="9"/>
  <c r="T40" i="9"/>
  <c r="T44" i="9"/>
  <c r="T43" i="9"/>
  <c r="T42" i="9"/>
  <c r="B45" i="9"/>
  <c r="O41" i="10"/>
  <c r="T39" i="10"/>
  <c r="T40" i="10"/>
  <c r="T41" i="10"/>
  <c r="T42" i="10"/>
  <c r="T43" i="10"/>
  <c r="T44" i="10"/>
  <c r="T45" i="10"/>
  <c r="B45" i="10"/>
  <c r="O45" i="10"/>
  <c r="T38" i="10"/>
  <c r="O41" i="11"/>
  <c r="T40" i="11"/>
  <c r="T41" i="11"/>
  <c r="T42" i="11"/>
  <c r="T44" i="11"/>
  <c r="B45" i="11"/>
  <c r="O45" i="11"/>
  <c r="T38" i="11"/>
  <c r="O41" i="12"/>
  <c r="P41" i="12"/>
  <c r="U39" i="12"/>
  <c r="P35" i="12"/>
  <c r="U40" i="12"/>
  <c r="P33" i="12"/>
  <c r="U41" i="12"/>
  <c r="P31" i="12"/>
  <c r="U42" i="12"/>
  <c r="P32" i="12"/>
  <c r="U43" i="12"/>
  <c r="P34" i="12"/>
  <c r="U44" i="12"/>
  <c r="T40" i="12"/>
  <c r="T41" i="12"/>
  <c r="T42" i="12"/>
  <c r="T43" i="12"/>
  <c r="T44" i="12"/>
  <c r="B45" i="12"/>
  <c r="O45" i="12"/>
  <c r="T38" i="12"/>
  <c r="T40" i="13"/>
  <c r="T44" i="13"/>
  <c r="T42" i="13"/>
  <c r="T41" i="13"/>
  <c r="B45" i="13"/>
  <c r="O45" i="13"/>
  <c r="T38" i="13"/>
  <c r="T44" i="14"/>
  <c r="T42" i="14"/>
  <c r="T41" i="14"/>
  <c r="T40" i="14"/>
  <c r="P34" i="15"/>
  <c r="U44" i="15"/>
  <c r="T44" i="15"/>
  <c r="P32" i="15"/>
  <c r="U43" i="15"/>
  <c r="T43" i="15"/>
  <c r="O41" i="15"/>
  <c r="T39" i="15"/>
  <c r="T40" i="15"/>
  <c r="T42" i="15"/>
  <c r="T45" i="15"/>
  <c r="P31" i="15"/>
  <c r="U42" i="15"/>
  <c r="P33" i="15"/>
  <c r="U41" i="15"/>
  <c r="P35" i="15"/>
  <c r="U40" i="15"/>
  <c r="B45" i="15"/>
  <c r="P34" i="16"/>
  <c r="U44" i="16"/>
  <c r="T44" i="16"/>
  <c r="P32" i="16"/>
  <c r="U43" i="16"/>
  <c r="T43" i="16"/>
  <c r="O41" i="16"/>
  <c r="T39" i="16"/>
  <c r="T40" i="16"/>
  <c r="T41" i="16"/>
  <c r="T42" i="16"/>
  <c r="T45" i="16"/>
  <c r="P31" i="16"/>
  <c r="U42" i="16"/>
  <c r="P33" i="16"/>
  <c r="U41" i="16"/>
  <c r="P35" i="16"/>
  <c r="U40" i="16"/>
  <c r="O41" i="2"/>
  <c r="P41" i="2"/>
  <c r="U39" i="2"/>
  <c r="P35" i="2"/>
  <c r="U40" i="2"/>
  <c r="P33" i="2"/>
  <c r="U41" i="2"/>
  <c r="P31" i="2"/>
  <c r="U42" i="2"/>
  <c r="P34" i="2"/>
  <c r="U44" i="2"/>
  <c r="T39" i="2"/>
  <c r="T40" i="2"/>
  <c r="T41" i="2"/>
  <c r="T42" i="2"/>
  <c r="T43" i="2"/>
  <c r="T44" i="2"/>
  <c r="T45" i="2"/>
  <c r="B45" i="2"/>
  <c r="O45" i="2"/>
  <c r="T38" i="2"/>
  <c r="B46" i="3"/>
  <c r="B46" i="5"/>
  <c r="B46" i="6"/>
  <c r="B46" i="7"/>
  <c r="B46" i="8"/>
  <c r="B46" i="9"/>
  <c r="B46" i="10"/>
  <c r="B46" i="11"/>
  <c r="B46" i="12"/>
  <c r="B46" i="13"/>
  <c r="B46" i="15"/>
  <c r="B46" i="2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L43" i="4"/>
  <c r="M43" i="4"/>
  <c r="O43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N41" i="5"/>
  <c r="M41" i="5"/>
  <c r="L41" i="5"/>
  <c r="K41" i="5"/>
  <c r="J41" i="5"/>
  <c r="I41" i="5"/>
  <c r="H41" i="5"/>
  <c r="G41" i="5"/>
  <c r="E41" i="5"/>
  <c r="D41" i="5"/>
  <c r="C41" i="5"/>
  <c r="B41" i="5"/>
  <c r="N41" i="6"/>
  <c r="M41" i="6"/>
  <c r="L41" i="6"/>
  <c r="K41" i="6"/>
  <c r="J41" i="6"/>
  <c r="I41" i="6"/>
  <c r="H41" i="6"/>
  <c r="G41" i="6"/>
  <c r="F41" i="6"/>
  <c r="E41" i="6"/>
  <c r="D41" i="6"/>
  <c r="C41" i="6"/>
  <c r="L43" i="7"/>
  <c r="M43" i="7"/>
  <c r="O43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M41" i="9"/>
  <c r="L41" i="9"/>
  <c r="K41" i="9"/>
  <c r="J41" i="9"/>
  <c r="I41" i="9"/>
  <c r="H41" i="9"/>
  <c r="G41" i="9"/>
  <c r="F41" i="9"/>
  <c r="E41" i="9"/>
  <c r="D41" i="9"/>
  <c r="C41" i="9"/>
  <c r="B41" i="9"/>
  <c r="M43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N41" i="14"/>
  <c r="M41" i="14"/>
  <c r="L41" i="14"/>
  <c r="K41" i="14"/>
  <c r="J41" i="14"/>
  <c r="I41" i="14"/>
  <c r="H41" i="14"/>
  <c r="G41" i="14"/>
  <c r="F41" i="14"/>
  <c r="E41" i="14"/>
  <c r="D41" i="14"/>
  <c r="C41" i="14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M41" i="16"/>
  <c r="L41" i="16"/>
  <c r="K41" i="16"/>
  <c r="J41" i="16"/>
  <c r="I41" i="16"/>
  <c r="H41" i="16"/>
  <c r="G41" i="16"/>
  <c r="F41" i="16"/>
  <c r="E41" i="16"/>
  <c r="D41" i="16"/>
  <c r="C41" i="16"/>
  <c r="B41" i="16"/>
  <c r="M43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I41" i="28"/>
  <c r="T42" i="28"/>
  <c r="T39" i="8"/>
  <c r="L43" i="8"/>
  <c r="T21" i="5"/>
  <c r="L43" i="5"/>
  <c r="M43" i="5"/>
  <c r="T43" i="4"/>
  <c r="T45" i="4"/>
  <c r="P32" i="4"/>
  <c r="U43" i="4"/>
  <c r="T21" i="10"/>
  <c r="L43" i="10"/>
  <c r="P41" i="15"/>
  <c r="U39" i="15"/>
  <c r="T39" i="11"/>
  <c r="B46" i="16"/>
  <c r="O45" i="16"/>
  <c r="T38" i="16"/>
  <c r="D41" i="28"/>
  <c r="T44" i="28"/>
  <c r="O43" i="10"/>
  <c r="T21" i="8"/>
  <c r="B41" i="6"/>
  <c r="O43" i="5"/>
  <c r="P33" i="6"/>
  <c r="U41" i="6"/>
  <c r="T21" i="16"/>
  <c r="M43" i="16"/>
  <c r="L43" i="16"/>
  <c r="O43" i="16"/>
  <c r="P41" i="6"/>
  <c r="U39" i="6"/>
  <c r="N41" i="16"/>
  <c r="P41" i="16"/>
  <c r="U39" i="16"/>
  <c r="L43" i="3"/>
  <c r="M43" i="3"/>
  <c r="T21" i="3"/>
  <c r="U45" i="5"/>
  <c r="P38" i="7"/>
  <c r="U45" i="7"/>
  <c r="P38" i="5"/>
  <c r="U45" i="16"/>
  <c r="P38" i="16"/>
  <c r="P38" i="4"/>
  <c r="U45" i="4"/>
  <c r="P35" i="3"/>
  <c r="U40" i="3"/>
  <c r="P31" i="3"/>
  <c r="P34" i="3"/>
  <c r="U44" i="3"/>
  <c r="P41" i="3"/>
  <c r="U39" i="3"/>
  <c r="P33" i="3"/>
  <c r="U41" i="3"/>
  <c r="P32" i="3"/>
  <c r="U43" i="3"/>
  <c r="P35" i="10"/>
  <c r="U40" i="10"/>
  <c r="P31" i="10"/>
  <c r="P34" i="10"/>
  <c r="U44" i="10"/>
  <c r="P41" i="10"/>
  <c r="U39" i="10"/>
  <c r="P33" i="10"/>
  <c r="U41" i="10"/>
  <c r="P32" i="10"/>
  <c r="U43" i="10"/>
  <c r="T41" i="8"/>
  <c r="T43" i="8"/>
  <c r="P32" i="2"/>
  <c r="P38" i="2"/>
  <c r="P38" i="12"/>
  <c r="P38" i="15"/>
  <c r="U45" i="15"/>
  <c r="L43" i="2"/>
  <c r="T21" i="2"/>
  <c r="U43" i="2"/>
  <c r="U45" i="2"/>
  <c r="P31" i="8"/>
  <c r="U42" i="8"/>
  <c r="P33" i="8"/>
  <c r="U41" i="8"/>
  <c r="P32" i="8"/>
  <c r="P35" i="8"/>
  <c r="U40" i="8"/>
  <c r="P41" i="8"/>
  <c r="U39" i="8"/>
  <c r="M43" i="8"/>
  <c r="O45" i="15"/>
  <c r="T38" i="15"/>
  <c r="F41" i="28"/>
  <c r="J41" i="28"/>
  <c r="K41" i="28"/>
  <c r="E41" i="28"/>
  <c r="L41" i="28"/>
  <c r="T21" i="12"/>
  <c r="T39" i="12"/>
  <c r="T45" i="12"/>
  <c r="M43" i="12"/>
  <c r="L43" i="12"/>
  <c r="U45" i="12"/>
  <c r="T40" i="28"/>
  <c r="H41" i="28"/>
  <c r="G41" i="28"/>
  <c r="C41" i="28"/>
  <c r="M41" i="28"/>
  <c r="P35" i="6"/>
  <c r="U40" i="6"/>
  <c r="U43" i="6"/>
  <c r="P34" i="6"/>
  <c r="U44" i="6"/>
  <c r="O43" i="3"/>
  <c r="T45" i="8"/>
  <c r="T41" i="28"/>
  <c r="P38" i="3"/>
  <c r="U42" i="3"/>
  <c r="U45" i="3"/>
  <c r="U42" i="10"/>
  <c r="U45" i="10"/>
  <c r="P38" i="10"/>
  <c r="O43" i="2"/>
  <c r="P38" i="8"/>
  <c r="U43" i="8"/>
  <c r="O43" i="8"/>
  <c r="U45" i="8"/>
  <c r="O43" i="12"/>
  <c r="P38" i="6"/>
  <c r="U45" i="6"/>
  <c r="M43" i="6"/>
  <c r="T21" i="6"/>
  <c r="L43" i="6"/>
  <c r="O43" i="6"/>
  <c r="T21" i="15"/>
  <c r="M43" i="15"/>
  <c r="O43" i="15"/>
  <c r="T43" i="11"/>
  <c r="T45" i="11"/>
  <c r="T43" i="14"/>
  <c r="T43" i="13"/>
  <c r="T45" i="13"/>
  <c r="O39" i="13"/>
  <c r="P41" i="13"/>
  <c r="U39" i="13"/>
  <c r="P31" i="13"/>
  <c r="P32" i="13"/>
  <c r="U43" i="13"/>
  <c r="P33" i="13"/>
  <c r="U41" i="13"/>
  <c r="P34" i="13"/>
  <c r="U44" i="13"/>
  <c r="P35" i="13"/>
  <c r="U40" i="13"/>
  <c r="M43" i="13"/>
  <c r="T21" i="13"/>
  <c r="L43" i="13"/>
  <c r="O43" i="13"/>
  <c r="U42" i="13"/>
  <c r="U45" i="13"/>
  <c r="P38" i="13"/>
  <c r="P35" i="11"/>
  <c r="U40" i="11"/>
  <c r="P32" i="11"/>
  <c r="U43" i="11"/>
  <c r="P33" i="11"/>
  <c r="U41" i="11"/>
  <c r="P34" i="11"/>
  <c r="U44" i="11"/>
  <c r="P41" i="11"/>
  <c r="U39" i="11"/>
  <c r="P31" i="11"/>
  <c r="T43" i="28"/>
  <c r="U42" i="11"/>
  <c r="P38" i="11"/>
  <c r="U45" i="11"/>
  <c r="L43" i="14"/>
  <c r="M43" i="14"/>
  <c r="T21" i="14"/>
  <c r="O43" i="14"/>
  <c r="T21" i="11"/>
  <c r="M43" i="11"/>
  <c r="O43" i="11"/>
  <c r="P33" i="14"/>
  <c r="U41" i="14"/>
  <c r="P33" i="9"/>
  <c r="U41" i="9"/>
  <c r="P34" i="14"/>
  <c r="U44" i="14"/>
  <c r="P31" i="14"/>
  <c r="U42" i="14"/>
  <c r="P32" i="14"/>
  <c r="P35" i="14"/>
  <c r="P38" i="14"/>
  <c r="P35" i="9"/>
  <c r="U40" i="9"/>
  <c r="P31" i="9"/>
  <c r="U42" i="9"/>
  <c r="P32" i="9"/>
  <c r="U43" i="9"/>
  <c r="U40" i="14"/>
  <c r="U43" i="14"/>
  <c r="P34" i="9"/>
  <c r="U44" i="9"/>
  <c r="P38" i="9"/>
  <c r="P31" i="28"/>
  <c r="P35" i="28"/>
  <c r="U40" i="28"/>
  <c r="P33" i="28"/>
  <c r="U41" i="28"/>
  <c r="P34" i="28"/>
  <c r="U44" i="28"/>
  <c r="P32" i="28"/>
  <c r="U43" i="28"/>
  <c r="B41" i="14"/>
  <c r="N41" i="9"/>
  <c r="P38" i="28"/>
  <c r="U42" i="28"/>
  <c r="O45" i="9"/>
  <c r="T38" i="9"/>
  <c r="O41" i="14"/>
  <c r="B39" i="14"/>
  <c r="O36" i="9"/>
  <c r="B45" i="14"/>
  <c r="B41" i="28"/>
  <c r="N41" i="28"/>
  <c r="O41" i="9"/>
  <c r="P41" i="14"/>
  <c r="U39" i="14"/>
  <c r="U45" i="14"/>
  <c r="T39" i="14"/>
  <c r="T45" i="14"/>
  <c r="B45" i="28"/>
  <c r="O45" i="28"/>
  <c r="T38" i="28"/>
  <c r="P41" i="9"/>
  <c r="U39" i="9"/>
  <c r="U45" i="9"/>
  <c r="T39" i="9"/>
  <c r="T45" i="9"/>
  <c r="M43" i="28"/>
  <c r="T21" i="28"/>
  <c r="O41" i="28"/>
  <c r="B46" i="14"/>
  <c r="O45" i="14"/>
  <c r="T38" i="14"/>
  <c r="P41" i="28"/>
  <c r="U39" i="28"/>
  <c r="U45" i="28"/>
  <c r="T39" i="28"/>
  <c r="T45" i="28"/>
  <c r="O43" i="28"/>
  <c r="M43" i="9"/>
  <c r="L43" i="9"/>
  <c r="T21" i="9"/>
  <c r="O43" i="9"/>
</calcChain>
</file>

<file path=xl/comments1.xml><?xml version="1.0" encoding="utf-8"?>
<comments xmlns="http://schemas.openxmlformats.org/spreadsheetml/2006/main">
  <authors>
    <author>Kaj</author>
    <author>www.statistikdatabasen.scb.se</author>
  </authors>
  <commentList>
    <comment ref="N17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El till elpannor och värmepumpar.</t>
        </r>
      </text>
    </comment>
    <comment ref="A19" authorId="1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0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1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6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<sst xmlns="http://schemas.openxmlformats.org/spreadsheetml/2006/main" count="1546" uniqueCount="80">
  <si>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</si>
  <si>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</si>
  <si>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</si>
  <si>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</si>
  <si>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</si>
  <si>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</si>
  <si>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</si>
  <si>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</si>
  <si>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Övrigt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</si>
  <si>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</si>
  <si>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</si>
  <si>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</si>
  <si>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</si>
  <si>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</si>
  <si>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</si>
  <si>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</si>
  <si>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</si>
  <si>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</si>
  <si>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</si>
  <si>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</si>
  <si>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</si>
  <si>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</si>
  <si>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</si>
  <si>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</si>
  <si>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</si>
  <si>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</si>
  <si>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</si>
  <si>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</si>
  <si>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</si>
  <si>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Fjärrvärme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</si>
  <si>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</si>
  <si>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</si>
  <si>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</si>
  <si>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</si>
  <si>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</si>
  <si>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</si>
  <si>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industri</t>
  </si>
  <si>
    <t>slutanv. offentlig verksamhet</t>
  </si>
  <si>
    <t>offentligt</t>
  </si>
  <si>
    <t>slutanv. transporter</t>
  </si>
  <si>
    <t>transporter</t>
  </si>
  <si>
    <t>slutanv. övriga tjänster</t>
  </si>
  <si>
    <t>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</si>
  <si>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</si>
  <si>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</si>
  <si>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</si>
  <si>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</si>
  <si>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</si>
  <si>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</si>
  <si>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</si>
  <si>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</si>
  <si>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</si>
  <si>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</si>
  <si>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</si>
  <si>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</si>
  <si>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</si>
  <si>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</si>
  <si>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</si>
  <si>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Biobränslen</t>
  </si>
  <si>
    <t>Dalarnas län</t>
  </si>
  <si>
    <t>2021 Vansbro</t>
  </si>
  <si>
    <t>2023 Malung-Sälen</t>
  </si>
  <si>
    <t>2026 Gagnef</t>
  </si>
  <si>
    <t>2029 Leksand</t>
  </si>
  <si>
    <t>2031 Rättvik</t>
  </si>
  <si>
    <t>2034 Orsa</t>
  </si>
  <si>
    <t>2039 Älvdalen</t>
  </si>
  <si>
    <t>2061 Smedjebacken</t>
  </si>
  <si>
    <t>2062 Mora</t>
  </si>
  <si>
    <t>2080 Falun</t>
  </si>
  <si>
    <t>2081 Borlänge</t>
  </si>
  <si>
    <t>2082 Säter</t>
  </si>
  <si>
    <t>2083 Hedemora</t>
  </si>
  <si>
    <t>2084 Avesta</t>
  </si>
  <si>
    <t>2085 Ludvika</t>
  </si>
  <si>
    <t>Beckolja</t>
  </si>
  <si>
    <t>RT-flis</t>
  </si>
  <si>
    <t>IMPORT</t>
  </si>
  <si>
    <t>solceller</t>
  </si>
  <si>
    <t>Returbränsle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</si>
</sst>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%"/>
    <numFmt numFmtId="166" formatCode="0.0"/>
    <numFmt numFmtId="167" formatCode="#,##0.000"/>
  </numFmts>
  <fonts count="3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Tahom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2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8"/>
      <color rgb="FF000000"/>
      <name val="Tahoma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2"/>
      <color rgb="FFFF0000"/>
      <name val="Calibri"/>
      <family val="2"/>
      <scheme val="minor"/>
    </font>
    <font>
      <u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Border="0" applyAlignment="0"/>
    <xf numFmtId="9" fontId="4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5" fillId="0" borderId="0" xfId="1" applyFont="1" applyFill="1" applyProtection="1"/>
    <xf numFmtId="0" fontId="4" fillId="0" borderId="0" xfId="1" applyFill="1" applyProtection="1"/>
    <xf numFmtId="0" fontId="6" fillId="0" borderId="0" xfId="1" applyFont="1"/>
    <xf numFmtId="0" fontId="7" fillId="0" borderId="0" xfId="0" applyFont="1" applyFill="1" applyProtection="1"/>
    <xf numFmtId="0" fontId="7" fillId="0" borderId="0" xfId="1" applyFont="1" applyFill="1" applyProtection="1"/>
    <xf numFmtId="3" fontId="4" fillId="0" borderId="0" xfId="1" applyNumberFormat="1"/>
    <xf numFmtId="0" fontId="4" fillId="0" borderId="0" xfId="1"/>
    <xf numFmtId="3" fontId="0" fillId="0" borderId="0" xfId="0" applyNumberFormat="1" applyFill="1" applyProtection="1"/>
    <xf numFmtId="3" fontId="4" fillId="0" borderId="0" xfId="1" applyNumberFormat="1" applyFill="1" applyProtection="1"/>
    <xf numFmtId="3" fontId="8" fillId="0" borderId="0" xfId="1" applyNumberFormat="1" applyFont="1" applyFill="1" applyProtection="1"/>
    <xf numFmtId="164" fontId="4" fillId="0" borderId="0" xfId="1" applyNumberFormat="1"/>
    <xf numFmtId="4" fontId="4" fillId="0" borderId="0" xfId="1" applyNumberFormat="1"/>
    <xf numFmtId="165" fontId="4" fillId="0" borderId="0" xfId="1" applyNumberFormat="1"/>
    <xf numFmtId="10" fontId="4" fillId="0" borderId="0" xfId="1" applyNumberFormat="1"/>
    <xf numFmtId="3" fontId="0" fillId="0" borderId="0" xfId="0" applyNumberFormat="1"/>
    <xf numFmtId="3" fontId="0" fillId="0" borderId="0" xfId="0" applyNumberFormat="1" applyAlignment="1">
      <alignment horizontal="right"/>
    </xf>
    <xf numFmtId="165" fontId="9" fillId="0" borderId="0" xfId="1" applyNumberFormat="1" applyFont="1"/>
    <xf numFmtId="165" fontId="6" fillId="0" borderId="0" xfId="1" applyNumberFormat="1" applyFont="1"/>
    <xf numFmtId="166" fontId="4" fillId="0" borderId="0" xfId="1" applyNumberFormat="1"/>
    <xf numFmtId="2" fontId="4" fillId="0" borderId="0" xfId="1" applyNumberFormat="1"/>
    <xf numFmtId="0" fontId="10" fillId="0" borderId="0" xfId="1" applyFont="1"/>
    <xf numFmtId="3" fontId="10" fillId="0" borderId="0" xfId="1" applyNumberFormat="1" applyFont="1"/>
    <xf numFmtId="3" fontId="9" fillId="0" borderId="0" xfId="1" applyNumberFormat="1" applyFont="1"/>
    <xf numFmtId="3" fontId="9" fillId="2" borderId="0" xfId="1" applyNumberFormat="1" applyFont="1" applyFill="1"/>
    <xf numFmtId="3" fontId="11" fillId="2" borderId="0" xfId="1" applyNumberFormat="1" applyFont="1" applyFill="1"/>
    <xf numFmtId="3" fontId="4" fillId="2" borderId="0" xfId="1" applyNumberFormat="1" applyFill="1"/>
    <xf numFmtId="0" fontId="0" fillId="0" borderId="0" xfId="0" applyFill="1" applyProtection="1"/>
    <xf numFmtId="1" fontId="4" fillId="0" borderId="0" xfId="1" applyNumberFormat="1"/>
    <xf numFmtId="165" fontId="9" fillId="0" borderId="0" xfId="2" applyNumberFormat="1" applyFont="1"/>
    <xf numFmtId="165" fontId="3" fillId="0" borderId="0" xfId="2" applyNumberFormat="1" applyFont="1"/>
    <xf numFmtId="3" fontId="11" fillId="0" borderId="0" xfId="1" applyNumberFormat="1" applyFont="1"/>
    <xf numFmtId="9" fontId="11" fillId="0" borderId="0" xfId="2" applyFont="1"/>
    <xf numFmtId="0" fontId="4" fillId="0" borderId="0" xfId="1" applyAlignment="1">
      <alignment horizontal="right"/>
    </xf>
    <xf numFmtId="3" fontId="4" fillId="0" borderId="0" xfId="1" applyNumberFormat="1" applyAlignment="1">
      <alignment horizontal="right"/>
    </xf>
    <xf numFmtId="9" fontId="11" fillId="0" borderId="0" xfId="2" applyNumberFormat="1" applyFont="1"/>
    <xf numFmtId="9" fontId="3" fillId="0" borderId="0" xfId="2" applyFont="1"/>
    <xf numFmtId="0" fontId="13" fillId="0" borderId="0" xfId="0" applyFont="1"/>
    <xf numFmtId="3" fontId="14" fillId="0" borderId="0" xfId="0" applyNumberFormat="1" applyFont="1"/>
    <xf numFmtId="3" fontId="14" fillId="0" borderId="0" xfId="0" applyNumberFormat="1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0" xfId="0" applyFont="1"/>
    <xf numFmtId="3" fontId="16" fillId="0" borderId="0" xfId="1" applyNumberFormat="1" applyFont="1"/>
    <xf numFmtId="3" fontId="17" fillId="0" borderId="0" xfId="1" applyNumberFormat="1" applyFont="1" applyFill="1" applyProtection="1"/>
    <xf numFmtId="0" fontId="17" fillId="0" borderId="0" xfId="1" applyFont="1" applyFill="1" applyProtection="1"/>
    <xf numFmtId="165" fontId="4" fillId="0" borderId="0" xfId="1" applyNumberFormat="1" applyFill="1" applyProtection="1"/>
    <xf numFmtId="165" fontId="2" fillId="0" borderId="0" xfId="2" applyNumberFormat="1" applyFont="1"/>
    <xf numFmtId="3" fontId="0" fillId="0" borderId="0" xfId="1" applyNumberFormat="1" applyFont="1"/>
    <xf numFmtId="0" fontId="14" fillId="0" borderId="0" xfId="3" applyFont="1"/>
    <xf numFmtId="9" fontId="2" fillId="0" borderId="0" xfId="2" applyFont="1"/>
    <xf numFmtId="0" fontId="4" fillId="0" borderId="0" xfId="1" applyFont="1" applyFill="1" applyProtection="1"/>
    <xf numFmtId="3" fontId="0" fillId="0" borderId="0" xfId="0" applyNumberFormat="1" applyFill="1" applyAlignment="1" applyProtection="1">
      <alignment horizontal="right"/>
    </xf>
    <xf numFmtId="9" fontId="4" fillId="0" borderId="0" xfId="4" applyFont="1"/>
    <xf numFmtId="167" fontId="4" fillId="0" borderId="0" xfId="1" applyNumberFormat="1" applyFill="1" applyProtection="1"/>
    <xf numFmtId="3" fontId="21" fillId="0" borderId="0" xfId="0" applyNumberFormat="1" applyFont="1" applyFill="1" applyAlignment="1" applyProtection="1">
      <alignment horizontal="right"/>
    </xf>
    <xf numFmtId="3" fontId="22" fillId="0" borderId="0" xfId="0" applyNumberFormat="1" applyFont="1" applyFill="1" applyProtection="1"/>
    <xf numFmtId="4" fontId="4" fillId="0" borderId="0" xfId="1" applyNumberFormat="1" applyFill="1" applyProtection="1"/>
    <xf numFmtId="3" fontId="23" fillId="0" borderId="0" xfId="0" applyNumberFormat="1" applyFont="1" applyFill="1" applyProtection="1"/>
    <xf numFmtId="3" fontId="23" fillId="0" borderId="0" xfId="0" applyNumberFormat="1" applyFont="1" applyFill="1" applyAlignment="1" applyProtection="1">
      <alignment horizontal="right"/>
    </xf>
    <xf numFmtId="3" fontId="0" fillId="0" borderId="0" xfId="0" applyNumberFormat="1" applyFont="1" applyFill="1" applyProtection="1"/>
    <xf numFmtId="3" fontId="24" fillId="0" borderId="0" xfId="0" applyNumberFormat="1" applyFont="1" applyFill="1" applyProtection="1"/>
    <xf numFmtId="0" fontId="7" fillId="0" borderId="0" xfId="1" applyFont="1"/>
    <xf numFmtId="3" fontId="24" fillId="0" borderId="0" xfId="0" applyNumberFormat="1" applyFont="1" applyFill="1" applyAlignment="1" applyProtection="1">
      <alignment horizontal="right"/>
    </xf>
    <xf numFmtId="3" fontId="25" fillId="0" borderId="0" xfId="0" applyNumberFormat="1" applyFont="1" applyFill="1" applyAlignment="1" applyProtection="1">
      <alignment horizontal="right"/>
    </xf>
    <xf numFmtId="3" fontId="26" fillId="0" borderId="0" xfId="0" applyNumberFormat="1" applyFont="1" applyFill="1" applyProtection="1"/>
    <xf numFmtId="0" fontId="27" fillId="0" borderId="0" xfId="0" applyFont="1"/>
    <xf numFmtId="3" fontId="26" fillId="0" borderId="0" xfId="0" applyNumberFormat="1" applyFont="1" applyFill="1" applyAlignment="1" applyProtection="1">
      <alignment horizontal="right"/>
    </xf>
    <xf numFmtId="3" fontId="28" fillId="0" borderId="0" xfId="0" applyNumberFormat="1" applyFont="1" applyFill="1" applyAlignment="1" applyProtection="1">
      <alignment horizontal="right"/>
    </xf>
    <xf numFmtId="3" fontId="29" fillId="0" borderId="0" xfId="0" applyNumberFormat="1" applyFont="1" applyFill="1" applyAlignment="1" applyProtection="1">
      <alignment horizontal="right"/>
    </xf>
    <xf numFmtId="3" fontId="21" fillId="0" borderId="0" xfId="0" applyNumberFormat="1" applyFont="1" applyFill="1" applyProtection="1"/>
    <xf numFmtId="3" fontId="0" fillId="0" borderId="0" xfId="0" applyNumberFormat="1" applyFont="1" applyFill="1" applyAlignment="1" applyProtection="1">
      <alignment horizontal="right"/>
    </xf>
    <xf numFmtId="3" fontId="7" fillId="0" borderId="0" xfId="1" applyNumberFormat="1" applyFont="1"/>
    <xf numFmtId="3" fontId="4" fillId="0" borderId="0" xfId="1" applyNumberFormat="1" applyFont="1" applyFill="1" applyProtection="1"/>
    <xf numFmtId="3" fontId="25" fillId="0" borderId="0" xfId="0" applyNumberFormat="1" applyFont="1" applyFill="1" applyProtection="1"/>
    <xf numFmtId="3" fontId="30" fillId="0" borderId="0" xfId="1" applyNumberFormat="1" applyFont="1" applyFill="1" applyProtection="1"/>
    <xf numFmtId="3" fontId="6" fillId="0" borderId="0" xfId="1" applyNumberFormat="1" applyFont="1"/>
    <xf numFmtId="3" fontId="13" fillId="0" borderId="0" xfId="0" applyNumberFormat="1" applyFont="1"/>
    <xf numFmtId="3" fontId="7" fillId="0" borderId="0" xfId="0" applyNumberFormat="1" applyFont="1" applyFill="1" applyProtection="1"/>
    <xf numFmtId="3" fontId="31" fillId="0" borderId="0" xfId="1" applyNumberFormat="1" applyFont="1" applyFill="1" applyProtection="1"/>
    <xf numFmtId="3" fontId="21" fillId="0" borderId="0" xfId="0" applyNumberFormat="1" applyFont="1"/>
    <xf numFmtId="10" fontId="9" fillId="0" borderId="0" xfId="1" applyNumberFormat="1" applyFont="1"/>
  </cellXfs>
  <cellStyles count="5">
    <cellStyle name="Normal" xfId="0" builtinId="0"/>
    <cellStyle name="Normal 2" xfId="1"/>
    <cellStyle name="Normal 3" xfId="3"/>
    <cellStyle name="Percent 2" xfId="2"/>
    <cellStyle name="Procent" xfId="4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7" Type="http://schemas.openxmlformats.org/officeDocument/2006/relationships/worksheet" Target="worksheets/sheet7.xml"/><Relationship Id="rId20" Type="http://schemas.openxmlformats.org/officeDocument/2006/relationships/calcChain" Target="calcChain.xml"/><Relationship Id="rId16" Type="http://schemas.openxmlformats.org/officeDocument/2006/relationships/worksheet" Target="worksheets/sheet16.xml"/><Relationship Id="rId2" Type="http://schemas.openxmlformats.org/officeDocument/2006/relationships/worksheet" Target="worksheets/sheet2.xml"/><Relationship Id="rId11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5" Type="http://schemas.openxmlformats.org/officeDocument/2006/relationships/worksheet" Target="worksheets/sheet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4" Type="http://schemas.openxmlformats.org/officeDocument/2006/relationships/worksheet" Target="worksheets/sheet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vmlDrawing" Target="../drawings/vmlDrawing10.vml"/><Relationship Id="rId3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vmlDrawing" Target="../drawings/vmlDrawing11.vml"/><Relationship Id="rId3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Relationship Id="rId2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Relationship Id="rId2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Relationship Id="rId2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vmlDrawing" Target="../drawings/vmlDrawing15.vml"/><Relationship Id="rId3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vmlDrawing" Target="../drawings/vmlDrawing16.vml"/><Relationship Id="rId3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vmlDrawing" Target="../drawings/vmlDrawing6.vml"/><Relationship Id="rId3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vmlDrawing" Target="../drawings/vmlDrawing8.vml"/><Relationship Id="rId3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vmlDrawing" Target="../drawings/vmlDrawing9.vml"/><Relationship Id="rId3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 enableFormatConditionsCalculation="0"/>
  <dimension ref="A1:AV69"/>
  <sheetViews>
    <sheetView tabSelected="1" topLeftCell="A12" workbookViewId="0">
      <selection activeCell="W25" sqref="W25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1.5" style="2" customWidth="1"/>
    <col min="4" max="4" width="8.83203125" style="2"/>
    <col min="5" max="5" width="11" style="2" customWidth="1"/>
    <col min="6" max="6" width="8.83203125" style="2"/>
    <col min="7" max="7" width="10.1640625" style="2" customWidth="1"/>
    <col min="8" max="11" width="8.83203125" style="2"/>
    <col min="12" max="12" width="7" style="2" customWidth="1"/>
    <col min="13" max="13" width="5.83203125" style="2" customWidth="1"/>
    <col min="14" max="14" width="9.6640625" style="2" customWidth="1"/>
    <col min="15" max="15" width="11" style="2" customWidth="1"/>
    <col min="16" max="16" width="10.1640625" style="2" customWidth="1"/>
    <col min="17" max="17" width="9.5" style="2" customWidth="1"/>
    <col min="18" max="20" width="8.83203125" style="2"/>
    <col min="21" max="21" width="10.1640625" style="2" bestFit="1" customWidth="1"/>
    <col min="22" max="16384" width="8.83203125" style="2"/>
  </cols>
  <sheetData>
    <row r="1" spans="1:21" ht="19" x14ac:dyDescent="0.25">
      <c r="A1" s="1" t="s">
        <v>0</v>
      </c>
      <c r="P1" s="3"/>
      <c r="Q1" s="3"/>
      <c r="R1" s="3"/>
      <c r="S1" s="3"/>
      <c r="T1" s="3"/>
      <c r="U1" s="3"/>
    </row>
    <row r="2" spans="1:21" ht="16" x14ac:dyDescent="0.2">
      <c r="A2" s="37" t="s">
        <v>59</v>
      </c>
      <c r="P2" s="3"/>
      <c r="Q2" s="3"/>
      <c r="R2" s="3"/>
      <c r="S2" s="3"/>
      <c r="T2" s="3"/>
      <c r="U2" s="3"/>
    </row>
    <row r="3" spans="1:21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 t="s">
        <v>8</v>
      </c>
      <c r="M3" s="6" t="s">
        <v>8</v>
      </c>
      <c r="N3" s="6"/>
      <c r="O3" s="7" t="s">
        <v>10</v>
      </c>
      <c r="P3" s="3"/>
      <c r="Q3" s="3"/>
      <c r="R3" s="3"/>
      <c r="S3" s="3"/>
      <c r="T3" s="3"/>
      <c r="U3" s="3"/>
    </row>
    <row r="4" spans="1:21" ht="16" x14ac:dyDescent="0.2">
      <c r="A4" s="4" t="s">
        <v>78</v>
      </c>
      <c r="B4" s="39">
        <f>SUM(Vansbro:Ludvika!B4)</f>
        <v>2420</v>
      </c>
      <c r="C4" s="38"/>
      <c r="D4" s="9"/>
      <c r="P4" s="3"/>
      <c r="Q4" s="3"/>
      <c r="R4" s="3"/>
      <c r="S4" s="3"/>
      <c r="T4" s="3"/>
      <c r="U4" s="3"/>
    </row>
    <row r="5" spans="1:21" ht="16" x14ac:dyDescent="0.2">
      <c r="A5" s="5"/>
      <c r="B5" s="39"/>
      <c r="C5" s="27"/>
      <c r="D5" s="27"/>
      <c r="E5" s="27"/>
      <c r="F5" s="27"/>
      <c r="G5" s="27"/>
      <c r="P5" s="3"/>
      <c r="Q5" s="42"/>
      <c r="R5" s="3"/>
      <c r="S5" s="3"/>
      <c r="T5" s="3"/>
      <c r="U5" s="3"/>
    </row>
    <row r="6" spans="1:21" ht="16" x14ac:dyDescent="0.2">
      <c r="A6" s="4" t="s">
        <v>11</v>
      </c>
      <c r="B6" s="39">
        <f>SUM(Vansbro:Ludvika!B6)</f>
        <v>141049</v>
      </c>
      <c r="C6" s="39">
        <f>SUM(Vansbro:Ludvika!C6)</f>
        <v>0</v>
      </c>
      <c r="D6" s="39">
        <f>SUM(Vansbro:Ludvika!D6)</f>
        <v>0</v>
      </c>
      <c r="E6" s="39">
        <f>SUM(Vansbro:Ludvika!E6)</f>
        <v>0</v>
      </c>
      <c r="F6" s="39">
        <f>SUM(Vansbro:Ludvika!F6)</f>
        <v>0</v>
      </c>
      <c r="G6" s="39">
        <f>SUM(Vansbro:Ludvika!G6)</f>
        <v>0</v>
      </c>
      <c r="H6" s="39">
        <f>SUM(Vansbro:Ludvika!H6)</f>
        <v>0</v>
      </c>
      <c r="I6" s="39">
        <f>SUM(Vansbro:Ludvika!I6)</f>
        <v>0</v>
      </c>
      <c r="J6" s="39">
        <f>SUM(Vansbro:Ludvika!J6)</f>
        <v>0</v>
      </c>
      <c r="K6" s="39">
        <f>SUM(Vansbro:Ludvika!K6)</f>
        <v>0</v>
      </c>
      <c r="L6" s="39">
        <f>SUM(Vansbro:Ludvika!L6)</f>
        <v>0</v>
      </c>
      <c r="M6" s="39">
        <f>SUM(Vansbro:Ludvika!M6)</f>
        <v>0</v>
      </c>
      <c r="N6" s="39">
        <f>SUM(Vansbro:Ludvika!N6)</f>
        <v>0</v>
      </c>
      <c r="O6" s="39">
        <f>SUM(C6:N6)</f>
        <v>0</v>
      </c>
      <c r="P6" s="3"/>
      <c r="Q6" s="43"/>
      <c r="R6" s="44"/>
      <c r="S6" s="3"/>
      <c r="T6" s="3"/>
      <c r="U6" s="3"/>
    </row>
    <row r="7" spans="1:21" ht="16" x14ac:dyDescent="0.2">
      <c r="A7" s="4" t="s">
        <v>12</v>
      </c>
      <c r="B7" s="39">
        <f>SUM(Vansbro:Ludvika!B7)</f>
        <v>0</v>
      </c>
      <c r="C7" s="39">
        <f>SUM(Vansbro:Ludvika!C7)</f>
        <v>0</v>
      </c>
      <c r="D7" s="39">
        <f>SUM(Vansbro:Ludvika!D7)</f>
        <v>0</v>
      </c>
      <c r="E7" s="39">
        <f>SUM(Vansbro:Ludvika!E7)</f>
        <v>0</v>
      </c>
      <c r="F7" s="39">
        <f>SUM(Vansbro:Ludvika!F7)</f>
        <v>0</v>
      </c>
      <c r="G7" s="39">
        <f>SUM(Vansbro:Ludvika!G7)</f>
        <v>0</v>
      </c>
      <c r="H7" s="39">
        <f>SUM(Vansbro:Ludvika!H7)</f>
        <v>0</v>
      </c>
      <c r="I7" s="39">
        <f>SUM(Vansbro:Ludvika!I7)</f>
        <v>0</v>
      </c>
      <c r="J7" s="39">
        <f>SUM(Vansbro:Ludvika!J7)</f>
        <v>0</v>
      </c>
      <c r="K7" s="39">
        <f>SUM(Vansbro:Ludvika!K7)</f>
        <v>0</v>
      </c>
      <c r="L7" s="39">
        <f>SUM(Vansbro:Ludvika!L7)</f>
        <v>0</v>
      </c>
      <c r="M7" s="39">
        <f>SUM(Vansbro:Ludvika!M7)</f>
        <v>0</v>
      </c>
      <c r="N7" s="39">
        <f>SUM(Vansbro:Ludvika!N7)</f>
        <v>0</v>
      </c>
      <c r="O7" s="39">
        <f>SUM(C7:N7)</f>
        <v>0</v>
      </c>
      <c r="P7" s="3"/>
      <c r="Q7" s="43"/>
      <c r="R7" s="44"/>
      <c r="S7" s="3"/>
      <c r="T7" s="3"/>
      <c r="U7" s="3"/>
    </row>
    <row r="8" spans="1:21" ht="16" x14ac:dyDescent="0.2">
      <c r="A8" s="4" t="s">
        <v>13</v>
      </c>
      <c r="B8" s="39">
        <f>SUM(Vansbro:Ludvika!B8)</f>
        <v>4563205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9"/>
      <c r="P8" s="3"/>
      <c r="Q8" s="3"/>
      <c r="R8" s="3"/>
      <c r="S8" s="3"/>
      <c r="T8" s="3"/>
      <c r="U8" s="3"/>
    </row>
    <row r="9" spans="1:21" ht="16" x14ac:dyDescent="0.2">
      <c r="A9" s="4" t="s">
        <v>14</v>
      </c>
      <c r="B9" s="39">
        <f>SUM(Vansbro:Ludvika!B9)</f>
        <v>941902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9"/>
      <c r="P9" s="3"/>
      <c r="Q9" s="3"/>
      <c r="R9" s="3"/>
      <c r="S9" s="3"/>
      <c r="T9" s="3"/>
      <c r="U9" s="3"/>
    </row>
    <row r="10" spans="1:21" ht="16" x14ac:dyDescent="0.2">
      <c r="A10" s="4" t="s">
        <v>15</v>
      </c>
      <c r="B10" s="39">
        <f>SUM(B4:B9)</f>
        <v>5648576</v>
      </c>
      <c r="C10" s="39">
        <f>SUM(C6:C7)</f>
        <v>0</v>
      </c>
      <c r="D10" s="39">
        <f t="shared" ref="D10:O10" si="0">SUM(D6:D7)</f>
        <v>0</v>
      </c>
      <c r="E10" s="39">
        <f t="shared" si="0"/>
        <v>0</v>
      </c>
      <c r="F10" s="39">
        <f t="shared" si="0"/>
        <v>0</v>
      </c>
      <c r="G10" s="39">
        <f t="shared" si="0"/>
        <v>0</v>
      </c>
      <c r="H10" s="39">
        <f t="shared" si="0"/>
        <v>0</v>
      </c>
      <c r="I10" s="39">
        <f t="shared" si="0"/>
        <v>0</v>
      </c>
      <c r="J10" s="39">
        <f t="shared" si="0"/>
        <v>0</v>
      </c>
      <c r="K10" s="39">
        <f t="shared" si="0"/>
        <v>0</v>
      </c>
      <c r="L10" s="39">
        <f t="shared" si="0"/>
        <v>0</v>
      </c>
      <c r="M10" s="39">
        <f t="shared" si="0"/>
        <v>0</v>
      </c>
      <c r="N10" s="39">
        <f t="shared" si="0"/>
        <v>0</v>
      </c>
      <c r="O10" s="39">
        <f t="shared" si="0"/>
        <v>0</v>
      </c>
      <c r="P10" s="3"/>
      <c r="Q10" s="3"/>
      <c r="R10" s="3"/>
      <c r="S10" s="3"/>
      <c r="T10" s="3"/>
      <c r="U10" s="3"/>
    </row>
    <row r="11" spans="1:21" ht="16" x14ac:dyDescent="0.2">
      <c r="A11" s="45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3"/>
      <c r="Q11" s="3"/>
      <c r="R11" s="3"/>
      <c r="S11" s="3"/>
      <c r="T11" s="3"/>
      <c r="U11" s="3"/>
    </row>
    <row r="12" spans="1:21" ht="16" x14ac:dyDescent="0.2"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3"/>
      <c r="Q12" s="3"/>
      <c r="R12" s="3"/>
      <c r="S12" s="3"/>
      <c r="T12" s="3"/>
      <c r="U12" s="3"/>
    </row>
    <row r="13" spans="1:21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21" ht="16" x14ac:dyDescent="0.2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21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 t="s">
        <v>76</v>
      </c>
      <c r="M15" s="6" t="s">
        <v>8</v>
      </c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21" ht="16" x14ac:dyDescent="0.2">
      <c r="B16" s="9"/>
      <c r="C16" s="27"/>
      <c r="D16" s="27"/>
      <c r="E16" s="27"/>
      <c r="F16" s="27"/>
      <c r="G16" s="27"/>
      <c r="H16" s="9"/>
      <c r="I16" s="9"/>
      <c r="J16" s="9"/>
      <c r="K16" s="9"/>
      <c r="L16" s="9"/>
      <c r="M16" s="9"/>
      <c r="N16" s="9"/>
      <c r="O16" s="9"/>
      <c r="P16" s="3"/>
      <c r="Q16" s="42"/>
      <c r="R16" s="3"/>
      <c r="S16" s="3"/>
      <c r="T16" s="3"/>
      <c r="U16" s="3"/>
    </row>
    <row r="17" spans="1:24" ht="16" x14ac:dyDescent="0.2">
      <c r="A17" s="4" t="s">
        <v>19</v>
      </c>
      <c r="B17" s="39">
        <f>SUM(Vansbro:Ludvika!B17)</f>
        <v>826205</v>
      </c>
      <c r="C17" s="39">
        <f>SUM(Vansbro:Ludvika!C17)</f>
        <v>4600</v>
      </c>
      <c r="D17" s="39">
        <f>SUM(Vansbro:Ludvika!D17)</f>
        <v>0</v>
      </c>
      <c r="E17" s="39">
        <f>SUM(Vansbro:Ludvika!E17)</f>
        <v>0</v>
      </c>
      <c r="F17" s="39">
        <f>SUM(Vansbro:Ludvika!F17)</f>
        <v>0</v>
      </c>
      <c r="G17" s="39">
        <f>SUM(Vansbro:Ludvika!G17)</f>
        <v>581785.33333333326</v>
      </c>
      <c r="H17" s="39">
        <f>SUM(Vansbro:Ludvika!H17)</f>
        <v>6500</v>
      </c>
      <c r="I17" s="39">
        <f>SUM(Vansbro:Ludvika!I17)</f>
        <v>0</v>
      </c>
      <c r="J17" s="39">
        <f>SUM(Vansbro:Ludvika!J17)</f>
        <v>0</v>
      </c>
      <c r="K17" s="39">
        <f>SUM(Vansbro:Ludvika!K17)</f>
        <v>297500</v>
      </c>
      <c r="L17" s="39">
        <f>SUM(Vansbro:Ludvika!L17)</f>
        <v>63259</v>
      </c>
      <c r="M17" s="39">
        <f>SUM(Vansbro:Ludvika!M17)</f>
        <v>0</v>
      </c>
      <c r="N17" s="39">
        <f>SUM(Vansbro:Ludvika!N17)</f>
        <v>2300</v>
      </c>
      <c r="O17" s="39">
        <f>SUM(C17:N17)</f>
        <v>955944.33333333326</v>
      </c>
      <c r="P17" s="3"/>
      <c r="Q17" s="43"/>
      <c r="R17" s="44"/>
      <c r="S17" s="3"/>
      <c r="T17" s="3"/>
      <c r="U17" s="3"/>
    </row>
    <row r="18" spans="1:24" ht="16" x14ac:dyDescent="0.2">
      <c r="A18" s="4" t="s">
        <v>20</v>
      </c>
      <c r="B18" s="39">
        <f>SUM(Vansbro:Ludvika!B18)</f>
        <v>688886</v>
      </c>
      <c r="C18" s="39">
        <f>SUM(Vansbro:Ludvika!C18)</f>
        <v>23535</v>
      </c>
      <c r="D18" s="39">
        <f>SUM(Vansbro:Ludvika!D18)</f>
        <v>0</v>
      </c>
      <c r="E18" s="39">
        <f>SUM(Vansbro:Ludvika!E18)</f>
        <v>1484</v>
      </c>
      <c r="F18" s="39">
        <f>SUM(Vansbro:Ludvika!F18)</f>
        <v>0</v>
      </c>
      <c r="G18" s="39">
        <f>SUM(Vansbro:Ludvika!G18)</f>
        <v>477844.32222222222</v>
      </c>
      <c r="H18" s="39">
        <f>SUM(Vansbro:Ludvika!H18)</f>
        <v>700</v>
      </c>
      <c r="I18" s="39">
        <f>SUM(Vansbro:Ludvika!I18)</f>
        <v>0</v>
      </c>
      <c r="J18" s="39">
        <f>SUM(Vansbro:Ludvika!J18)</f>
        <v>0</v>
      </c>
      <c r="K18" s="39">
        <f>SUM(Vansbro:Ludvika!K18)</f>
        <v>254600</v>
      </c>
      <c r="L18" s="39">
        <f>SUM(Vansbro:Ludvika!L18)</f>
        <v>2139</v>
      </c>
      <c r="M18" s="39">
        <f>SUM(Vansbro:Ludvika!M18)</f>
        <v>0</v>
      </c>
      <c r="N18" s="39">
        <f>SUM(Vansbro:Ludvika!N18)</f>
        <v>5000</v>
      </c>
      <c r="O18" s="39">
        <f>SUM(C18:N18)</f>
        <v>765302.32222222222</v>
      </c>
      <c r="P18" s="3"/>
      <c r="Q18" s="43"/>
      <c r="R18" s="44"/>
      <c r="S18" s="3"/>
      <c r="T18" s="3"/>
      <c r="U18" s="3"/>
    </row>
    <row r="19" spans="1:24" ht="16" x14ac:dyDescent="0.2">
      <c r="A19" s="4" t="s">
        <v>21</v>
      </c>
      <c r="B19" s="39">
        <f>SUM(Vansbro:Ludvika!B19)</f>
        <v>0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9"/>
      <c r="O19" s="39"/>
      <c r="P19" s="3"/>
      <c r="Q19" s="3"/>
      <c r="R19" s="3"/>
      <c r="S19" s="3"/>
      <c r="T19" s="3"/>
      <c r="U19" s="3"/>
    </row>
    <row r="20" spans="1:24" ht="16" x14ac:dyDescent="0.2">
      <c r="A20" s="4" t="s">
        <v>22</v>
      </c>
      <c r="B20" s="39">
        <f>SUM(Vansbro:Ludvika!B20)</f>
        <v>0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9"/>
      <c r="O20" s="39"/>
      <c r="P20" s="3"/>
      <c r="Q20" s="3"/>
      <c r="R20" s="3"/>
      <c r="S20" s="3"/>
      <c r="T20" s="3"/>
      <c r="U20" s="3"/>
    </row>
    <row r="21" spans="1:24" ht="16" x14ac:dyDescent="0.2">
      <c r="A21" s="4" t="s">
        <v>23</v>
      </c>
      <c r="B21" s="39">
        <f>SUM(Vansbro:Ludvika!B21)</f>
        <v>151564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3"/>
      <c r="Q21" s="3"/>
      <c r="R21" s="3"/>
      <c r="S21" s="3" t="s">
        <v>25</v>
      </c>
      <c r="T21" s="11">
        <f>O42/1000</f>
        <v>16159.887425555557</v>
      </c>
      <c r="U21" s="3"/>
    </row>
    <row r="22" spans="1:24" ht="16" x14ac:dyDescent="0.2">
      <c r="A22" s="4" t="s">
        <v>24</v>
      </c>
      <c r="B22" s="39">
        <f>SUM(Vansbro:Ludvika!B22)</f>
        <v>0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3"/>
      <c r="Q22" s="3"/>
      <c r="R22" s="3"/>
      <c r="S22" s="3"/>
      <c r="T22" s="3"/>
      <c r="U22" s="3"/>
    </row>
    <row r="23" spans="1:24" ht="16" x14ac:dyDescent="0.2">
      <c r="A23" s="4" t="s">
        <v>15</v>
      </c>
      <c r="B23" s="39">
        <f>SUM(B17:B22)</f>
        <v>1666655</v>
      </c>
      <c r="C23" s="39">
        <f t="shared" ref="C23:O23" si="1">SUM(C17:C22)</f>
        <v>28135</v>
      </c>
      <c r="D23" s="39">
        <f t="shared" si="1"/>
        <v>0</v>
      </c>
      <c r="E23" s="39">
        <f t="shared" si="1"/>
        <v>1484</v>
      </c>
      <c r="F23" s="39">
        <f t="shared" si="1"/>
        <v>0</v>
      </c>
      <c r="G23" s="39">
        <f t="shared" si="1"/>
        <v>1059629.6555555556</v>
      </c>
      <c r="H23" s="39">
        <f t="shared" si="1"/>
        <v>7200</v>
      </c>
      <c r="I23" s="39">
        <f t="shared" si="1"/>
        <v>0</v>
      </c>
      <c r="J23" s="39">
        <f t="shared" si="1"/>
        <v>0</v>
      </c>
      <c r="K23" s="39">
        <f t="shared" si="1"/>
        <v>552100</v>
      </c>
      <c r="L23" s="39">
        <f t="shared" si="1"/>
        <v>65398</v>
      </c>
      <c r="M23" s="39">
        <f t="shared" si="1"/>
        <v>0</v>
      </c>
      <c r="N23" s="39">
        <f t="shared" si="1"/>
        <v>7300</v>
      </c>
      <c r="O23" s="39">
        <f t="shared" si="1"/>
        <v>1721246.6555555556</v>
      </c>
      <c r="P23" s="3"/>
      <c r="Q23" s="3"/>
      <c r="R23" s="3"/>
      <c r="S23" s="3"/>
      <c r="T23" s="3" t="s">
        <v>26</v>
      </c>
      <c r="U23" s="3" t="s">
        <v>27</v>
      </c>
    </row>
    <row r="24" spans="1:24" ht="16" x14ac:dyDescent="0.2">
      <c r="A24" s="45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3"/>
      <c r="Q24" s="3"/>
      <c r="R24" s="3"/>
      <c r="S24" s="3" t="s">
        <v>9</v>
      </c>
      <c r="T24" s="6">
        <f>N42/1000</f>
        <v>7022.5243200000004</v>
      </c>
      <c r="U24" s="13">
        <f>N43</f>
        <v>0.43456517580032428</v>
      </c>
    </row>
    <row r="25" spans="1:24" ht="16" x14ac:dyDescent="0.2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3"/>
      <c r="Q25" s="3"/>
      <c r="R25" s="3"/>
      <c r="S25" s="3" t="s">
        <v>58</v>
      </c>
      <c r="T25" s="6">
        <f>G42/1000</f>
        <v>3347.9326555555558</v>
      </c>
      <c r="U25" s="14">
        <f>G43</f>
        <v>0.20717549370183547</v>
      </c>
      <c r="V25" s="57">
        <f>T25+T33</f>
        <v>3413.3306555555559</v>
      </c>
      <c r="W25" s="14">
        <f>U25+U33</f>
        <v>0.21122242783434547</v>
      </c>
    </row>
    <row r="26" spans="1:24" ht="16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6</v>
      </c>
      <c r="T26" s="12">
        <f>J42/1000</f>
        <v>0</v>
      </c>
      <c r="U26" s="13">
        <f>J43</f>
        <v>0</v>
      </c>
    </row>
    <row r="27" spans="1:24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30</v>
      </c>
      <c r="T27" s="11">
        <f>F42/1000</f>
        <v>234.08099999999999</v>
      </c>
      <c r="U27" s="13">
        <f>F43</f>
        <v>1.4485311304200041E-2</v>
      </c>
    </row>
    <row r="28" spans="1:24" ht="16" x14ac:dyDescent="0.2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3</v>
      </c>
      <c r="T28" s="11">
        <f>E42/1000</f>
        <v>1437.5409999999999</v>
      </c>
      <c r="U28" s="13">
        <f>E43</f>
        <v>8.8957364747890816E-2</v>
      </c>
    </row>
    <row r="29" spans="1:24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75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2" t="s">
        <v>2</v>
      </c>
      <c r="T29" s="2">
        <f>D42/1000</f>
        <v>195.31200000000001</v>
      </c>
      <c r="U29" s="46">
        <f>D43</f>
        <v>1.2086222809394689E-2</v>
      </c>
    </row>
    <row r="30" spans="1:24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7</v>
      </c>
      <c r="T30" s="2">
        <f>K42/1000</f>
        <v>552.1</v>
      </c>
      <c r="U30" s="46">
        <f>K43</f>
        <v>3.4164841960897474E-2</v>
      </c>
      <c r="W30" s="42"/>
    </row>
    <row r="31" spans="1:24" ht="16" x14ac:dyDescent="0.2">
      <c r="A31" s="5" t="s">
        <v>32</v>
      </c>
      <c r="B31" s="39">
        <f>SUM(Vansbro:Ludvika!B31)</f>
        <v>0</v>
      </c>
      <c r="C31" s="39">
        <f>SUM(Vansbro:Ludvika!C31)</f>
        <v>61280</v>
      </c>
      <c r="D31" s="39">
        <f>SUM(Vansbro:Ludvika!D31)</f>
        <v>0</v>
      </c>
      <c r="E31" s="39">
        <f>SUM(Vansbro:Ludvika!E31)</f>
        <v>0</v>
      </c>
      <c r="F31" s="39">
        <f>SUM(Vansbro:Ludvika!F31)</f>
        <v>6042</v>
      </c>
      <c r="G31" s="39">
        <f>SUM(Vansbro:Ludvika!G31)</f>
        <v>0</v>
      </c>
      <c r="H31" s="39">
        <f>SUM(Vansbro:Ludvika!H31)</f>
        <v>0</v>
      </c>
      <c r="I31" s="39">
        <f>SUM(Vansbro:Ludvika!I31)</f>
        <v>0</v>
      </c>
      <c r="J31" s="39">
        <f>SUM(Vansbro:Ludvika!J31)</f>
        <v>0</v>
      </c>
      <c r="K31" s="39">
        <f>SUM(Vansbro:Ludvika!K31)</f>
        <v>0</v>
      </c>
      <c r="L31" s="39">
        <f>SUM(Vansbro:Ludvika!L31)</f>
        <v>0</v>
      </c>
      <c r="M31" s="39">
        <f>SUM(Vansbro:Ludvika!M31)</f>
        <v>0</v>
      </c>
      <c r="N31" s="39">
        <f>SUM(Vansbro:Ludvika!N31)</f>
        <v>81271</v>
      </c>
      <c r="O31" s="39">
        <f>SUM(B31:N31)</f>
        <v>148593</v>
      </c>
      <c r="P31" s="17">
        <f>O31/O$39</f>
        <v>9.5974695899684204E-3</v>
      </c>
      <c r="Q31" s="18" t="s">
        <v>33</v>
      </c>
      <c r="R31" s="3"/>
      <c r="S31" s="3" t="s">
        <v>75</v>
      </c>
      <c r="T31" s="12">
        <f>I42/1000</f>
        <v>1.93</v>
      </c>
      <c r="U31" s="13">
        <f>I43</f>
        <v>1.1943152505801871E-4</v>
      </c>
      <c r="W31" s="44"/>
      <c r="X31" s="44"/>
    </row>
    <row r="32" spans="1:24" ht="16" x14ac:dyDescent="0.2">
      <c r="A32" s="5" t="s">
        <v>35</v>
      </c>
      <c r="B32" s="39">
        <f>SUM(Vansbro:Ludvika!B32)</f>
        <v>252081</v>
      </c>
      <c r="C32" s="39">
        <f>SUM(Vansbro:Ludvika!C32)</f>
        <v>262087.80382999999</v>
      </c>
      <c r="D32" s="39">
        <f>SUM(Vansbro:Ludvika!D32)</f>
        <v>195312</v>
      </c>
      <c r="E32" s="39">
        <f>SUM(Vansbro:Ludvika!E32)</f>
        <v>1436057</v>
      </c>
      <c r="F32" s="39">
        <f>SUM(Vansbro:Ludvika!F32)</f>
        <v>0</v>
      </c>
      <c r="G32" s="39">
        <f>SUM(Vansbro:Ludvika!G32)</f>
        <v>1666579</v>
      </c>
      <c r="H32" s="39">
        <f>SUM(Vansbro:Ludvika!H32)</f>
        <v>0</v>
      </c>
      <c r="I32" s="39">
        <f>SUM(Vansbro:Ludvika!I32)</f>
        <v>1930</v>
      </c>
      <c r="J32" s="39">
        <f>SUM(Vansbro:Ludvika!J32)</f>
        <v>0</v>
      </c>
      <c r="K32" s="39">
        <f>SUM(Vansbro:Ludvika!K32)</f>
        <v>0</v>
      </c>
      <c r="L32" s="39">
        <f>SUM(Vansbro:Ludvika!L32)</f>
        <v>0</v>
      </c>
      <c r="M32" s="39">
        <f>SUM(Vansbro:Ludvika!M32)</f>
        <v>0</v>
      </c>
      <c r="N32" s="39">
        <f>SUM(Vansbro:Ludvika!N32)</f>
        <v>4063161</v>
      </c>
      <c r="O32" s="39">
        <f t="shared" ref="O32:O38" si="2">SUM(B32:N32)</f>
        <v>7877207.8038299996</v>
      </c>
      <c r="P32" s="17">
        <f>O32/O$39</f>
        <v>0.50878077938476474</v>
      </c>
      <c r="Q32" s="18" t="s">
        <v>36</v>
      </c>
      <c r="R32" s="3"/>
      <c r="S32" s="3" t="s">
        <v>5</v>
      </c>
      <c r="T32" s="12">
        <f>H42/1000</f>
        <v>7.2</v>
      </c>
      <c r="U32" s="13">
        <f>H43</f>
        <v>4.4554765824753094E-4</v>
      </c>
      <c r="W32" s="44"/>
      <c r="X32" s="44"/>
    </row>
    <row r="33" spans="1:48" ht="16" x14ac:dyDescent="0.2">
      <c r="A33" s="5" t="s">
        <v>37</v>
      </c>
      <c r="B33" s="39">
        <f>SUM(Vansbro:Ludvika!B33)</f>
        <v>199200.17089305405</v>
      </c>
      <c r="C33" s="39">
        <f>SUM(Vansbro:Ludvika!C33)</f>
        <v>13815</v>
      </c>
      <c r="D33" s="39">
        <f>SUM(Vansbro:Ludvika!D33)</f>
        <v>0</v>
      </c>
      <c r="E33" s="39">
        <f>SUM(Vansbro:Ludvika!E33)</f>
        <v>0</v>
      </c>
      <c r="F33" s="39">
        <f>SUM(Vansbro:Ludvika!F33)</f>
        <v>0</v>
      </c>
      <c r="G33" s="39">
        <f>SUM(Vansbro:Ludvika!G33)</f>
        <v>0</v>
      </c>
      <c r="H33" s="39">
        <f>SUM(Vansbro:Ludvika!H33)</f>
        <v>0</v>
      </c>
      <c r="I33" s="39">
        <f>SUM(Vansbro:Ludvika!I33)</f>
        <v>0</v>
      </c>
      <c r="J33" s="39">
        <f>SUM(Vansbro:Ludvika!J33)</f>
        <v>0</v>
      </c>
      <c r="K33" s="39">
        <f>SUM(Vansbro:Ludvika!K33)</f>
        <v>0</v>
      </c>
      <c r="L33" s="39">
        <f>SUM(Vansbro:Ludvika!L33)</f>
        <v>0</v>
      </c>
      <c r="M33" s="39">
        <f>SUM(Vansbro:Ludvika!M33)</f>
        <v>0</v>
      </c>
      <c r="N33" s="39">
        <f>SUM(Vansbro:Ludvika!N33)</f>
        <v>346440.82910694595</v>
      </c>
      <c r="O33" s="39">
        <f t="shared" si="2"/>
        <v>559456</v>
      </c>
      <c r="P33" s="17">
        <f>O33/O$39</f>
        <v>3.6134689702242859E-2</v>
      </c>
      <c r="Q33" s="18" t="s">
        <v>38</v>
      </c>
      <c r="R33" s="3"/>
      <c r="S33" s="2" t="s">
        <v>76</v>
      </c>
      <c r="T33" s="12">
        <f>L42/1000</f>
        <v>65.397999999999996</v>
      </c>
      <c r="U33" s="13">
        <f>L43</f>
        <v>4.0469341325100041E-3</v>
      </c>
      <c r="W33" s="44"/>
      <c r="X33" s="44"/>
    </row>
    <row r="34" spans="1:48" ht="16" x14ac:dyDescent="0.2">
      <c r="A34" s="5" t="s">
        <v>39</v>
      </c>
      <c r="B34" s="39">
        <f>SUM(Vansbro:Ludvika!B34)</f>
        <v>0</v>
      </c>
      <c r="C34" s="39">
        <f>SUM(Vansbro:Ludvika!C34)</f>
        <v>2816726.6461700001</v>
      </c>
      <c r="D34" s="39">
        <f>SUM(Vansbro:Ludvika!D34)</f>
        <v>0</v>
      </c>
      <c r="E34" s="39">
        <f>SUM(Vansbro:Ludvika!E34)</f>
        <v>0</v>
      </c>
      <c r="F34" s="39">
        <f>SUM(Vansbro:Ludvika!F34)</f>
        <v>228039</v>
      </c>
      <c r="G34" s="39">
        <f>SUM(Vansbro:Ludvika!G34)</f>
        <v>0</v>
      </c>
      <c r="H34" s="39">
        <f>SUM(Vansbro:Ludvika!H34)</f>
        <v>0</v>
      </c>
      <c r="I34" s="39">
        <f>SUM(Vansbro:Ludvika!I34)</f>
        <v>0</v>
      </c>
      <c r="J34" s="39">
        <f>SUM(Vansbro:Ludvika!J34)</f>
        <v>0</v>
      </c>
      <c r="K34" s="39">
        <f>SUM(Vansbro:Ludvika!K34)</f>
        <v>0</v>
      </c>
      <c r="L34" s="39">
        <f>SUM(Vansbro:Ludvika!L34)</f>
        <v>0</v>
      </c>
      <c r="M34" s="39">
        <f>SUM(Vansbro:Ludvika!M34)</f>
        <v>0</v>
      </c>
      <c r="N34" s="39">
        <f>SUM(Vansbro:Ludvika!N34)</f>
        <v>58916.35383</v>
      </c>
      <c r="O34" s="39">
        <f t="shared" si="2"/>
        <v>3103682</v>
      </c>
      <c r="P34" s="17">
        <f>O34/O$39</f>
        <v>0.20046363968647493</v>
      </c>
      <c r="Q34" s="18" t="s">
        <v>40</v>
      </c>
      <c r="R34" s="3"/>
      <c r="S34" s="3" t="s">
        <v>34</v>
      </c>
      <c r="T34" s="12">
        <f>C42/1000</f>
        <v>3295.8684500000004</v>
      </c>
      <c r="U34" s="14">
        <f>C43</f>
        <v>0.20395367635964162</v>
      </c>
      <c r="W34" s="44"/>
      <c r="X34" s="44"/>
    </row>
    <row r="35" spans="1:48" ht="16" x14ac:dyDescent="0.2">
      <c r="A35" s="5" t="s">
        <v>41</v>
      </c>
      <c r="B35" s="39">
        <f>SUM(Vansbro:Ludvika!B35)</f>
        <v>235492.82910694595</v>
      </c>
      <c r="C35" s="39">
        <f>SUM(Vansbro:Ludvika!C35)</f>
        <v>102909</v>
      </c>
      <c r="D35" s="39">
        <f>SUM(Vansbro:Ludvika!D35)</f>
        <v>0</v>
      </c>
      <c r="E35" s="39">
        <f>SUM(Vansbro:Ludvika!E35)</f>
        <v>0</v>
      </c>
      <c r="F35" s="39">
        <f>SUM(Vansbro:Ludvika!F35)</f>
        <v>0</v>
      </c>
      <c r="G35" s="39">
        <f>SUM(Vansbro:Ludvika!G35)</f>
        <v>0</v>
      </c>
      <c r="H35" s="39">
        <f>SUM(Vansbro:Ludvika!H35)</f>
        <v>0</v>
      </c>
      <c r="I35" s="39">
        <f>SUM(Vansbro:Ludvika!I35)</f>
        <v>0</v>
      </c>
      <c r="J35" s="39">
        <f>SUM(Vansbro:Ludvika!J35)</f>
        <v>0</v>
      </c>
      <c r="K35" s="39">
        <f>SUM(Vansbro:Ludvika!K35)</f>
        <v>0</v>
      </c>
      <c r="L35" s="39">
        <f>SUM(Vansbro:Ludvika!L35)</f>
        <v>0</v>
      </c>
      <c r="M35" s="39">
        <f>SUM(Vansbro:Ludvika!M35)</f>
        <v>0</v>
      </c>
      <c r="N35" s="39">
        <f>SUM(Vansbro:Ludvika!N35)</f>
        <v>725436.17089305399</v>
      </c>
      <c r="O35" s="39">
        <f t="shared" si="2"/>
        <v>1063838</v>
      </c>
      <c r="P35" s="17">
        <f>O35/O$39</f>
        <v>6.8712206185034458E-2</v>
      </c>
      <c r="Q35" s="18" t="s">
        <v>42</v>
      </c>
      <c r="R35" s="18"/>
      <c r="S35" s="3"/>
      <c r="T35" s="12">
        <f>SUM(T24:T34)</f>
        <v>16159.887425555557</v>
      </c>
      <c r="U35" s="13">
        <f>SUM(U24:U34)</f>
        <v>1</v>
      </c>
      <c r="W35" s="44"/>
      <c r="X35" s="44"/>
    </row>
    <row r="36" spans="1:48" ht="16" x14ac:dyDescent="0.2">
      <c r="A36" s="5" t="s">
        <v>43</v>
      </c>
      <c r="B36" s="39">
        <f>SUM(Vansbro:Ludvika!B36)</f>
        <v>213491</v>
      </c>
      <c r="C36" s="39">
        <f>SUM(Vansbro:Ludvika!C36)</f>
        <v>10658</v>
      </c>
      <c r="D36" s="39">
        <f>SUM(Vansbro:Ludvika!D36)</f>
        <v>0</v>
      </c>
      <c r="E36" s="39">
        <f>SUM(Vansbro:Ludvika!E36)</f>
        <v>0</v>
      </c>
      <c r="F36" s="39">
        <f>SUM(Vansbro:Ludvika!F36)</f>
        <v>0</v>
      </c>
      <c r="G36" s="39">
        <f>SUM(Vansbro:Ludvika!G36)</f>
        <v>621724</v>
      </c>
      <c r="H36" s="39">
        <f>SUM(Vansbro:Ludvika!H36)</f>
        <v>0</v>
      </c>
      <c r="I36" s="39">
        <f>SUM(Vansbro:Ludvika!I36)</f>
        <v>0</v>
      </c>
      <c r="J36" s="39">
        <f>SUM(Vansbro:Ludvika!J36)</f>
        <v>0</v>
      </c>
      <c r="K36" s="39">
        <f>SUM(Vansbro:Ludvika!K36)</f>
        <v>0</v>
      </c>
      <c r="L36" s="39">
        <f>SUM(Vansbro:Ludvika!L36)</f>
        <v>0</v>
      </c>
      <c r="M36" s="39">
        <f>SUM(Vansbro:Ludvika!M36)</f>
        <v>0</v>
      </c>
      <c r="N36" s="39">
        <f>SUM(Vansbro:Ludvika!N36)</f>
        <v>1011387.6461700001</v>
      </c>
      <c r="O36" s="39">
        <f t="shared" si="2"/>
        <v>1857260.6461700001</v>
      </c>
      <c r="P36" s="18"/>
      <c r="Q36" s="18"/>
      <c r="R36" s="3"/>
      <c r="S36" s="7"/>
      <c r="T36" s="7"/>
      <c r="U36" s="7"/>
      <c r="W36" s="44"/>
      <c r="X36" s="44"/>
    </row>
    <row r="37" spans="1:48" ht="16" x14ac:dyDescent="0.2">
      <c r="A37" s="5" t="s">
        <v>44</v>
      </c>
      <c r="B37" s="39">
        <f>SUM(Vansbro:Ludvika!B37)</f>
        <v>532658</v>
      </c>
      <c r="C37" s="39">
        <f>SUM(Vansbro:Ludvika!C37)</f>
        <v>257</v>
      </c>
      <c r="D37" s="39">
        <f>SUM(Vansbro:Ludvika!D37)</f>
        <v>0</v>
      </c>
      <c r="E37" s="39">
        <f>SUM(Vansbro:Ludvika!E37)</f>
        <v>0</v>
      </c>
      <c r="F37" s="39">
        <f>SUM(Vansbro:Ludvika!F37)</f>
        <v>0</v>
      </c>
      <c r="G37" s="39">
        <f>SUM(Vansbro:Ludvika!G37)</f>
        <v>0</v>
      </c>
      <c r="H37" s="39">
        <f>SUM(Vansbro:Ludvika!H37)</f>
        <v>0</v>
      </c>
      <c r="I37" s="39">
        <f>SUM(Vansbro:Ludvika!I37)</f>
        <v>0</v>
      </c>
      <c r="J37" s="39">
        <f>SUM(Vansbro:Ludvika!J37)</f>
        <v>0</v>
      </c>
      <c r="K37" s="39">
        <f>SUM(Vansbro:Ludvika!K37)</f>
        <v>0</v>
      </c>
      <c r="L37" s="39">
        <f>SUM(Vansbro:Ludvika!L37)</f>
        <v>0</v>
      </c>
      <c r="M37" s="39">
        <f>SUM(Vansbro:Ludvika!M37)</f>
        <v>0</v>
      </c>
      <c r="N37" s="39">
        <f>SUM(Vansbro:Ludvika!N37)</f>
        <v>133365</v>
      </c>
      <c r="O37" s="39">
        <f t="shared" si="2"/>
        <v>666280</v>
      </c>
      <c r="P37" s="18"/>
      <c r="Q37" s="18"/>
      <c r="R37" s="3"/>
      <c r="S37" s="7"/>
      <c r="T37" s="7" t="s">
        <v>26</v>
      </c>
      <c r="U37" s="7" t="s">
        <v>27</v>
      </c>
      <c r="W37" s="44"/>
      <c r="X37" s="44"/>
    </row>
    <row r="38" spans="1:48" ht="16" x14ac:dyDescent="0.2">
      <c r="A38" s="5" t="s">
        <v>45</v>
      </c>
      <c r="B38" s="39">
        <f>SUM(Vansbro:Ludvika!B38)</f>
        <v>0</v>
      </c>
      <c r="C38" s="39">
        <f>SUM(Vansbro:Ludvika!C38)</f>
        <v>0</v>
      </c>
      <c r="D38" s="39">
        <f>SUM(Vansbro:Ludvika!D38)</f>
        <v>0</v>
      </c>
      <c r="E38" s="39">
        <f>SUM(Vansbro:Ludvika!E38)</f>
        <v>0</v>
      </c>
      <c r="F38" s="39">
        <f>SUM(Vansbro:Ludvika!F38)</f>
        <v>0</v>
      </c>
      <c r="G38" s="39">
        <f>SUM(Vansbro:Ludvika!G38)</f>
        <v>0</v>
      </c>
      <c r="H38" s="39">
        <f>SUM(Vansbro:Ludvika!H38)</f>
        <v>0</v>
      </c>
      <c r="I38" s="39">
        <f>SUM(Vansbro:Ludvika!I38)</f>
        <v>0</v>
      </c>
      <c r="J38" s="39">
        <f>SUM(Vansbro:Ludvika!J38)</f>
        <v>0</v>
      </c>
      <c r="K38" s="39">
        <f>SUM(Vansbro:Ludvika!K38)</f>
        <v>0</v>
      </c>
      <c r="L38" s="39">
        <f>SUM(Vansbro:Ludvika!L38)</f>
        <v>0</v>
      </c>
      <c r="M38" s="39">
        <f>SUM(Vansbro:Ludvika!M38)</f>
        <v>0</v>
      </c>
      <c r="N38" s="39">
        <f>SUM(Vansbro:Ludvika!N38)</f>
        <v>206201</v>
      </c>
      <c r="O38" s="39">
        <f t="shared" si="2"/>
        <v>206201</v>
      </c>
      <c r="P38" s="18">
        <f>SUM(P31:P35)</f>
        <v>0.82368878454848549</v>
      </c>
      <c r="Q38" s="18"/>
      <c r="R38" s="3"/>
      <c r="S38" s="7" t="s">
        <v>46</v>
      </c>
      <c r="T38" s="19">
        <f>O45/1000</f>
        <v>763.82632000000001</v>
      </c>
      <c r="U38" s="7"/>
      <c r="W38" s="44"/>
      <c r="X38" s="44"/>
    </row>
    <row r="39" spans="1:48" ht="16" x14ac:dyDescent="0.2">
      <c r="A39" s="5" t="s">
        <v>15</v>
      </c>
      <c r="B39" s="39">
        <f>SUM(B31:B38)</f>
        <v>1432923</v>
      </c>
      <c r="C39" s="39">
        <f t="shared" ref="C39:O39" si="3">SUM(C31:C38)</f>
        <v>3267733.45</v>
      </c>
      <c r="D39" s="39">
        <f t="shared" si="3"/>
        <v>195312</v>
      </c>
      <c r="E39" s="39">
        <f t="shared" si="3"/>
        <v>1436057</v>
      </c>
      <c r="F39" s="39">
        <f t="shared" si="3"/>
        <v>234081</v>
      </c>
      <c r="G39" s="39">
        <f t="shared" si="3"/>
        <v>2288303</v>
      </c>
      <c r="H39" s="39">
        <f t="shared" si="3"/>
        <v>0</v>
      </c>
      <c r="I39" s="39">
        <f t="shared" si="3"/>
        <v>1930</v>
      </c>
      <c r="J39" s="39">
        <f t="shared" si="3"/>
        <v>0</v>
      </c>
      <c r="K39" s="39">
        <f t="shared" si="3"/>
        <v>0</v>
      </c>
      <c r="L39" s="39">
        <f t="shared" si="3"/>
        <v>0</v>
      </c>
      <c r="M39" s="39">
        <f t="shared" si="3"/>
        <v>0</v>
      </c>
      <c r="N39" s="39">
        <f t="shared" si="3"/>
        <v>6626179</v>
      </c>
      <c r="O39" s="39">
        <f t="shared" si="3"/>
        <v>15482518.449999999</v>
      </c>
      <c r="P39" s="3"/>
      <c r="Q39" s="3"/>
      <c r="R39" s="3"/>
      <c r="S39" s="7" t="s">
        <v>47</v>
      </c>
      <c r="T39" s="20">
        <f>O41/1000</f>
        <v>2729.74164617</v>
      </c>
      <c r="U39" s="13">
        <f>P41</f>
        <v>0.17631121545151462</v>
      </c>
    </row>
    <row r="40" spans="1:48" x14ac:dyDescent="0.2">
      <c r="S40" s="7" t="s">
        <v>48</v>
      </c>
      <c r="T40" s="20">
        <f>O35/1000</f>
        <v>1063.838</v>
      </c>
      <c r="U40" s="14">
        <f>P35</f>
        <v>6.8712206185034458E-2</v>
      </c>
    </row>
    <row r="41" spans="1:48" ht="16" x14ac:dyDescent="0.2">
      <c r="A41" s="21" t="s">
        <v>49</v>
      </c>
      <c r="B41" s="22">
        <f>B38+B37+B36</f>
        <v>746149</v>
      </c>
      <c r="C41" s="22">
        <f t="shared" ref="C41:O41" si="4">C38+C37+C36</f>
        <v>10915</v>
      </c>
      <c r="D41" s="22">
        <f t="shared" si="4"/>
        <v>0</v>
      </c>
      <c r="E41" s="22">
        <f t="shared" si="4"/>
        <v>0</v>
      </c>
      <c r="F41" s="22">
        <f t="shared" si="4"/>
        <v>0</v>
      </c>
      <c r="G41" s="22">
        <f t="shared" si="4"/>
        <v>621724</v>
      </c>
      <c r="H41" s="22">
        <f t="shared" si="4"/>
        <v>0</v>
      </c>
      <c r="I41" s="22">
        <f t="shared" si="4"/>
        <v>0</v>
      </c>
      <c r="J41" s="22">
        <f t="shared" si="4"/>
        <v>0</v>
      </c>
      <c r="K41" s="22">
        <f t="shared" si="4"/>
        <v>0</v>
      </c>
      <c r="L41" s="22">
        <f t="shared" si="4"/>
        <v>0</v>
      </c>
      <c r="M41" s="22">
        <f t="shared" si="4"/>
        <v>0</v>
      </c>
      <c r="N41" s="22">
        <f t="shared" si="4"/>
        <v>1350953.6461700001</v>
      </c>
      <c r="O41" s="22">
        <f t="shared" si="4"/>
        <v>2729741.6461700001</v>
      </c>
      <c r="P41" s="17">
        <f>O41/O$39</f>
        <v>0.17631121545151462</v>
      </c>
      <c r="Q41" s="17" t="s">
        <v>50</v>
      </c>
      <c r="R41" s="7"/>
      <c r="S41" s="7" t="s">
        <v>51</v>
      </c>
      <c r="T41" s="20">
        <f>O33/1000</f>
        <v>559.45600000000002</v>
      </c>
      <c r="U41" s="13">
        <f>P33</f>
        <v>3.6134689702242859E-2</v>
      </c>
    </row>
    <row r="42" spans="1:48" ht="16" x14ac:dyDescent="0.2">
      <c r="A42" s="23" t="s">
        <v>52</v>
      </c>
      <c r="B42" s="22"/>
      <c r="C42" s="24">
        <f>C39+C23+C10</f>
        <v>3295868.45</v>
      </c>
      <c r="D42" s="24">
        <f t="shared" ref="D42:M42" si="5">D39+D23+D10</f>
        <v>195312</v>
      </c>
      <c r="E42" s="24">
        <f t="shared" si="5"/>
        <v>1437541</v>
      </c>
      <c r="F42" s="24">
        <f t="shared" si="5"/>
        <v>234081</v>
      </c>
      <c r="G42" s="24">
        <f t="shared" si="5"/>
        <v>3347932.6555555556</v>
      </c>
      <c r="H42" s="24">
        <f t="shared" si="5"/>
        <v>7200</v>
      </c>
      <c r="I42" s="24">
        <f t="shared" si="5"/>
        <v>1930</v>
      </c>
      <c r="J42" s="24">
        <f t="shared" si="5"/>
        <v>0</v>
      </c>
      <c r="K42" s="24">
        <f t="shared" si="5"/>
        <v>552100</v>
      </c>
      <c r="L42" s="24">
        <f t="shared" si="5"/>
        <v>65398</v>
      </c>
      <c r="M42" s="24">
        <f t="shared" si="5"/>
        <v>0</v>
      </c>
      <c r="N42" s="24">
        <f>N39+N23-B6+N45</f>
        <v>7022524.3200000003</v>
      </c>
      <c r="O42" s="25">
        <f>SUM(C42:N42)</f>
        <v>16159887.425555557</v>
      </c>
      <c r="P42" s="7"/>
      <c r="Q42" s="7"/>
      <c r="R42" s="7"/>
      <c r="S42" s="7" t="s">
        <v>33</v>
      </c>
      <c r="T42" s="20">
        <f>O31/1000</f>
        <v>148.59299999999999</v>
      </c>
      <c r="U42" s="13">
        <f>P31</f>
        <v>9.5974695899684204E-3</v>
      </c>
    </row>
    <row r="43" spans="1:48" ht="16" x14ac:dyDescent="0.2">
      <c r="A43" s="23" t="s">
        <v>53</v>
      </c>
      <c r="B43" s="22"/>
      <c r="C43" s="17">
        <f t="shared" ref="C43:N43" si="6">C42/$O42</f>
        <v>0.20395367635964162</v>
      </c>
      <c r="D43" s="17">
        <f t="shared" si="6"/>
        <v>1.2086222809394689E-2</v>
      </c>
      <c r="E43" s="17">
        <f t="shared" si="6"/>
        <v>8.8957364747890816E-2</v>
      </c>
      <c r="F43" s="17">
        <f t="shared" si="6"/>
        <v>1.4485311304200041E-2</v>
      </c>
      <c r="G43" s="17">
        <f t="shared" si="6"/>
        <v>0.20717549370183547</v>
      </c>
      <c r="H43" s="17">
        <f t="shared" si="6"/>
        <v>4.4554765824753094E-4</v>
      </c>
      <c r="I43" s="17">
        <f t="shared" si="6"/>
        <v>1.1943152505801871E-4</v>
      </c>
      <c r="J43" s="17">
        <f t="shared" si="6"/>
        <v>0</v>
      </c>
      <c r="K43" s="17">
        <f t="shared" si="6"/>
        <v>3.4164841960897474E-2</v>
      </c>
      <c r="L43" s="17">
        <f t="shared" si="6"/>
        <v>4.0469341325100041E-3</v>
      </c>
      <c r="M43" s="17">
        <f t="shared" si="6"/>
        <v>0</v>
      </c>
      <c r="N43" s="81">
        <f t="shared" si="6"/>
        <v>0.43456517580032428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7877.2078038299996</v>
      </c>
      <c r="U43" s="14">
        <f>P32</f>
        <v>0.50878077938476474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3103.6819999999998</v>
      </c>
      <c r="U44" s="14">
        <f>P34</f>
        <v>0.20046363968647493</v>
      </c>
    </row>
    <row r="45" spans="1:48" ht="16" x14ac:dyDescent="0.2">
      <c r="A45" s="6" t="s">
        <v>56</v>
      </c>
      <c r="B45" s="6">
        <f>B23-B39</f>
        <v>233732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530094.32000000007</v>
      </c>
      <c r="O45" s="25">
        <f>B45+N45</f>
        <v>763826.32000000007</v>
      </c>
      <c r="P45" s="7"/>
      <c r="Q45" s="7"/>
      <c r="R45" s="7"/>
      <c r="S45" s="7" t="s">
        <v>57</v>
      </c>
      <c r="T45" s="20">
        <f>SUM(T39:T44)</f>
        <v>15482.51845</v>
      </c>
      <c r="U45" s="13">
        <f>SUM(U39:U44)</f>
        <v>1</v>
      </c>
    </row>
    <row r="46" spans="1:48" ht="16" x14ac:dyDescent="0.2">
      <c r="A46" s="6"/>
      <c r="B46" s="6"/>
      <c r="C46" s="6"/>
      <c r="D46" s="6"/>
      <c r="E46" s="6"/>
      <c r="F46" s="6"/>
      <c r="G46" s="6"/>
      <c r="H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0"/>
      <c r="B47" s="38"/>
      <c r="C47" s="41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1"/>
      <c r="Q47" s="40"/>
      <c r="R47" s="40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8"/>
      <c r="C48" s="41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1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40"/>
      <c r="C50" s="40"/>
      <c r="D50" s="40"/>
      <c r="E50" s="41"/>
      <c r="F50" s="41"/>
      <c r="G50" s="41"/>
      <c r="H50" s="41"/>
      <c r="I50" s="41"/>
      <c r="J50" s="41"/>
      <c r="K50" s="41"/>
      <c r="L50" s="41"/>
      <c r="M50" s="41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40"/>
      <c r="D51" s="40"/>
      <c r="E51" s="41"/>
      <c r="F51" s="41"/>
      <c r="G51" s="41"/>
      <c r="H51" s="41"/>
      <c r="I51" s="6"/>
      <c r="J51" s="41"/>
      <c r="K51" s="41"/>
      <c r="L51" s="41"/>
      <c r="M51" s="41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ht="16" x14ac:dyDescent="0.2">
      <c r="A52" s="7"/>
      <c r="B52" s="7"/>
      <c r="C52" s="28"/>
      <c r="D52" s="28"/>
      <c r="E52" s="28"/>
      <c r="F52" s="40"/>
      <c r="G52" s="40"/>
      <c r="H52" s="28"/>
      <c r="I52" s="38"/>
      <c r="J52" s="40"/>
      <c r="K52" s="28"/>
      <c r="L52" s="6"/>
      <c r="M52" s="6"/>
      <c r="N52" s="29"/>
      <c r="O52" s="7"/>
      <c r="P52" s="6"/>
      <c r="Q52" s="13"/>
      <c r="R52" s="7"/>
      <c r="S52" s="7"/>
      <c r="T52" s="6"/>
      <c r="U52" s="47"/>
    </row>
    <row r="53" spans="1:48" ht="16" x14ac:dyDescent="0.2">
      <c r="A53" s="7"/>
      <c r="B53" s="7"/>
      <c r="C53" s="28"/>
      <c r="D53" s="28"/>
      <c r="E53" s="28"/>
      <c r="F53" s="41"/>
      <c r="G53" s="40"/>
      <c r="H53" s="28"/>
      <c r="I53" s="38"/>
      <c r="J53" s="40"/>
      <c r="K53" s="28"/>
      <c r="L53" s="6"/>
      <c r="M53" s="6"/>
      <c r="N53" s="29"/>
      <c r="O53" s="7"/>
      <c r="P53" s="6"/>
      <c r="Q53" s="13"/>
      <c r="R53" s="7"/>
      <c r="S53" s="7"/>
      <c r="T53" s="6"/>
      <c r="U53" s="47"/>
    </row>
    <row r="54" spans="1:48" ht="16" x14ac:dyDescent="0.2">
      <c r="A54" s="7"/>
      <c r="B54" s="7"/>
      <c r="C54" s="28"/>
      <c r="D54" s="28"/>
      <c r="E54" s="28"/>
      <c r="F54" s="40"/>
      <c r="G54" s="40"/>
      <c r="H54" s="28"/>
      <c r="I54" s="38"/>
      <c r="J54" s="40"/>
      <c r="K54" s="28"/>
      <c r="L54" s="6"/>
      <c r="M54" s="6"/>
      <c r="N54" s="29"/>
      <c r="O54" s="7"/>
      <c r="P54" s="6"/>
      <c r="Q54" s="13"/>
      <c r="R54" s="7"/>
      <c r="S54" s="7"/>
      <c r="T54" s="6"/>
      <c r="U54" s="47"/>
    </row>
    <row r="55" spans="1:48" ht="16" x14ac:dyDescent="0.2">
      <c r="A55" s="23"/>
      <c r="B55" s="7"/>
      <c r="C55" s="28"/>
      <c r="D55" s="28"/>
      <c r="E55" s="28"/>
      <c r="F55" s="40"/>
      <c r="G55" s="40"/>
      <c r="H55" s="28"/>
      <c r="I55" s="38"/>
      <c r="J55" s="40"/>
      <c r="K55" s="28"/>
      <c r="L55" s="6"/>
      <c r="M55" s="6"/>
      <c r="N55" s="29"/>
      <c r="O55" s="7"/>
      <c r="P55" s="6"/>
      <c r="Q55" s="13"/>
      <c r="R55" s="7"/>
      <c r="S55" s="7"/>
      <c r="T55" s="6"/>
      <c r="U55" s="47"/>
    </row>
    <row r="56" spans="1:48" ht="16" x14ac:dyDescent="0.2">
      <c r="A56" s="7"/>
      <c r="B56" s="7"/>
      <c r="C56" s="7"/>
      <c r="D56" s="7"/>
      <c r="E56" s="7"/>
      <c r="F56" s="40"/>
      <c r="G56" s="40"/>
      <c r="H56" s="7"/>
      <c r="I56" s="38"/>
      <c r="J56" s="40"/>
      <c r="K56" s="6"/>
      <c r="L56" s="6"/>
      <c r="M56" s="6"/>
      <c r="N56" s="29"/>
      <c r="O56" s="7"/>
      <c r="P56" s="6"/>
      <c r="Q56" s="13"/>
      <c r="R56" s="7"/>
      <c r="S56" s="7"/>
      <c r="T56" s="31"/>
      <c r="U56" s="32"/>
    </row>
    <row r="57" spans="1:48" x14ac:dyDescent="0.2">
      <c r="A57" s="7"/>
      <c r="B57" s="7"/>
      <c r="C57" s="7"/>
      <c r="D57" s="7"/>
      <c r="E57" s="7"/>
      <c r="F57" s="40"/>
      <c r="G57" s="40"/>
      <c r="H57" s="7"/>
      <c r="I57" s="38"/>
      <c r="J57" s="40"/>
      <c r="K57" s="7"/>
      <c r="L57" s="7"/>
      <c r="M57" s="7"/>
      <c r="N57" s="7"/>
      <c r="O57" s="7"/>
      <c r="P57" s="7"/>
      <c r="Q57" s="7"/>
      <c r="R57" s="7"/>
      <c r="S57" s="7"/>
      <c r="T57" s="7"/>
      <c r="U57" s="6"/>
    </row>
    <row r="58" spans="1:48" x14ac:dyDescent="0.2">
      <c r="A58" s="7"/>
      <c r="B58" s="33"/>
      <c r="C58" s="33"/>
      <c r="D58" s="33"/>
      <c r="E58" s="33"/>
      <c r="F58" s="33"/>
      <c r="G58" s="33"/>
      <c r="H58" s="33"/>
      <c r="I58" s="34"/>
      <c r="J58" s="7"/>
      <c r="K58" s="7"/>
      <c r="L58" s="7"/>
      <c r="M58" s="7"/>
      <c r="N58" s="7"/>
      <c r="O58" s="7"/>
      <c r="P58" s="7"/>
      <c r="Q58" s="7"/>
      <c r="R58" s="7"/>
      <c r="S58" s="7"/>
      <c r="T58" s="33"/>
      <c r="U58" s="34"/>
    </row>
    <row r="59" spans="1:48" ht="16" x14ac:dyDescent="0.2">
      <c r="A59" s="7"/>
      <c r="B59" s="6"/>
      <c r="C59" s="6"/>
      <c r="D59" s="6"/>
      <c r="E59" s="6"/>
      <c r="F59" s="6"/>
      <c r="G59" s="6"/>
      <c r="H59" s="6"/>
      <c r="I59" s="6"/>
      <c r="J59" s="7"/>
      <c r="K59" s="7"/>
      <c r="L59" s="7"/>
      <c r="M59" s="7"/>
      <c r="N59" s="7"/>
      <c r="O59" s="7"/>
      <c r="P59" s="6"/>
      <c r="Q59" s="29"/>
      <c r="R59" s="7"/>
      <c r="S59" s="7"/>
      <c r="T59" s="6"/>
      <c r="U59" s="47"/>
    </row>
    <row r="60" spans="1:48" ht="16" x14ac:dyDescent="0.2">
      <c r="A60" s="7"/>
      <c r="B60" s="6"/>
      <c r="C60" s="7"/>
      <c r="D60" s="6"/>
      <c r="E60" s="48"/>
      <c r="F60" s="48"/>
      <c r="G60" s="6"/>
      <c r="H60" s="6"/>
      <c r="I60" s="6"/>
      <c r="J60" s="7"/>
      <c r="K60" s="7"/>
      <c r="L60" s="7"/>
      <c r="M60" s="7"/>
      <c r="N60" s="7"/>
      <c r="O60" s="7"/>
      <c r="P60" s="6"/>
      <c r="Q60" s="29"/>
      <c r="R60" s="7"/>
      <c r="S60" s="7"/>
      <c r="T60" s="6"/>
      <c r="U60" s="47"/>
    </row>
    <row r="61" spans="1:48" ht="16" x14ac:dyDescent="0.2">
      <c r="A61" s="7"/>
      <c r="B61" s="6"/>
      <c r="C61" s="6"/>
      <c r="D61" s="6"/>
      <c r="E61" s="6"/>
      <c r="F61" s="6"/>
      <c r="G61" s="6"/>
      <c r="H61" s="6"/>
      <c r="I61" s="6"/>
      <c r="J61" s="7"/>
      <c r="K61" s="7"/>
      <c r="L61" s="7"/>
      <c r="M61" s="7"/>
      <c r="N61" s="7"/>
      <c r="O61" s="7"/>
      <c r="P61" s="6"/>
      <c r="Q61" s="29"/>
      <c r="R61" s="7"/>
      <c r="S61" s="7"/>
      <c r="T61" s="6"/>
      <c r="U61" s="47"/>
    </row>
    <row r="62" spans="1:48" ht="16" x14ac:dyDescent="0.2">
      <c r="A62" s="49"/>
      <c r="B62" s="6"/>
      <c r="D62" s="6"/>
      <c r="E62" s="6"/>
      <c r="F62" s="6"/>
      <c r="G62" s="6"/>
      <c r="H62" s="6"/>
      <c r="I62" s="6"/>
      <c r="J62" s="7"/>
      <c r="K62" s="7"/>
      <c r="L62" s="7"/>
      <c r="M62" s="7"/>
      <c r="N62" s="7"/>
      <c r="O62" s="7"/>
      <c r="P62" s="6"/>
      <c r="Q62" s="29"/>
      <c r="R62" s="7"/>
      <c r="S62" s="7"/>
      <c r="T62" s="6"/>
      <c r="U62" s="47"/>
    </row>
    <row r="63" spans="1:48" ht="16" x14ac:dyDescent="0.2">
      <c r="D63" s="9"/>
      <c r="E63" s="6"/>
      <c r="F63" s="6"/>
      <c r="G63" s="6"/>
      <c r="H63" s="6"/>
      <c r="I63" s="6"/>
      <c r="J63" s="7"/>
      <c r="K63" s="7"/>
      <c r="L63" s="7"/>
      <c r="M63" s="7"/>
      <c r="N63" s="7"/>
      <c r="O63" s="7"/>
      <c r="P63" s="6"/>
      <c r="Q63" s="29"/>
      <c r="R63" s="7"/>
      <c r="S63" s="7"/>
      <c r="T63" s="6"/>
      <c r="U63" s="47"/>
    </row>
    <row r="64" spans="1:48" ht="16" x14ac:dyDescent="0.2"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47"/>
    </row>
    <row r="65" spans="1:21" ht="16" x14ac:dyDescent="0.2">
      <c r="A65" s="7"/>
      <c r="B65" s="31"/>
      <c r="C65" s="23"/>
      <c r="D65" s="23"/>
      <c r="E65" s="6"/>
      <c r="F65" s="31"/>
      <c r="G65" s="31"/>
      <c r="H65" s="31"/>
      <c r="I65" s="31"/>
      <c r="J65" s="7"/>
      <c r="K65" s="7"/>
      <c r="L65" s="7"/>
      <c r="M65" s="7"/>
      <c r="N65" s="7"/>
      <c r="O65" s="7"/>
      <c r="P65" s="31"/>
      <c r="Q65" s="35"/>
      <c r="R65" s="7"/>
      <c r="S65" s="50"/>
      <c r="T65" s="31"/>
      <c r="U65" s="35"/>
    </row>
    <row r="66" spans="1:21" x14ac:dyDescent="0.2">
      <c r="C66" s="51"/>
      <c r="D66" s="51"/>
      <c r="E66" s="6"/>
    </row>
    <row r="67" spans="1:21" x14ac:dyDescent="0.2">
      <c r="E67" s="6"/>
    </row>
    <row r="68" spans="1:21" x14ac:dyDescent="0.2">
      <c r="E68" s="6"/>
    </row>
    <row r="69" spans="1:21" x14ac:dyDescent="0.2">
      <c r="D69" s="9"/>
      <c r="E69" s="9"/>
      <c r="F69" s="9"/>
    </row>
  </sheetData>
  <conditionalFormatting sqref="B12:O12">
    <cfRule type="colorScale" priority="8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O25">
    <cfRule type="colorScale" priority="7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B25:N25">
    <cfRule type="colorScale" priority="6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X31:X38">
    <cfRule type="colorScale" priority="4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R17:R18">
    <cfRule type="colorScale" priority="3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R6:R7">
    <cfRule type="colorScale" priority="2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pageMargins left="0.75" right="0.75" top="0.75" bottom="0.5" header="0.5" footer="0.75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0" enableFormatConditionsCalculation="0"/>
  <dimension ref="A1:AV70"/>
  <sheetViews>
    <sheetView topLeftCell="D14" workbookViewId="0">
      <selection activeCell="U35" sqref="U35"/>
    </sheetView>
  </sheetViews>
  <sheetFormatPr baseColWidth="10" defaultColWidth="8.83203125" defaultRowHeight="15" x14ac:dyDescent="0.2"/>
  <cols>
    <col min="1" max="1" width="22.5" style="2" customWidth="1"/>
    <col min="2" max="11" width="10" style="2" customWidth="1"/>
    <col min="12" max="13" width="5.3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68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5.75" x14ac:dyDescent="0.25">
      <c r="A4" s="4" t="s">
        <v>78</v>
      </c>
      <c r="B4" s="74">
        <v>104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5.75" x14ac:dyDescent="0.25">
      <c r="A8" s="4" t="s">
        <v>13</v>
      </c>
      <c r="B8" s="8">
        <v>230404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5.75" x14ac:dyDescent="0.25">
      <c r="A9" s="4" t="s">
        <v>14</v>
      </c>
      <c r="B9" s="8">
        <v>206239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15</v>
      </c>
      <c r="B10" s="8">
        <f>SUM(B4:B9)</f>
        <v>436747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27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5.75" x14ac:dyDescent="0.25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58">
        <v>104900</v>
      </c>
      <c r="C18" s="58">
        <v>1000</v>
      </c>
      <c r="D18" s="58">
        <v>0</v>
      </c>
      <c r="E18" s="8">
        <v>0</v>
      </c>
      <c r="F18" s="8">
        <v>0</v>
      </c>
      <c r="G18" s="58">
        <v>67100</v>
      </c>
      <c r="H18" s="8">
        <v>0</v>
      </c>
      <c r="I18" s="8"/>
      <c r="J18" s="8"/>
      <c r="K18" s="58">
        <v>59400</v>
      </c>
      <c r="L18" s="8"/>
      <c r="M18" s="8"/>
      <c r="N18" s="8"/>
      <c r="O18" s="58">
        <f>SUM(C18:L18)</f>
        <v>127500</v>
      </c>
      <c r="P18" s="3"/>
      <c r="Q18" s="3"/>
      <c r="R18" s="3"/>
      <c r="S18" s="3"/>
      <c r="T18" s="3"/>
      <c r="U18" s="3"/>
    </row>
    <row r="19" spans="1:21" ht="16" x14ac:dyDescent="0.2">
      <c r="A19" s="4" t="s">
        <v>21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/>
      <c r="T19" s="3"/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 t="s">
        <v>25</v>
      </c>
      <c r="T21" s="11">
        <f>O42/1000</f>
        <v>753.73895999999991</v>
      </c>
      <c r="U21" s="3"/>
    </row>
    <row r="22" spans="1:21" ht="16" x14ac:dyDescent="0.2">
      <c r="A22" s="4" t="s">
        <v>24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3"/>
      <c r="T22" s="3"/>
      <c r="U22" s="3"/>
    </row>
    <row r="23" spans="1:21" ht="16" x14ac:dyDescent="0.2">
      <c r="A23" s="4" t="s">
        <v>15</v>
      </c>
      <c r="B23" s="58">
        <f>B18</f>
        <v>104900</v>
      </c>
      <c r="C23" s="58">
        <v>1000</v>
      </c>
      <c r="D23" s="58">
        <v>0</v>
      </c>
      <c r="E23" s="8">
        <v>0</v>
      </c>
      <c r="F23" s="8">
        <v>0</v>
      </c>
      <c r="G23" s="58">
        <f>G18</f>
        <v>67100</v>
      </c>
      <c r="H23" s="8">
        <v>0</v>
      </c>
      <c r="I23" s="8"/>
      <c r="J23" s="8"/>
      <c r="K23" s="58">
        <f>K18</f>
        <v>59400</v>
      </c>
      <c r="L23" s="8"/>
      <c r="M23" s="8"/>
      <c r="N23" s="8"/>
      <c r="O23" s="58">
        <f>O18</f>
        <v>127500</v>
      </c>
      <c r="P23" s="3"/>
      <c r="Q23" s="3"/>
      <c r="R23" s="3"/>
      <c r="S23" s="3"/>
      <c r="T23" s="3" t="s">
        <v>26</v>
      </c>
      <c r="U23" s="3" t="s">
        <v>27</v>
      </c>
    </row>
    <row r="24" spans="1:21" ht="16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9</v>
      </c>
      <c r="T24" s="12">
        <f>N42/1000</f>
        <v>281.02896000000004</v>
      </c>
      <c r="U24" s="13">
        <f>N43</f>
        <v>0.37284653562288994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58</v>
      </c>
      <c r="T25" s="12">
        <f>G42/1000</f>
        <v>108.223</v>
      </c>
      <c r="U25" s="14">
        <f>G43</f>
        <v>0.14358153915780075</v>
      </c>
    </row>
    <row r="26" spans="1:21" ht="16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6</v>
      </c>
      <c r="T26" s="12">
        <f>J42/1000</f>
        <v>0</v>
      </c>
      <c r="U26" s="13">
        <f>J43</f>
        <v>0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30</v>
      </c>
      <c r="T27" s="12">
        <f>F42/1000</f>
        <v>22.388999999999999</v>
      </c>
      <c r="U27" s="13">
        <f>F43</f>
        <v>2.9703917653400854E-2</v>
      </c>
    </row>
    <row r="28" spans="1:21" ht="16" x14ac:dyDescent="0.2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3</v>
      </c>
      <c r="T28" s="11">
        <f>E42/1000</f>
        <v>1.39</v>
      </c>
      <c r="U28" s="13">
        <f>E43</f>
        <v>1.8441397801700473E-3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2" t="s">
        <v>2</v>
      </c>
      <c r="T29" s="2">
        <f>D42/1000</f>
        <v>0</v>
      </c>
      <c r="U29" s="46">
        <f>D43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7</v>
      </c>
      <c r="T30" s="2">
        <f>K42/1000</f>
        <v>59.4</v>
      </c>
      <c r="U30" s="46">
        <f>K43</f>
        <v>7.880712441877756E-2</v>
      </c>
    </row>
    <row r="31" spans="1:21" ht="16" x14ac:dyDescent="0.2">
      <c r="A31" s="4" t="s">
        <v>32</v>
      </c>
      <c r="B31" s="8">
        <v>0</v>
      </c>
      <c r="C31" s="8">
        <v>250</v>
      </c>
      <c r="D31" s="8">
        <v>0</v>
      </c>
      <c r="E31" s="8">
        <v>0</v>
      </c>
      <c r="F31" s="8">
        <v>22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2150</v>
      </c>
      <c r="O31" s="8">
        <v>2422</v>
      </c>
      <c r="P31" s="17">
        <f>O31/O$39</f>
        <v>3.4221171630055289E-3</v>
      </c>
      <c r="Q31" s="18" t="s">
        <v>33</v>
      </c>
      <c r="R31" s="3"/>
      <c r="S31" s="3" t="s">
        <v>4</v>
      </c>
      <c r="T31" s="12">
        <f>I42/1000</f>
        <v>0</v>
      </c>
      <c r="U31" s="13">
        <f>I43</f>
        <v>0</v>
      </c>
    </row>
    <row r="32" spans="1:21" ht="16" x14ac:dyDescent="0.2">
      <c r="A32" s="4" t="s">
        <v>35</v>
      </c>
      <c r="B32" s="8">
        <v>20588</v>
      </c>
      <c r="C32" s="8">
        <v>1865</v>
      </c>
      <c r="D32" s="8">
        <v>0</v>
      </c>
      <c r="E32" s="67">
        <v>1390</v>
      </c>
      <c r="F32" s="8">
        <v>0</v>
      </c>
      <c r="G32" s="55">
        <v>1242</v>
      </c>
      <c r="H32" s="8">
        <v>0</v>
      </c>
      <c r="I32" s="8"/>
      <c r="J32" s="8"/>
      <c r="K32" s="8"/>
      <c r="L32" s="8"/>
      <c r="M32" s="27"/>
      <c r="N32" s="8">
        <v>76323</v>
      </c>
      <c r="O32" s="68">
        <f>SUM(B32:N32)</f>
        <v>101408</v>
      </c>
      <c r="P32" s="17">
        <f>O32/O$39</f>
        <v>0.14328243487451059</v>
      </c>
      <c r="Q32" s="18" t="s">
        <v>36</v>
      </c>
      <c r="R32" s="3"/>
      <c r="S32" s="3" t="s">
        <v>5</v>
      </c>
      <c r="T32" s="12">
        <f>H42/1000</f>
        <v>0</v>
      </c>
      <c r="U32" s="13">
        <f>H43</f>
        <v>0</v>
      </c>
    </row>
    <row r="33" spans="1:48" ht="16" x14ac:dyDescent="0.2">
      <c r="A33" s="4" t="s">
        <v>37</v>
      </c>
      <c r="B33" s="8">
        <v>12430</v>
      </c>
      <c r="C33" s="8">
        <v>569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24339</v>
      </c>
      <c r="O33" s="8">
        <v>37338</v>
      </c>
      <c r="P33" s="17">
        <f>O33/O$39</f>
        <v>5.2755991177663268E-2</v>
      </c>
      <c r="Q33" s="18" t="s">
        <v>38</v>
      </c>
      <c r="R33" s="3"/>
      <c r="S33" s="3" t="s">
        <v>34</v>
      </c>
      <c r="T33" s="12">
        <f>C42/1000</f>
        <v>281.30799999999999</v>
      </c>
      <c r="U33" s="14">
        <f>C43</f>
        <v>0.37321674336696092</v>
      </c>
    </row>
    <row r="34" spans="1:48" ht="16" x14ac:dyDescent="0.2">
      <c r="A34" s="4" t="s">
        <v>39</v>
      </c>
      <c r="B34" s="8">
        <v>0</v>
      </c>
      <c r="C34" s="8">
        <v>268820</v>
      </c>
      <c r="D34" s="8">
        <v>0</v>
      </c>
      <c r="E34" s="8">
        <v>0</v>
      </c>
      <c r="F34" s="8">
        <v>22367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1409</v>
      </c>
      <c r="O34" s="8">
        <v>292596</v>
      </c>
      <c r="P34" s="17">
        <f>O34/O$39</f>
        <v>0.41341775120840862</v>
      </c>
      <c r="Q34" s="18" t="s">
        <v>40</v>
      </c>
      <c r="R34" s="3"/>
      <c r="S34" s="3"/>
      <c r="T34" s="12">
        <f>SUM(T24:T33)</f>
        <v>753.73896000000002</v>
      </c>
      <c r="U34" s="13">
        <f>SUM(U24:U33)</f>
        <v>1</v>
      </c>
    </row>
    <row r="35" spans="1:48" ht="16" x14ac:dyDescent="0.2">
      <c r="A35" s="4" t="s">
        <v>41</v>
      </c>
      <c r="B35" s="8">
        <v>18783</v>
      </c>
      <c r="C35" s="8">
        <v>8103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49188</v>
      </c>
      <c r="O35" s="8">
        <v>76073</v>
      </c>
      <c r="P35" s="17">
        <f>O35/O$39</f>
        <v>0.10748584597081734</v>
      </c>
      <c r="Q35" s="18" t="s">
        <v>42</v>
      </c>
      <c r="R35" s="18"/>
    </row>
    <row r="36" spans="1:48" ht="16" x14ac:dyDescent="0.2">
      <c r="A36" s="4" t="s">
        <v>43</v>
      </c>
      <c r="B36" s="8">
        <v>18617</v>
      </c>
      <c r="C36" s="8">
        <v>689</v>
      </c>
      <c r="D36" s="8">
        <v>0</v>
      </c>
      <c r="E36" s="8">
        <v>0</v>
      </c>
      <c r="F36" s="8">
        <v>0</v>
      </c>
      <c r="G36" s="8">
        <v>39881</v>
      </c>
      <c r="H36" s="8">
        <v>0</v>
      </c>
      <c r="I36" s="8"/>
      <c r="J36" s="8"/>
      <c r="K36" s="8"/>
      <c r="L36" s="8"/>
      <c r="M36" s="27"/>
      <c r="N36" s="8">
        <v>88411</v>
      </c>
      <c r="O36" s="8">
        <v>147599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8">
        <v>31909</v>
      </c>
      <c r="C37" s="8">
        <v>12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7558</v>
      </c>
      <c r="O37" s="8">
        <v>39479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10834</v>
      </c>
      <c r="O38" s="8">
        <v>10834</v>
      </c>
      <c r="P38" s="18">
        <f>SUM(P31:P35)</f>
        <v>0.72036414039440533</v>
      </c>
      <c r="Q38" s="18"/>
      <c r="R38" s="3"/>
      <c r="S38" s="7" t="s">
        <v>46</v>
      </c>
      <c r="T38" s="19">
        <f>O45/1000</f>
        <v>23.389959999999999</v>
      </c>
      <c r="U38" s="7"/>
    </row>
    <row r="39" spans="1:48" ht="16" x14ac:dyDescent="0.2">
      <c r="A39" s="4" t="s">
        <v>15</v>
      </c>
      <c r="B39" s="8">
        <v>102327</v>
      </c>
      <c r="C39" s="8">
        <v>280308</v>
      </c>
      <c r="D39" s="8">
        <v>0</v>
      </c>
      <c r="E39" s="67">
        <f>E32</f>
        <v>1390</v>
      </c>
      <c r="F39" s="8">
        <v>22389</v>
      </c>
      <c r="G39" s="55">
        <f>SUM(G32:G36)</f>
        <v>41123</v>
      </c>
      <c r="H39" s="8">
        <v>0</v>
      </c>
      <c r="I39" s="8"/>
      <c r="J39" s="8"/>
      <c r="K39" s="8"/>
      <c r="L39" s="8"/>
      <c r="M39" s="27"/>
      <c r="N39" s="8">
        <v>260212</v>
      </c>
      <c r="O39" s="68">
        <f>SUM(O31:O38)</f>
        <v>707749</v>
      </c>
      <c r="P39" s="3"/>
      <c r="Q39" s="3"/>
      <c r="R39" s="3"/>
      <c r="S39" s="7" t="s">
        <v>47</v>
      </c>
      <c r="T39" s="20">
        <f>O41/1000</f>
        <v>197.91200000000001</v>
      </c>
      <c r="U39" s="13">
        <f>P41</f>
        <v>0.27963585960559462</v>
      </c>
    </row>
    <row r="40" spans="1:48" x14ac:dyDescent="0.2"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S40" s="7" t="s">
        <v>48</v>
      </c>
      <c r="T40" s="20">
        <f>O35/1000</f>
        <v>76.072999999999993</v>
      </c>
      <c r="U40" s="14">
        <f>P35</f>
        <v>0.10748584597081734</v>
      </c>
    </row>
    <row r="41" spans="1:48" ht="16" x14ac:dyDescent="0.2">
      <c r="A41" s="21" t="s">
        <v>49</v>
      </c>
      <c r="B41" s="22">
        <f>B38+B37+B36</f>
        <v>50526</v>
      </c>
      <c r="C41" s="22">
        <f t="shared" ref="C41:O41" si="0">C38+C37+C36</f>
        <v>701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39881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106803</v>
      </c>
      <c r="O41" s="22">
        <f t="shared" si="0"/>
        <v>197912</v>
      </c>
      <c r="P41" s="17">
        <f>O41/O$39</f>
        <v>0.27963585960559462</v>
      </c>
      <c r="Q41" s="17" t="s">
        <v>50</v>
      </c>
      <c r="R41" s="7"/>
      <c r="S41" s="7" t="s">
        <v>51</v>
      </c>
      <c r="T41" s="20">
        <f>O33/1000</f>
        <v>37.338000000000001</v>
      </c>
      <c r="U41" s="13">
        <f>P33</f>
        <v>5.2755991177663268E-2</v>
      </c>
    </row>
    <row r="42" spans="1:48" ht="16" x14ac:dyDescent="0.2">
      <c r="A42" s="23" t="s">
        <v>52</v>
      </c>
      <c r="B42" s="22"/>
      <c r="C42" s="24">
        <f>C39+C23+C10</f>
        <v>281308</v>
      </c>
      <c r="D42" s="24">
        <f t="shared" ref="D42:M42" si="1">D39+D23+D10</f>
        <v>0</v>
      </c>
      <c r="E42" s="24">
        <f t="shared" si="1"/>
        <v>1390</v>
      </c>
      <c r="F42" s="24">
        <f t="shared" si="1"/>
        <v>22389</v>
      </c>
      <c r="G42" s="24">
        <f t="shared" si="1"/>
        <v>108223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59400</v>
      </c>
      <c r="L42" s="24">
        <f t="shared" si="1"/>
        <v>0</v>
      </c>
      <c r="M42" s="24">
        <f t="shared" si="1"/>
        <v>0</v>
      </c>
      <c r="N42" s="24">
        <f>N39+N23-B6+N45</f>
        <v>281028.96000000002</v>
      </c>
      <c r="O42" s="25">
        <f>SUM(C42:N42)</f>
        <v>753738.96</v>
      </c>
      <c r="P42" s="7"/>
      <c r="Q42" s="7"/>
      <c r="R42" s="7"/>
      <c r="S42" s="7" t="s">
        <v>33</v>
      </c>
      <c r="T42" s="20">
        <f>O31/1000</f>
        <v>2.4220000000000002</v>
      </c>
      <c r="U42" s="13">
        <f>P31</f>
        <v>3.4221171630055289E-3</v>
      </c>
    </row>
    <row r="43" spans="1:48" ht="16" x14ac:dyDescent="0.2">
      <c r="A43" s="23" t="s">
        <v>53</v>
      </c>
      <c r="B43" s="22"/>
      <c r="C43" s="17">
        <f t="shared" ref="C43:N43" si="2">C42/$O42</f>
        <v>0.37321674336696092</v>
      </c>
      <c r="D43" s="17">
        <f t="shared" si="2"/>
        <v>0</v>
      </c>
      <c r="E43" s="17">
        <f t="shared" si="2"/>
        <v>1.8441397801700473E-3</v>
      </c>
      <c r="F43" s="17">
        <f t="shared" si="2"/>
        <v>2.9703917653400854E-2</v>
      </c>
      <c r="G43" s="17">
        <f t="shared" si="2"/>
        <v>0.14358153915780075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7.880712441877756E-2</v>
      </c>
      <c r="L43" s="17">
        <f t="shared" si="2"/>
        <v>0</v>
      </c>
      <c r="M43" s="17">
        <f t="shared" si="2"/>
        <v>0</v>
      </c>
      <c r="N43" s="17">
        <f t="shared" si="2"/>
        <v>0.37284653562288994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101.408</v>
      </c>
      <c r="U43" s="14">
        <f>P32</f>
        <v>0.14328243487451059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292.596</v>
      </c>
      <c r="U44" s="14">
        <f>P34</f>
        <v>0.41341775120840862</v>
      </c>
    </row>
    <row r="45" spans="1:48" ht="16" x14ac:dyDescent="0.2">
      <c r="A45" s="6" t="s">
        <v>56</v>
      </c>
      <c r="B45" s="6">
        <f>B23-B39</f>
        <v>2573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20816.96</v>
      </c>
      <c r="O45" s="25">
        <f>B45+N45</f>
        <v>23389.96</v>
      </c>
      <c r="P45" s="7"/>
      <c r="Q45" s="7"/>
      <c r="R45" s="7"/>
      <c r="S45" s="7" t="s">
        <v>57</v>
      </c>
      <c r="T45" s="20">
        <f>SUM(T39:T44)</f>
        <v>707.74900000000002</v>
      </c>
      <c r="U45" s="13">
        <f>SUM(U39:U44)</f>
        <v>1</v>
      </c>
    </row>
    <row r="46" spans="1:48" ht="16" x14ac:dyDescent="0.2">
      <c r="A46" s="6"/>
      <c r="B46" s="53">
        <f>B45/B23</f>
        <v>2.4528122020972355E-2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7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1" enableFormatConditionsCalculation="0"/>
  <dimension ref="A1:AV51"/>
  <sheetViews>
    <sheetView topLeftCell="A7" workbookViewId="0">
      <selection activeCell="O39" sqref="O39"/>
    </sheetView>
  </sheetViews>
  <sheetFormatPr baseColWidth="10" defaultColWidth="8.83203125" defaultRowHeight="15" x14ac:dyDescent="0.2"/>
  <cols>
    <col min="1" max="1" width="22.5" style="2" customWidth="1"/>
    <col min="2" max="11" width="10" style="2" customWidth="1"/>
    <col min="12" max="12" width="6.6640625" style="2" customWidth="1"/>
    <col min="13" max="13" width="7.5" style="2" customWidth="1"/>
    <col min="14" max="14" width="8.83203125" style="2"/>
    <col min="15" max="15" width="10.1640625" style="2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69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5.75" x14ac:dyDescent="0.25">
      <c r="A4" s="4" t="s">
        <v>78</v>
      </c>
      <c r="B4" s="74">
        <v>580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58">
        <v>83073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5.75" x14ac:dyDescent="0.25">
      <c r="A8" s="4" t="s">
        <v>13</v>
      </c>
      <c r="B8" s="8">
        <v>85663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5.75" x14ac:dyDescent="0.25">
      <c r="A9" s="4" t="s">
        <v>14</v>
      </c>
      <c r="B9" s="63">
        <v>57625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15</v>
      </c>
      <c r="B10" s="55">
        <f>SUM(B4:B9)</f>
        <v>226941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27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6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6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6" x14ac:dyDescent="0.2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 t="s">
        <v>76</v>
      </c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6" x14ac:dyDescent="0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58">
        <f>B23-B21-B18</f>
        <v>351234</v>
      </c>
      <c r="C17" s="8">
        <v>0</v>
      </c>
      <c r="D17" s="8">
        <v>0</v>
      </c>
      <c r="E17" s="8">
        <v>0</v>
      </c>
      <c r="F17" s="8">
        <v>0</v>
      </c>
      <c r="G17" s="58">
        <f>G23-G18</f>
        <v>311552</v>
      </c>
      <c r="H17" s="58">
        <v>0</v>
      </c>
      <c r="I17" s="8"/>
      <c r="J17" s="8"/>
      <c r="K17" s="8"/>
      <c r="L17" s="58">
        <v>63259</v>
      </c>
      <c r="M17" s="8"/>
      <c r="N17" s="8"/>
      <c r="O17" s="58">
        <f>SUM(C17:N17)</f>
        <v>374811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8">
        <v>24221</v>
      </c>
      <c r="C18" s="8">
        <v>1075</v>
      </c>
      <c r="D18" s="8">
        <v>0</v>
      </c>
      <c r="E18" s="8">
        <v>1484</v>
      </c>
      <c r="F18" s="8">
        <v>0</v>
      </c>
      <c r="G18" s="8">
        <v>23469</v>
      </c>
      <c r="H18" s="8">
        <v>700</v>
      </c>
      <c r="I18" s="8"/>
      <c r="J18" s="8"/>
      <c r="K18" s="8"/>
      <c r="L18" s="8"/>
      <c r="M18" s="8"/>
      <c r="N18" s="8"/>
      <c r="O18" s="8">
        <v>26728</v>
      </c>
      <c r="P18" s="76"/>
      <c r="Q18" s="3"/>
      <c r="R18" s="3"/>
      <c r="S18" s="3"/>
      <c r="T18" s="3"/>
      <c r="U18" s="3"/>
    </row>
    <row r="19" spans="1:21" ht="16" x14ac:dyDescent="0.2">
      <c r="A19" s="4" t="s">
        <v>21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/>
      <c r="T19" s="3"/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58">
        <v>577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 t="s">
        <v>25</v>
      </c>
      <c r="T21" s="11">
        <f>O42/1000</f>
        <v>1744.3931200000002</v>
      </c>
      <c r="U21" s="3"/>
    </row>
    <row r="22" spans="1:21" ht="16" x14ac:dyDescent="0.2">
      <c r="A22" s="4" t="s">
        <v>24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3"/>
      <c r="T22" s="3"/>
      <c r="U22" s="3"/>
    </row>
    <row r="23" spans="1:21" ht="16" x14ac:dyDescent="0.2">
      <c r="A23" s="4" t="s">
        <v>15</v>
      </c>
      <c r="B23" s="58">
        <v>376032</v>
      </c>
      <c r="C23" s="8">
        <v>1075</v>
      </c>
      <c r="D23" s="8">
        <v>0</v>
      </c>
      <c r="E23" s="8">
        <v>1484</v>
      </c>
      <c r="F23" s="8">
        <v>0</v>
      </c>
      <c r="G23" s="58">
        <v>335021</v>
      </c>
      <c r="H23" s="58">
        <f>H18</f>
        <v>700</v>
      </c>
      <c r="I23" s="8"/>
      <c r="J23" s="8"/>
      <c r="K23" s="8"/>
      <c r="L23" s="58">
        <f>L17</f>
        <v>63259</v>
      </c>
      <c r="M23" s="8"/>
      <c r="N23" s="8"/>
      <c r="O23" s="58">
        <f>O17+O18</f>
        <v>401539</v>
      </c>
      <c r="P23" s="3"/>
      <c r="Q23" s="3"/>
      <c r="R23" s="3"/>
      <c r="S23" s="3"/>
      <c r="T23" s="3" t="s">
        <v>26</v>
      </c>
      <c r="U23" s="3" t="s">
        <v>27</v>
      </c>
    </row>
    <row r="24" spans="1:21" ht="16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9</v>
      </c>
      <c r="T24" s="12">
        <f>N42/1000</f>
        <v>506.29811999999998</v>
      </c>
      <c r="U24" s="13">
        <f>N43</f>
        <v>0.29024313051635975</v>
      </c>
    </row>
    <row r="25" spans="1:21" ht="16" x14ac:dyDescent="0.2">
      <c r="A25" s="5" t="s">
        <v>77</v>
      </c>
      <c r="B25" s="58">
        <v>32106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58</v>
      </c>
      <c r="T25" s="12">
        <f>G42/1000</f>
        <v>639.31899999999996</v>
      </c>
      <c r="U25" s="14">
        <f>G43</f>
        <v>0.36649938174486724</v>
      </c>
    </row>
    <row r="26" spans="1:21" ht="16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6</v>
      </c>
      <c r="T26" s="12">
        <f>J42/1000</f>
        <v>0</v>
      </c>
      <c r="U26" s="13">
        <f>J43</f>
        <v>0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73"/>
      <c r="P27" s="3"/>
      <c r="Q27" s="3"/>
      <c r="R27" s="3"/>
      <c r="S27" s="3" t="s">
        <v>30</v>
      </c>
      <c r="T27" s="12">
        <f>F42/1000</f>
        <v>35.345999999999997</v>
      </c>
      <c r="U27" s="13">
        <f>F43</f>
        <v>2.026263437681983E-2</v>
      </c>
    </row>
    <row r="28" spans="1:21" ht="16" x14ac:dyDescent="0.2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3</v>
      </c>
      <c r="T28" s="11">
        <f>E42/1000</f>
        <v>1.484</v>
      </c>
      <c r="U28" s="13">
        <f>E43</f>
        <v>8.5072566670063446E-4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75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2" t="s">
        <v>2</v>
      </c>
      <c r="T29" s="2">
        <f>D42/1000</f>
        <v>0</v>
      </c>
      <c r="U29" s="46">
        <f>D43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7</v>
      </c>
      <c r="T30" s="2">
        <f>K42/1000</f>
        <v>0</v>
      </c>
      <c r="U30" s="46">
        <f>K43</f>
        <v>0</v>
      </c>
    </row>
    <row r="31" spans="1:21" ht="16" x14ac:dyDescent="0.2">
      <c r="A31" s="4" t="s">
        <v>32</v>
      </c>
      <c r="B31" s="8">
        <v>0</v>
      </c>
      <c r="C31" s="8">
        <v>6639</v>
      </c>
      <c r="D31" s="8">
        <v>0</v>
      </c>
      <c r="E31" s="8">
        <v>0</v>
      </c>
      <c r="F31" s="8">
        <v>686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788</v>
      </c>
      <c r="O31" s="8">
        <v>8113</v>
      </c>
      <c r="P31" s="17">
        <f>O31/O$39</f>
        <v>4.6989879192049777E-3</v>
      </c>
      <c r="Q31" s="18" t="s">
        <v>33</v>
      </c>
      <c r="R31" s="3"/>
      <c r="S31" s="6" t="s">
        <v>75</v>
      </c>
      <c r="T31" s="12">
        <f>I42/1000</f>
        <v>1.93</v>
      </c>
      <c r="U31" s="13">
        <f>I43</f>
        <v>1.1064019789300704E-3</v>
      </c>
    </row>
    <row r="32" spans="1:21" ht="16" x14ac:dyDescent="0.2">
      <c r="A32" s="4" t="s">
        <v>35</v>
      </c>
      <c r="B32" s="8">
        <v>69552</v>
      </c>
      <c r="C32" s="8">
        <v>5033</v>
      </c>
      <c r="D32" s="8">
        <v>0</v>
      </c>
      <c r="E32" s="8">
        <v>0</v>
      </c>
      <c r="F32" s="67">
        <v>0</v>
      </c>
      <c r="G32" s="68">
        <f>O32-N32-C32-B32-I32</f>
        <v>221613</v>
      </c>
      <c r="H32" s="8">
        <v>0</v>
      </c>
      <c r="I32" s="65">
        <v>1930</v>
      </c>
      <c r="J32" s="8"/>
      <c r="K32" s="8"/>
      <c r="M32" s="27"/>
      <c r="N32" s="70">
        <f>105543-16242</f>
        <v>89301</v>
      </c>
      <c r="O32" s="70">
        <f>403671-16242</f>
        <v>387429</v>
      </c>
      <c r="P32" s="17">
        <f>O32/O$39</f>
        <v>0.22439593128924754</v>
      </c>
      <c r="Q32" s="18" t="s">
        <v>36</v>
      </c>
      <c r="R32" s="3"/>
      <c r="S32" s="3" t="s">
        <v>5</v>
      </c>
      <c r="T32" s="12">
        <f>H42/1000</f>
        <v>0.7</v>
      </c>
      <c r="U32" s="13">
        <f>H43</f>
        <v>4.0128569183992192E-4</v>
      </c>
    </row>
    <row r="33" spans="1:48" ht="16" x14ac:dyDescent="0.2">
      <c r="A33" s="4" t="s">
        <v>37</v>
      </c>
      <c r="B33" s="8">
        <v>43420</v>
      </c>
      <c r="C33" s="8">
        <v>2374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68513</v>
      </c>
      <c r="O33" s="8">
        <v>114307</v>
      </c>
      <c r="P33" s="17">
        <f>O33/O$39</f>
        <v>6.6205745356904142E-2</v>
      </c>
      <c r="Q33" s="18" t="s">
        <v>38</v>
      </c>
      <c r="R33" s="3"/>
      <c r="S33" s="6" t="s">
        <v>76</v>
      </c>
      <c r="T33" s="12">
        <f>L42/1000</f>
        <v>65.188999999999993</v>
      </c>
      <c r="U33" s="13">
        <f>L43</f>
        <v>3.7370589950503817E-2</v>
      </c>
    </row>
    <row r="34" spans="1:48" ht="16" x14ac:dyDescent="0.2">
      <c r="A34" s="4" t="s">
        <v>39</v>
      </c>
      <c r="B34" s="8">
        <v>0</v>
      </c>
      <c r="C34" s="8">
        <v>431384</v>
      </c>
      <c r="D34" s="8">
        <v>0</v>
      </c>
      <c r="E34" s="8">
        <v>0</v>
      </c>
      <c r="F34" s="8">
        <v>34660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1026</v>
      </c>
      <c r="O34" s="8">
        <v>467070</v>
      </c>
      <c r="P34" s="17">
        <f>O34/O$39</f>
        <v>0.27052339300173411</v>
      </c>
      <c r="Q34" s="18" t="s">
        <v>40</v>
      </c>
      <c r="R34" s="3"/>
      <c r="S34" s="3" t="s">
        <v>34</v>
      </c>
      <c r="T34" s="12">
        <f>C42/1000</f>
        <v>494.12700000000001</v>
      </c>
      <c r="U34" s="14">
        <f>C43</f>
        <v>0.2832658500739787</v>
      </c>
    </row>
    <row r="35" spans="1:48" ht="16" x14ac:dyDescent="0.2">
      <c r="A35" s="4" t="s">
        <v>41</v>
      </c>
      <c r="B35" s="58">
        <v>61210</v>
      </c>
      <c r="C35" s="80">
        <v>46815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159732</v>
      </c>
      <c r="O35" s="61">
        <f>SUM(B35:N35)</f>
        <v>267757</v>
      </c>
      <c r="P35" s="17">
        <f>O35/O$39</f>
        <v>0.15508281872088833</v>
      </c>
      <c r="Q35" s="18" t="s">
        <v>42</v>
      </c>
      <c r="R35" s="18"/>
      <c r="S35" s="3"/>
      <c r="T35" s="12">
        <f>SUM(T24:T34)</f>
        <v>1744.39312</v>
      </c>
      <c r="U35" s="13">
        <f>SUM(U24:U34)</f>
        <v>1</v>
      </c>
    </row>
    <row r="36" spans="1:48" ht="16" x14ac:dyDescent="0.2">
      <c r="A36" s="4" t="s">
        <v>43</v>
      </c>
      <c r="B36" s="8">
        <v>37200</v>
      </c>
      <c r="C36" s="8">
        <v>732</v>
      </c>
      <c r="D36" s="8">
        <v>0</v>
      </c>
      <c r="E36" s="8">
        <v>0</v>
      </c>
      <c r="F36" s="8">
        <v>0</v>
      </c>
      <c r="G36" s="8">
        <v>82685</v>
      </c>
      <c r="H36" s="8">
        <v>0</v>
      </c>
      <c r="I36" s="8"/>
      <c r="J36" s="8"/>
      <c r="K36" s="8"/>
      <c r="L36" s="8"/>
      <c r="M36" s="27"/>
      <c r="N36" s="8">
        <v>184148</v>
      </c>
      <c r="O36" s="8">
        <v>304765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8">
        <v>134820</v>
      </c>
      <c r="C37" s="8">
        <v>75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27249</v>
      </c>
      <c r="O37" s="8">
        <v>162144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14957</v>
      </c>
      <c r="O38" s="8">
        <v>14957</v>
      </c>
      <c r="P38" s="18">
        <f>SUM(P31:P35)</f>
        <v>0.72090687628797911</v>
      </c>
      <c r="Q38" s="18"/>
      <c r="R38" s="3"/>
      <c r="S38" s="7" t="s">
        <v>46</v>
      </c>
      <c r="T38" s="19">
        <f>O45/1000</f>
        <v>73.48711999999999</v>
      </c>
      <c r="U38" s="7"/>
    </row>
    <row r="39" spans="1:48" ht="16" x14ac:dyDescent="0.2">
      <c r="A39" s="4" t="s">
        <v>15</v>
      </c>
      <c r="B39" s="58">
        <v>346202</v>
      </c>
      <c r="C39" s="70">
        <f>SUM(C31:C38)</f>
        <v>493052</v>
      </c>
      <c r="D39" s="8">
        <v>0</v>
      </c>
      <c r="E39" s="8">
        <v>0</v>
      </c>
      <c r="F39" s="67">
        <f>F31+F34</f>
        <v>35346</v>
      </c>
      <c r="G39" s="55">
        <f>G32+G36</f>
        <v>304298</v>
      </c>
      <c r="H39" s="8">
        <v>0</v>
      </c>
      <c r="I39" s="65">
        <f>I32</f>
        <v>1930</v>
      </c>
      <c r="J39" s="8"/>
      <c r="K39" s="8"/>
      <c r="M39" s="27"/>
      <c r="N39" s="70">
        <f>561956-16242</f>
        <v>545714</v>
      </c>
      <c r="O39" s="70">
        <f>SUM(O31:O38)</f>
        <v>1726542</v>
      </c>
      <c r="P39" s="3"/>
      <c r="Q39" s="3"/>
      <c r="R39" s="3"/>
      <c r="S39" s="7" t="s">
        <v>47</v>
      </c>
      <c r="T39" s="20">
        <f>O41/1000</f>
        <v>481.86599999999999</v>
      </c>
      <c r="U39" s="13">
        <f>P41</f>
        <v>0.27909312371202089</v>
      </c>
    </row>
    <row r="40" spans="1:48" x14ac:dyDescent="0.2"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S40" s="7" t="s">
        <v>48</v>
      </c>
      <c r="T40" s="20">
        <f>O35/1000</f>
        <v>267.75700000000001</v>
      </c>
      <c r="U40" s="14">
        <f>P35</f>
        <v>0.15508281872088833</v>
      </c>
    </row>
    <row r="41" spans="1:48" ht="16" x14ac:dyDescent="0.2">
      <c r="A41" s="21" t="s">
        <v>49</v>
      </c>
      <c r="B41" s="22">
        <f>B38+B37+B36</f>
        <v>172020</v>
      </c>
      <c r="C41" s="22">
        <f t="shared" ref="C41:O41" si="0">C38+C37+C36</f>
        <v>807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82685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226354</v>
      </c>
      <c r="O41" s="22">
        <f t="shared" si="0"/>
        <v>481866</v>
      </c>
      <c r="P41" s="17">
        <f>O41/O$39</f>
        <v>0.27909312371202089</v>
      </c>
      <c r="Q41" s="17" t="s">
        <v>50</v>
      </c>
      <c r="R41" s="7"/>
      <c r="S41" s="7" t="s">
        <v>51</v>
      </c>
      <c r="T41" s="20">
        <f>O33/1000</f>
        <v>114.307</v>
      </c>
      <c r="U41" s="13">
        <f>P33</f>
        <v>6.6205745356904142E-2</v>
      </c>
    </row>
    <row r="42" spans="1:48" ht="16" x14ac:dyDescent="0.2">
      <c r="A42" s="23" t="s">
        <v>52</v>
      </c>
      <c r="B42" s="22"/>
      <c r="C42" s="24">
        <f>C39+C23+C10</f>
        <v>494127</v>
      </c>
      <c r="D42" s="24">
        <f t="shared" ref="D42:M42" si="1">D39+D23+D10</f>
        <v>0</v>
      </c>
      <c r="E42" s="24">
        <f t="shared" si="1"/>
        <v>1484</v>
      </c>
      <c r="F42" s="24">
        <f t="shared" si="1"/>
        <v>35346</v>
      </c>
      <c r="G42" s="24">
        <f t="shared" si="1"/>
        <v>639319</v>
      </c>
      <c r="H42" s="24">
        <f t="shared" si="1"/>
        <v>700</v>
      </c>
      <c r="I42" s="24">
        <f>I39</f>
        <v>1930</v>
      </c>
      <c r="J42" s="24">
        <f t="shared" si="1"/>
        <v>0</v>
      </c>
      <c r="K42" s="24">
        <f t="shared" si="1"/>
        <v>0</v>
      </c>
      <c r="L42" s="24">
        <f>I39+L23+L10</f>
        <v>65189</v>
      </c>
      <c r="M42" s="24">
        <f t="shared" si="1"/>
        <v>0</v>
      </c>
      <c r="N42" s="24">
        <f>N39+N23-B6+N45</f>
        <v>506298.12</v>
      </c>
      <c r="O42" s="25">
        <f>SUM(C42:N42)</f>
        <v>1744393.12</v>
      </c>
      <c r="P42" s="7"/>
      <c r="Q42" s="7"/>
      <c r="R42" s="7"/>
      <c r="S42" s="7" t="s">
        <v>33</v>
      </c>
      <c r="T42" s="20">
        <f>O31/1000</f>
        <v>8.1129999999999995</v>
      </c>
      <c r="U42" s="13">
        <f>P31</f>
        <v>4.6989879192049777E-3</v>
      </c>
    </row>
    <row r="43" spans="1:48" ht="16" x14ac:dyDescent="0.2">
      <c r="A43" s="23" t="s">
        <v>53</v>
      </c>
      <c r="B43" s="22"/>
      <c r="C43" s="17">
        <f t="shared" ref="C43:N43" si="2">C42/$O42</f>
        <v>0.2832658500739787</v>
      </c>
      <c r="D43" s="17">
        <f t="shared" si="2"/>
        <v>0</v>
      </c>
      <c r="E43" s="17">
        <f t="shared" si="2"/>
        <v>8.5072566670063446E-4</v>
      </c>
      <c r="F43" s="17">
        <f t="shared" si="2"/>
        <v>2.026263437681983E-2</v>
      </c>
      <c r="G43" s="17">
        <f t="shared" si="2"/>
        <v>0.36649938174486724</v>
      </c>
      <c r="H43" s="17">
        <f t="shared" si="2"/>
        <v>4.0128569183992192E-4</v>
      </c>
      <c r="I43" s="17">
        <f t="shared" si="2"/>
        <v>1.1064019789300704E-3</v>
      </c>
      <c r="J43" s="17">
        <f t="shared" si="2"/>
        <v>0</v>
      </c>
      <c r="K43" s="17">
        <f t="shared" si="2"/>
        <v>0</v>
      </c>
      <c r="L43" s="17">
        <f t="shared" si="2"/>
        <v>3.7370589950503817E-2</v>
      </c>
      <c r="M43" s="17">
        <f t="shared" si="2"/>
        <v>0</v>
      </c>
      <c r="N43" s="17">
        <f t="shared" si="2"/>
        <v>0.29024313051635975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387.42899999999997</v>
      </c>
      <c r="U43" s="14">
        <f>P32</f>
        <v>0.22439593128924754</v>
      </c>
    </row>
    <row r="44" spans="1:48" ht="16" x14ac:dyDescent="0.2">
      <c r="A44" s="72"/>
      <c r="B44" s="58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467.07</v>
      </c>
      <c r="U44" s="14">
        <f>P34</f>
        <v>0.27052339300173411</v>
      </c>
    </row>
    <row r="45" spans="1:48" ht="16" x14ac:dyDescent="0.2">
      <c r="A45" s="6" t="s">
        <v>56</v>
      </c>
      <c r="B45" s="6">
        <f>B23-B39</f>
        <v>29830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43657.120000000003</v>
      </c>
      <c r="O45" s="25">
        <f>B45+N45</f>
        <v>73487.12</v>
      </c>
      <c r="P45" s="7"/>
      <c r="Q45" s="7"/>
      <c r="R45" s="7"/>
      <c r="S45" s="7" t="s">
        <v>57</v>
      </c>
      <c r="T45" s="20">
        <f>SUM(T39:T44)</f>
        <v>1726.5420000000001</v>
      </c>
      <c r="U45" s="13">
        <f>SUM(U39:U44)</f>
        <v>1</v>
      </c>
    </row>
    <row r="46" spans="1:48" ht="16" x14ac:dyDescent="0.2">
      <c r="A46" s="6"/>
      <c r="B46" s="53">
        <f>B45/B23</f>
        <v>7.9328355033614156E-2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51" spans="2:2" x14ac:dyDescent="0.2">
      <c r="B51" s="9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2" enableFormatConditionsCalculation="0"/>
  <dimension ref="A1:AV70"/>
  <sheetViews>
    <sheetView topLeftCell="C10" workbookViewId="0">
      <selection activeCell="U35" sqref="U35"/>
    </sheetView>
  </sheetViews>
  <sheetFormatPr baseColWidth="10" defaultColWidth="8.83203125" defaultRowHeight="15" x14ac:dyDescent="0.2"/>
  <cols>
    <col min="1" max="1" width="22.5" style="2" customWidth="1"/>
    <col min="2" max="11" width="10" style="2" customWidth="1"/>
    <col min="12" max="13" width="5.33203125" style="2" customWidth="1"/>
    <col min="14" max="14" width="9.6640625" style="2" customWidth="1"/>
    <col min="15" max="15" width="10.6640625" style="2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4" t="s">
        <v>70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5.75" x14ac:dyDescent="0.25">
      <c r="A4" s="4" t="s">
        <v>78</v>
      </c>
      <c r="B4" s="74">
        <v>312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58">
        <v>40900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5.75" x14ac:dyDescent="0.25">
      <c r="A8" s="4" t="s">
        <v>13</v>
      </c>
      <c r="B8" s="8">
        <v>1064431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5.75" x14ac:dyDescent="0.25">
      <c r="A9" s="4" t="s">
        <v>14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15</v>
      </c>
      <c r="B10" s="58">
        <f>SUM(B4:B9)</f>
        <v>1105643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27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6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6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6" x14ac:dyDescent="0.2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6" x14ac:dyDescent="0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58">
        <f>179200+62700+102900</f>
        <v>344800</v>
      </c>
      <c r="C17" s="58">
        <v>700</v>
      </c>
      <c r="D17" s="58">
        <v>0</v>
      </c>
      <c r="E17" s="8">
        <v>0</v>
      </c>
      <c r="F17" s="8">
        <v>0</v>
      </c>
      <c r="G17" s="61">
        <f>102900/0.9</f>
        <v>114333.33333333333</v>
      </c>
      <c r="H17" s="58">
        <v>6500</v>
      </c>
      <c r="I17" s="8"/>
      <c r="J17" s="8"/>
      <c r="K17" s="58">
        <f>242200+55300</f>
        <v>297500</v>
      </c>
      <c r="L17" s="8"/>
      <c r="M17" s="8"/>
      <c r="N17" s="58">
        <v>2300</v>
      </c>
      <c r="O17" s="58">
        <f>SUM(C17:N17)</f>
        <v>421333.33333333331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58">
        <v>5400</v>
      </c>
      <c r="C18" s="8">
        <v>0</v>
      </c>
      <c r="D18" s="8">
        <v>0</v>
      </c>
      <c r="E18" s="8">
        <v>0</v>
      </c>
      <c r="F18" s="8">
        <v>0</v>
      </c>
      <c r="G18" s="58">
        <v>5700</v>
      </c>
      <c r="H18" s="8">
        <v>0</v>
      </c>
      <c r="I18" s="8"/>
      <c r="J18" s="8"/>
      <c r="K18" s="8"/>
      <c r="L18" s="8"/>
      <c r="M18" s="8"/>
      <c r="N18" s="58">
        <v>500</v>
      </c>
      <c r="O18" s="58">
        <f>SUM(C18:N18)</f>
        <v>6200</v>
      </c>
      <c r="P18" s="3"/>
      <c r="Q18" s="3"/>
      <c r="R18" s="3"/>
      <c r="S18" s="3"/>
      <c r="T18" s="3"/>
      <c r="U18" s="3"/>
    </row>
    <row r="19" spans="1:21" ht="16" x14ac:dyDescent="0.2">
      <c r="A19" s="4" t="s">
        <v>21</v>
      </c>
      <c r="B19" s="5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/>
      <c r="T19" s="3"/>
      <c r="U19" s="3"/>
    </row>
    <row r="20" spans="1:21" ht="16" x14ac:dyDescent="0.2">
      <c r="A20" s="4" t="s">
        <v>22</v>
      </c>
      <c r="B20" s="5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58">
        <v>98400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 t="s">
        <v>25</v>
      </c>
      <c r="T21" s="11">
        <f>O42/1000</f>
        <v>5424.1585733333341</v>
      </c>
      <c r="U21" s="3"/>
    </row>
    <row r="22" spans="1:21" ht="16" x14ac:dyDescent="0.2">
      <c r="A22" s="4" t="s">
        <v>24</v>
      </c>
      <c r="B22" s="5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3"/>
      <c r="T22" s="3"/>
      <c r="U22" s="3"/>
    </row>
    <row r="23" spans="1:21" ht="16" x14ac:dyDescent="0.2">
      <c r="A23" s="4" t="s">
        <v>15</v>
      </c>
      <c r="B23" s="58">
        <f>SUM(B17:B22)</f>
        <v>448600</v>
      </c>
      <c r="C23" s="58">
        <f>C17</f>
        <v>700</v>
      </c>
      <c r="D23" s="58">
        <v>0</v>
      </c>
      <c r="E23" s="8">
        <v>0</v>
      </c>
      <c r="F23" s="8">
        <v>0</v>
      </c>
      <c r="G23" s="58">
        <f>SUM(G17:G18)</f>
        <v>120033.33333333333</v>
      </c>
      <c r="H23" s="58">
        <f>H17</f>
        <v>6500</v>
      </c>
      <c r="I23" s="8"/>
      <c r="J23" s="8"/>
      <c r="K23" s="58">
        <f>K17</f>
        <v>297500</v>
      </c>
      <c r="L23" s="8"/>
      <c r="M23" s="8"/>
      <c r="N23" s="58">
        <f>N17+N18</f>
        <v>2800</v>
      </c>
      <c r="O23" s="58">
        <f>SUM(O17:O19)</f>
        <v>427533.33333333331</v>
      </c>
      <c r="P23" s="3"/>
      <c r="Q23" s="3"/>
      <c r="R23" s="3"/>
      <c r="S23" s="3"/>
      <c r="T23" s="3" t="s">
        <v>26</v>
      </c>
      <c r="U23" s="3" t="s">
        <v>27</v>
      </c>
    </row>
    <row r="24" spans="1:21" ht="16" x14ac:dyDescent="0.2"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3"/>
      <c r="Q24" s="3"/>
      <c r="R24" s="3"/>
      <c r="S24" s="3" t="s">
        <v>9</v>
      </c>
      <c r="T24" s="12">
        <f>N42/1000</f>
        <v>2584.79124</v>
      </c>
      <c r="U24" s="13">
        <f>N43</f>
        <v>0.47653312583956337</v>
      </c>
    </row>
    <row r="25" spans="1:21" ht="16" x14ac:dyDescent="0.2">
      <c r="A25" s="5" t="s">
        <v>77</v>
      </c>
      <c r="B25" s="58">
        <v>7631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58</v>
      </c>
      <c r="T25" s="12">
        <f>G42/1000</f>
        <v>705.90133333333335</v>
      </c>
      <c r="U25" s="14">
        <f>G43</f>
        <v>0.13014024641605057</v>
      </c>
    </row>
    <row r="26" spans="1:21" ht="16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6</v>
      </c>
      <c r="T26" s="12">
        <f>J42/1000</f>
        <v>0</v>
      </c>
      <c r="U26" s="13">
        <f>J43</f>
        <v>0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30</v>
      </c>
      <c r="T27" s="12">
        <f>F42/1000</f>
        <v>50.942</v>
      </c>
      <c r="U27" s="13">
        <f>F43</f>
        <v>9.3916870812820585E-3</v>
      </c>
    </row>
    <row r="28" spans="1:21" ht="16" x14ac:dyDescent="0.2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3</v>
      </c>
      <c r="T28" s="11">
        <f>E42/1000</f>
        <v>1054.1869999999999</v>
      </c>
      <c r="U28" s="13">
        <f>E43</f>
        <v>0.19435032839612679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2" t="s">
        <v>2</v>
      </c>
      <c r="T29" s="2">
        <f>D42/1000</f>
        <v>78</v>
      </c>
      <c r="U29" s="46">
        <f>D43</f>
        <v>1.4380110563778426E-2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7</v>
      </c>
      <c r="T30" s="2">
        <f>K42/1000</f>
        <v>297.5</v>
      </c>
      <c r="U30" s="46">
        <f>K43</f>
        <v>5.484721657338567E-2</v>
      </c>
    </row>
    <row r="31" spans="1:21" ht="16" x14ac:dyDescent="0.2">
      <c r="A31" s="4" t="s">
        <v>32</v>
      </c>
      <c r="B31" s="8">
        <v>0</v>
      </c>
      <c r="C31" s="8">
        <v>7210</v>
      </c>
      <c r="D31" s="8">
        <v>0</v>
      </c>
      <c r="E31" s="8">
        <v>0</v>
      </c>
      <c r="F31" s="8">
        <v>589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10362</v>
      </c>
      <c r="O31" s="8">
        <v>18161</v>
      </c>
      <c r="P31" s="17">
        <f>O31/O$39</f>
        <v>3.4928781712327702E-3</v>
      </c>
      <c r="Q31" s="18" t="s">
        <v>33</v>
      </c>
      <c r="R31" s="3"/>
      <c r="S31" s="3" t="s">
        <v>4</v>
      </c>
      <c r="T31" s="12">
        <f>I42/1000</f>
        <v>0</v>
      </c>
      <c r="U31" s="13">
        <f>I43</f>
        <v>0</v>
      </c>
    </row>
    <row r="32" spans="1:21" ht="16" x14ac:dyDescent="0.2">
      <c r="A32" s="4" t="s">
        <v>35</v>
      </c>
      <c r="B32" s="8">
        <v>11400</v>
      </c>
      <c r="C32" s="67">
        <v>20018</v>
      </c>
      <c r="D32" s="67">
        <v>78000</v>
      </c>
      <c r="E32" s="8">
        <v>1054187</v>
      </c>
      <c r="F32" s="8">
        <v>0</v>
      </c>
      <c r="G32" s="67">
        <v>534000</v>
      </c>
      <c r="H32" s="8">
        <v>0</v>
      </c>
      <c r="I32" s="8"/>
      <c r="J32" s="8"/>
      <c r="K32" s="8"/>
      <c r="L32" s="8"/>
      <c r="M32" s="27"/>
      <c r="N32" s="65">
        <f>2059902-33000</f>
        <v>2026902</v>
      </c>
      <c r="O32" s="65">
        <f>SUM(B32:N32)</f>
        <v>3724507</v>
      </c>
      <c r="P32" s="17">
        <f>O32/O$39</f>
        <v>0.71632890253310122</v>
      </c>
      <c r="Q32" s="18" t="s">
        <v>36</v>
      </c>
      <c r="R32" s="3"/>
      <c r="S32" s="3" t="s">
        <v>5</v>
      </c>
      <c r="T32" s="12">
        <f>H42/1000</f>
        <v>6.5</v>
      </c>
      <c r="U32" s="13">
        <f>H43</f>
        <v>1.1983425469815356E-3</v>
      </c>
    </row>
    <row r="33" spans="1:48" ht="16" x14ac:dyDescent="0.2">
      <c r="A33" s="4" t="s">
        <v>37</v>
      </c>
      <c r="B33" s="8">
        <v>36400</v>
      </c>
      <c r="C33" s="8">
        <v>931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47974</v>
      </c>
      <c r="O33" s="8">
        <v>85305</v>
      </c>
      <c r="P33" s="17">
        <f>O33/O$39</f>
        <v>1.6406584020539145E-2</v>
      </c>
      <c r="Q33" s="18" t="s">
        <v>38</v>
      </c>
      <c r="R33" s="3"/>
      <c r="S33" s="3" t="s">
        <v>34</v>
      </c>
      <c r="T33" s="12">
        <f>C42/1000</f>
        <v>646.33699999999999</v>
      </c>
      <c r="U33" s="14">
        <f>C43</f>
        <v>0.1191589425828315</v>
      </c>
    </row>
    <row r="34" spans="1:48" ht="16" x14ac:dyDescent="0.2">
      <c r="A34" s="4" t="s">
        <v>39</v>
      </c>
      <c r="B34" s="8">
        <v>0</v>
      </c>
      <c r="C34" s="8">
        <v>596412</v>
      </c>
      <c r="D34" s="8">
        <v>0</v>
      </c>
      <c r="E34" s="8">
        <v>0</v>
      </c>
      <c r="F34" s="8">
        <v>50353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50923</v>
      </c>
      <c r="O34" s="8">
        <v>697688</v>
      </c>
      <c r="P34" s="17">
        <f>O34/O$39</f>
        <v>0.13418529736969598</v>
      </c>
      <c r="Q34" s="18" t="s">
        <v>40</v>
      </c>
      <c r="R34" s="3"/>
      <c r="S34" s="3"/>
      <c r="T34" s="12">
        <f>SUM(T24:T33)</f>
        <v>5424.1585733333322</v>
      </c>
      <c r="U34" s="13">
        <f>SUM(U24:U33)</f>
        <v>0.99999999999999978</v>
      </c>
    </row>
    <row r="35" spans="1:48" ht="16" x14ac:dyDescent="0.2">
      <c r="A35" s="4" t="s">
        <v>41</v>
      </c>
      <c r="B35" s="8">
        <v>78500</v>
      </c>
      <c r="C35" s="8">
        <v>20082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147439</v>
      </c>
      <c r="O35" s="8">
        <v>246021</v>
      </c>
      <c r="P35" s="17">
        <f>O35/O$39</f>
        <v>4.7316853728586385E-2</v>
      </c>
      <c r="Q35" s="18" t="s">
        <v>42</v>
      </c>
      <c r="R35" s="18"/>
    </row>
    <row r="36" spans="1:48" ht="16" x14ac:dyDescent="0.2">
      <c r="A36" s="4" t="s">
        <v>43</v>
      </c>
      <c r="B36" s="8">
        <v>91500</v>
      </c>
      <c r="C36" s="70">
        <v>984</v>
      </c>
      <c r="D36" s="8">
        <v>0</v>
      </c>
      <c r="E36" s="8">
        <v>0</v>
      </c>
      <c r="F36" s="8">
        <v>0</v>
      </c>
      <c r="G36" s="8">
        <v>51868</v>
      </c>
      <c r="H36" s="8">
        <v>0</v>
      </c>
      <c r="I36" s="8"/>
      <c r="J36" s="8"/>
      <c r="K36" s="8"/>
      <c r="L36" s="8"/>
      <c r="M36" s="27"/>
      <c r="N36" s="8">
        <v>109589</v>
      </c>
      <c r="O36" s="8">
        <v>253941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8">
        <v>138400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26165</v>
      </c>
      <c r="O37" s="8">
        <v>164565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9249</v>
      </c>
      <c r="O38" s="8">
        <v>9249</v>
      </c>
      <c r="P38" s="18">
        <f>SUM(P31:P35)</f>
        <v>0.91773051582315557</v>
      </c>
      <c r="Q38" s="18"/>
      <c r="R38" s="3"/>
      <c r="S38" s="7" t="s">
        <v>46</v>
      </c>
      <c r="T38" s="19">
        <f>O45/1000</f>
        <v>286.68824000000001</v>
      </c>
      <c r="U38" s="7"/>
    </row>
    <row r="39" spans="1:48" ht="16" x14ac:dyDescent="0.2">
      <c r="A39" s="4" t="s">
        <v>15</v>
      </c>
      <c r="B39" s="8">
        <v>356200</v>
      </c>
      <c r="C39" s="65">
        <f>SUM(C31:C38)</f>
        <v>645637</v>
      </c>
      <c r="D39" s="65">
        <f>SUM(D31:D38)</f>
        <v>78000</v>
      </c>
      <c r="E39" s="8">
        <v>1054187</v>
      </c>
      <c r="F39" s="8">
        <v>50942</v>
      </c>
      <c r="G39" s="67">
        <f>SUM(G32:G36)</f>
        <v>585868</v>
      </c>
      <c r="H39" s="8">
        <v>0</v>
      </c>
      <c r="I39" s="8"/>
      <c r="J39" s="8"/>
      <c r="K39" s="8"/>
      <c r="L39" s="8"/>
      <c r="M39" s="27"/>
      <c r="N39" s="65">
        <f>2461603-33000</f>
        <v>2428603</v>
      </c>
      <c r="O39" s="67">
        <f>SUM(O31:O38)</f>
        <v>5199437</v>
      </c>
      <c r="P39" s="3"/>
      <c r="Q39" s="3"/>
      <c r="R39" s="3"/>
      <c r="S39" s="7" t="s">
        <v>47</v>
      </c>
      <c r="T39" s="20">
        <f>O41/1000</f>
        <v>427.755</v>
      </c>
      <c r="U39" s="13">
        <f>P41</f>
        <v>8.2269484176844529E-2</v>
      </c>
    </row>
    <row r="40" spans="1:48" x14ac:dyDescent="0.2"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S40" s="7" t="s">
        <v>48</v>
      </c>
      <c r="T40" s="20">
        <f>O35/1000</f>
        <v>246.02099999999999</v>
      </c>
      <c r="U40" s="14">
        <f>P35</f>
        <v>4.7316853728586385E-2</v>
      </c>
    </row>
    <row r="41" spans="1:48" ht="16" x14ac:dyDescent="0.2">
      <c r="A41" s="21" t="s">
        <v>49</v>
      </c>
      <c r="B41" s="22">
        <f>B38+B37+B36</f>
        <v>229900</v>
      </c>
      <c r="C41" s="22">
        <f t="shared" ref="C41:O41" si="0">C38+C37+C36</f>
        <v>984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51868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145003</v>
      </c>
      <c r="O41" s="22">
        <f t="shared" si="0"/>
        <v>427755</v>
      </c>
      <c r="P41" s="17">
        <f>O41/O$39</f>
        <v>8.2269484176844529E-2</v>
      </c>
      <c r="Q41" s="17" t="s">
        <v>50</v>
      </c>
      <c r="R41" s="7"/>
      <c r="S41" s="7" t="s">
        <v>51</v>
      </c>
      <c r="T41" s="20">
        <f>O33/1000</f>
        <v>85.305000000000007</v>
      </c>
      <c r="U41" s="13">
        <f>P33</f>
        <v>1.6406584020539145E-2</v>
      </c>
    </row>
    <row r="42" spans="1:48" ht="16" x14ac:dyDescent="0.2">
      <c r="A42" s="23" t="s">
        <v>52</v>
      </c>
      <c r="B42" s="22"/>
      <c r="C42" s="24">
        <f>C39+C23+C10</f>
        <v>646337</v>
      </c>
      <c r="D42" s="24">
        <f t="shared" ref="D42:M42" si="1">D39+D23+D10</f>
        <v>78000</v>
      </c>
      <c r="E42" s="24">
        <f t="shared" si="1"/>
        <v>1054187</v>
      </c>
      <c r="F42" s="24">
        <f t="shared" si="1"/>
        <v>50942</v>
      </c>
      <c r="G42" s="24">
        <f t="shared" si="1"/>
        <v>705901.33333333337</v>
      </c>
      <c r="H42" s="24">
        <f t="shared" si="1"/>
        <v>6500</v>
      </c>
      <c r="I42" s="24">
        <f t="shared" si="1"/>
        <v>0</v>
      </c>
      <c r="J42" s="24">
        <f t="shared" si="1"/>
        <v>0</v>
      </c>
      <c r="K42" s="24">
        <f t="shared" si="1"/>
        <v>297500</v>
      </c>
      <c r="L42" s="24">
        <f t="shared" si="1"/>
        <v>0</v>
      </c>
      <c r="M42" s="24">
        <f t="shared" si="1"/>
        <v>0</v>
      </c>
      <c r="N42" s="24">
        <f>N39+N23-B6+N45</f>
        <v>2584791.2400000002</v>
      </c>
      <c r="O42" s="25">
        <f>SUM(C42:N42)</f>
        <v>5424158.5733333342</v>
      </c>
      <c r="P42" s="7"/>
      <c r="Q42" s="7"/>
      <c r="R42" s="7"/>
      <c r="S42" s="7" t="s">
        <v>33</v>
      </c>
      <c r="T42" s="20">
        <f>O31/1000</f>
        <v>18.161000000000001</v>
      </c>
      <c r="U42" s="13">
        <f>P31</f>
        <v>3.4928781712327702E-3</v>
      </c>
    </row>
    <row r="43" spans="1:48" ht="16" x14ac:dyDescent="0.2">
      <c r="A43" s="23" t="s">
        <v>53</v>
      </c>
      <c r="B43" s="22"/>
      <c r="C43" s="17">
        <f t="shared" ref="C43:N43" si="2">C42/$O42</f>
        <v>0.1191589425828315</v>
      </c>
      <c r="D43" s="17">
        <f t="shared" si="2"/>
        <v>1.4380110563778426E-2</v>
      </c>
      <c r="E43" s="17">
        <f t="shared" si="2"/>
        <v>0.19435032839612679</v>
      </c>
      <c r="F43" s="17">
        <f t="shared" si="2"/>
        <v>9.3916870812820585E-3</v>
      </c>
      <c r="G43" s="17">
        <f t="shared" si="2"/>
        <v>0.13014024641605057</v>
      </c>
      <c r="H43" s="17">
        <f t="shared" si="2"/>
        <v>1.1983425469815356E-3</v>
      </c>
      <c r="I43" s="17">
        <f t="shared" si="2"/>
        <v>0</v>
      </c>
      <c r="J43" s="17">
        <f t="shared" si="2"/>
        <v>0</v>
      </c>
      <c r="K43" s="17">
        <f t="shared" si="2"/>
        <v>5.484721657338567E-2</v>
      </c>
      <c r="L43" s="17">
        <f t="shared" si="2"/>
        <v>0</v>
      </c>
      <c r="M43" s="17">
        <f t="shared" si="2"/>
        <v>0</v>
      </c>
      <c r="N43" s="17">
        <f t="shared" si="2"/>
        <v>0.47653312583956337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3724.5070000000001</v>
      </c>
      <c r="U43" s="14">
        <f>P32</f>
        <v>0.71632890253310122</v>
      </c>
    </row>
    <row r="44" spans="1:48" ht="16" x14ac:dyDescent="0.2">
      <c r="A44" s="72"/>
      <c r="B44" s="58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697.68799999999999</v>
      </c>
      <c r="U44" s="14">
        <f>P34</f>
        <v>0.13418529736969598</v>
      </c>
    </row>
    <row r="45" spans="1:48" ht="16" x14ac:dyDescent="0.2">
      <c r="A45" s="6" t="s">
        <v>56</v>
      </c>
      <c r="B45" s="6">
        <f>B23-B39</f>
        <v>92400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194288.24</v>
      </c>
      <c r="O45" s="25">
        <f>B45+N45</f>
        <v>286688.24</v>
      </c>
      <c r="P45" s="7"/>
      <c r="Q45" s="7"/>
      <c r="R45" s="7"/>
      <c r="S45" s="7" t="s">
        <v>57</v>
      </c>
      <c r="T45" s="20">
        <f>SUM(T39:T44)</f>
        <v>5199.4369999999999</v>
      </c>
      <c r="U45" s="13">
        <f>SUM(U39:U44)</f>
        <v>1</v>
      </c>
    </row>
    <row r="46" spans="1:48" ht="16" x14ac:dyDescent="0.2">
      <c r="A46" s="6"/>
      <c r="B46" s="53">
        <f>B45/B23</f>
        <v>0.20597414177440929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ht="16" x14ac:dyDescent="0.2">
      <c r="A48" s="40"/>
      <c r="B48" s="37"/>
      <c r="C48" s="40"/>
      <c r="D48" s="40"/>
      <c r="E48" s="27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7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3" enableFormatConditionsCalculation="0"/>
  <dimension ref="A1:AV70"/>
  <sheetViews>
    <sheetView topLeftCell="A9" workbookViewId="0">
      <selection activeCell="U35" sqref="U35"/>
    </sheetView>
  </sheetViews>
  <sheetFormatPr baseColWidth="10" defaultColWidth="8.83203125" defaultRowHeight="15" x14ac:dyDescent="0.2"/>
  <cols>
    <col min="1" max="1" width="22.5" style="2" customWidth="1"/>
    <col min="2" max="11" width="10" style="2" customWidth="1"/>
    <col min="12" max="13" width="5.3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4" t="s">
        <v>71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5.75" x14ac:dyDescent="0.25">
      <c r="A4" s="4" t="s">
        <v>78</v>
      </c>
      <c r="B4" s="74">
        <v>98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">
        <v>7334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5.75" x14ac:dyDescent="0.25">
      <c r="A8" s="4" t="s">
        <v>13</v>
      </c>
      <c r="B8" s="8">
        <v>591945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5.75" x14ac:dyDescent="0.25">
      <c r="A9" s="4" t="s">
        <v>14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15</v>
      </c>
      <c r="B10" s="8">
        <f>SUM(B4:B9)</f>
        <v>599377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27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5.75" x14ac:dyDescent="0.25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8">
        <v>56920</v>
      </c>
      <c r="C17" s="8">
        <v>1771</v>
      </c>
      <c r="D17" s="8">
        <v>0</v>
      </c>
      <c r="E17" s="8">
        <v>0</v>
      </c>
      <c r="F17" s="8">
        <v>0</v>
      </c>
      <c r="G17" s="8">
        <v>65054</v>
      </c>
      <c r="H17" s="8">
        <v>0</v>
      </c>
      <c r="I17" s="8"/>
      <c r="J17" s="8"/>
      <c r="K17" s="8"/>
      <c r="L17" s="8"/>
      <c r="M17" s="8"/>
      <c r="N17" s="8"/>
      <c r="O17" s="8">
        <v>66825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8">
        <v>2991</v>
      </c>
      <c r="C18" s="8">
        <v>428</v>
      </c>
      <c r="D18" s="8">
        <v>0</v>
      </c>
      <c r="E18" s="8">
        <v>0</v>
      </c>
      <c r="F18" s="8">
        <v>0</v>
      </c>
      <c r="G18" s="8">
        <v>2864</v>
      </c>
      <c r="H18" s="8">
        <v>0</v>
      </c>
      <c r="I18" s="8"/>
      <c r="J18" s="8"/>
      <c r="K18" s="8"/>
      <c r="L18" s="8"/>
      <c r="M18" s="8"/>
      <c r="N18" s="8"/>
      <c r="O18" s="8">
        <v>3292</v>
      </c>
      <c r="P18" s="3"/>
      <c r="Q18" s="3"/>
      <c r="R18" s="3"/>
      <c r="S18" s="3"/>
      <c r="T18" s="3"/>
      <c r="U18" s="3"/>
    </row>
    <row r="19" spans="1:21" ht="16" x14ac:dyDescent="0.2">
      <c r="A19" s="4" t="s">
        <v>21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/>
      <c r="T19" s="3"/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 t="s">
        <v>25</v>
      </c>
      <c r="T21" s="11">
        <f>O42/1000</f>
        <v>274.96091999999999</v>
      </c>
      <c r="U21" s="3"/>
    </row>
    <row r="22" spans="1:21" ht="16" x14ac:dyDescent="0.2">
      <c r="A22" s="4" t="s">
        <v>24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3"/>
      <c r="T22" s="3"/>
      <c r="U22" s="3"/>
    </row>
    <row r="23" spans="1:21" ht="16" x14ac:dyDescent="0.2">
      <c r="A23" s="4" t="s">
        <v>15</v>
      </c>
      <c r="B23" s="8">
        <v>59911</v>
      </c>
      <c r="C23" s="8">
        <v>2199</v>
      </c>
      <c r="D23" s="8">
        <v>0</v>
      </c>
      <c r="E23" s="8">
        <v>0</v>
      </c>
      <c r="F23" s="8">
        <v>0</v>
      </c>
      <c r="G23" s="8">
        <v>67918</v>
      </c>
      <c r="H23" s="8">
        <v>0</v>
      </c>
      <c r="I23" s="8"/>
      <c r="J23" s="8"/>
      <c r="K23" s="8"/>
      <c r="L23" s="8"/>
      <c r="M23" s="8"/>
      <c r="N23" s="8"/>
      <c r="O23" s="8">
        <v>70117</v>
      </c>
      <c r="P23" s="3"/>
      <c r="Q23" s="3"/>
      <c r="R23" s="3"/>
      <c r="S23" s="3"/>
      <c r="T23" s="3" t="s">
        <v>26</v>
      </c>
      <c r="U23" s="3" t="s">
        <v>27</v>
      </c>
    </row>
    <row r="24" spans="1:21" ht="16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9</v>
      </c>
      <c r="T24" s="12">
        <f>N42/1000</f>
        <v>87.569919999999996</v>
      </c>
      <c r="U24" s="13">
        <f>N43</f>
        <v>0.31848133181980914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58</v>
      </c>
      <c r="T25" s="12">
        <f>G42/1000</f>
        <v>102.11799999999999</v>
      </c>
      <c r="U25" s="14">
        <f>G43</f>
        <v>0.37139095984985798</v>
      </c>
    </row>
    <row r="26" spans="1:21" ht="16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6</v>
      </c>
      <c r="T26" s="12">
        <f>J42/1000</f>
        <v>0</v>
      </c>
      <c r="U26" s="13">
        <f>J43</f>
        <v>0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30</v>
      </c>
      <c r="T27" s="12">
        <f>F42/1000</f>
        <v>5.2290000000000001</v>
      </c>
      <c r="U27" s="13">
        <f>F43</f>
        <v>1.9017247978367253E-2</v>
      </c>
    </row>
    <row r="28" spans="1:21" ht="16" x14ac:dyDescent="0.2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3</v>
      </c>
      <c r="T28" s="11">
        <f>E42/1000</f>
        <v>0</v>
      </c>
      <c r="U28" s="13">
        <f>E43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2" t="s">
        <v>2</v>
      </c>
      <c r="T29" s="2">
        <f>D42/1000</f>
        <v>0</v>
      </c>
      <c r="U29" s="46">
        <f>D43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7</v>
      </c>
      <c r="T30" s="2">
        <f>K42/1000</f>
        <v>0</v>
      </c>
      <c r="U30" s="46">
        <f>K43</f>
        <v>0</v>
      </c>
    </row>
    <row r="31" spans="1:21" ht="16" x14ac:dyDescent="0.2">
      <c r="A31" s="4" t="s">
        <v>32</v>
      </c>
      <c r="B31" s="8">
        <v>0</v>
      </c>
      <c r="C31" s="8">
        <v>8756</v>
      </c>
      <c r="D31" s="8">
        <v>0</v>
      </c>
      <c r="E31" s="8">
        <v>0</v>
      </c>
      <c r="F31" s="8">
        <v>898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11843</v>
      </c>
      <c r="O31" s="8">
        <v>21497</v>
      </c>
      <c r="P31" s="17">
        <f>O31/O$39</f>
        <v>8.3926758803779186E-2</v>
      </c>
      <c r="Q31" s="18" t="s">
        <v>33</v>
      </c>
      <c r="R31" s="3"/>
      <c r="S31" s="3" t="s">
        <v>4</v>
      </c>
      <c r="T31" s="12">
        <f>I42/1000</f>
        <v>0</v>
      </c>
      <c r="U31" s="13">
        <f>I43</f>
        <v>0</v>
      </c>
    </row>
    <row r="32" spans="1:21" ht="16" x14ac:dyDescent="0.2">
      <c r="A32" s="4" t="s">
        <v>35</v>
      </c>
      <c r="B32" s="8">
        <v>15637</v>
      </c>
      <c r="C32" s="55">
        <f>C39-SUM(C33:C38,C31)</f>
        <v>829</v>
      </c>
      <c r="D32" s="8">
        <v>0</v>
      </c>
      <c r="E32" s="8">
        <v>0</v>
      </c>
      <c r="F32" s="8">
        <v>0</v>
      </c>
      <c r="G32" s="55">
        <f>O32-N32-C32-B32</f>
        <v>1800</v>
      </c>
      <c r="H32" s="8">
        <v>0</v>
      </c>
      <c r="I32" s="8"/>
      <c r="J32" s="8"/>
      <c r="K32" s="8"/>
      <c r="L32" s="8"/>
      <c r="M32" s="27"/>
      <c r="N32" s="8">
        <v>11179</v>
      </c>
      <c r="O32" s="8">
        <v>29445</v>
      </c>
      <c r="P32" s="17">
        <f>O32/O$39</f>
        <v>0.11495666432419771</v>
      </c>
      <c r="Q32" s="18" t="s">
        <v>36</v>
      </c>
      <c r="R32" s="3"/>
      <c r="S32" s="3" t="s">
        <v>5</v>
      </c>
      <c r="T32" s="12">
        <f>H42/1000</f>
        <v>0</v>
      </c>
      <c r="U32" s="13">
        <f>H43</f>
        <v>0</v>
      </c>
    </row>
    <row r="33" spans="1:48" ht="16" x14ac:dyDescent="0.2">
      <c r="A33" s="4" t="s">
        <v>37</v>
      </c>
      <c r="B33" s="8">
        <v>11544</v>
      </c>
      <c r="C33" s="8">
        <v>62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10847</v>
      </c>
      <c r="O33" s="8">
        <v>22453</v>
      </c>
      <c r="P33" s="17">
        <f>O33/O$39</f>
        <v>8.7659092683688614E-2</v>
      </c>
      <c r="Q33" s="18" t="s">
        <v>38</v>
      </c>
      <c r="R33" s="3"/>
      <c r="S33" s="3" t="s">
        <v>34</v>
      </c>
      <c r="T33" s="12">
        <f>C42/1000</f>
        <v>80.043999999999997</v>
      </c>
      <c r="U33" s="14">
        <f>C43</f>
        <v>0.29111046035196569</v>
      </c>
    </row>
    <row r="34" spans="1:48" ht="16" x14ac:dyDescent="0.2">
      <c r="A34" s="4" t="s">
        <v>39</v>
      </c>
      <c r="B34" s="8">
        <v>0</v>
      </c>
      <c r="C34" s="8">
        <v>62121</v>
      </c>
      <c r="D34" s="8">
        <v>0</v>
      </c>
      <c r="E34" s="8">
        <v>0</v>
      </c>
      <c r="F34" s="8">
        <v>4331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299</v>
      </c>
      <c r="O34" s="8">
        <v>66751</v>
      </c>
      <c r="P34" s="17">
        <f>O34/O$39</f>
        <v>0.26060357616928242</v>
      </c>
      <c r="Q34" s="18" t="s">
        <v>40</v>
      </c>
      <c r="R34" s="3"/>
      <c r="S34" s="3"/>
      <c r="T34" s="12">
        <f>SUM(T24:T33)</f>
        <v>274.96091999999999</v>
      </c>
      <c r="U34" s="13">
        <f>SUM(U24:U33)</f>
        <v>1</v>
      </c>
    </row>
    <row r="35" spans="1:48" ht="16" x14ac:dyDescent="0.2">
      <c r="A35" s="4" t="s">
        <v>41</v>
      </c>
      <c r="B35" s="8">
        <v>3332</v>
      </c>
      <c r="C35" s="8">
        <v>5578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14455</v>
      </c>
      <c r="O35" s="8">
        <v>23365</v>
      </c>
      <c r="P35" s="17">
        <f>O35/O$39</f>
        <v>9.1219645506363703E-2</v>
      </c>
      <c r="Q35" s="18" t="s">
        <v>42</v>
      </c>
      <c r="R35" s="18"/>
    </row>
    <row r="36" spans="1:48" ht="16" x14ac:dyDescent="0.2">
      <c r="A36" s="4" t="s">
        <v>43</v>
      </c>
      <c r="B36" s="8">
        <v>6678</v>
      </c>
      <c r="C36" s="55">
        <v>499</v>
      </c>
      <c r="D36" s="8">
        <v>0</v>
      </c>
      <c r="E36" s="8">
        <v>0</v>
      </c>
      <c r="F36" s="8">
        <v>0</v>
      </c>
      <c r="G36" s="55">
        <v>32400</v>
      </c>
      <c r="H36" s="8">
        <v>0</v>
      </c>
      <c r="I36" s="8"/>
      <c r="J36" s="8"/>
      <c r="K36" s="8"/>
      <c r="L36" s="8"/>
      <c r="M36" s="27"/>
      <c r="N36" s="8">
        <v>33181</v>
      </c>
      <c r="O36" s="55">
        <f>SUM(B36:N36)</f>
        <v>72758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8">
        <v>13801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2943</v>
      </c>
      <c r="O37" s="8">
        <v>16744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3127</v>
      </c>
      <c r="O38" s="8">
        <v>3127</v>
      </c>
      <c r="P38" s="18">
        <f>SUM(P31:P35)</f>
        <v>0.63836573748731162</v>
      </c>
      <c r="Q38" s="18"/>
      <c r="R38" s="3"/>
      <c r="S38" s="7" t="s">
        <v>46</v>
      </c>
      <c r="T38" s="19">
        <f>O45/1000</f>
        <v>15.948919999999999</v>
      </c>
      <c r="U38" s="7"/>
    </row>
    <row r="39" spans="1:48" ht="16" x14ac:dyDescent="0.2">
      <c r="A39" s="4" t="s">
        <v>15</v>
      </c>
      <c r="B39" s="8">
        <v>50992</v>
      </c>
      <c r="C39" s="8">
        <v>77845</v>
      </c>
      <c r="D39" s="8">
        <v>0</v>
      </c>
      <c r="E39" s="8">
        <v>0</v>
      </c>
      <c r="F39" s="8">
        <v>5229</v>
      </c>
      <c r="G39" s="55">
        <f>G32+G36</f>
        <v>34200</v>
      </c>
      <c r="H39" s="8">
        <v>0</v>
      </c>
      <c r="I39" s="8"/>
      <c r="J39" s="8"/>
      <c r="K39" s="8"/>
      <c r="L39" s="8"/>
      <c r="M39" s="27"/>
      <c r="N39" s="8">
        <v>87874</v>
      </c>
      <c r="O39" s="55">
        <f>SUM(B39:N39)</f>
        <v>256140</v>
      </c>
      <c r="P39" s="3"/>
      <c r="Q39" s="3"/>
      <c r="R39" s="3"/>
      <c r="S39" s="7" t="s">
        <v>47</v>
      </c>
      <c r="T39" s="20">
        <f>O41/1000</f>
        <v>92.629000000000005</v>
      </c>
      <c r="U39" s="13">
        <f>P41</f>
        <v>0.36163426251268838</v>
      </c>
    </row>
    <row r="40" spans="1:48" x14ac:dyDescent="0.2"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S40" s="7" t="s">
        <v>48</v>
      </c>
      <c r="T40" s="20">
        <f>O35/1000</f>
        <v>23.364999999999998</v>
      </c>
      <c r="U40" s="14">
        <f>P35</f>
        <v>9.1219645506363703E-2</v>
      </c>
    </row>
    <row r="41" spans="1:48" ht="16" x14ac:dyDescent="0.2">
      <c r="A41" s="21" t="s">
        <v>49</v>
      </c>
      <c r="B41" s="22">
        <f>B38+B37+B36</f>
        <v>20479</v>
      </c>
      <c r="C41" s="22">
        <f t="shared" ref="C41:O41" si="0">C38+C37+C36</f>
        <v>499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32400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39251</v>
      </c>
      <c r="O41" s="22">
        <f t="shared" si="0"/>
        <v>92629</v>
      </c>
      <c r="P41" s="17">
        <f>O41/O$39</f>
        <v>0.36163426251268838</v>
      </c>
      <c r="Q41" s="17" t="s">
        <v>50</v>
      </c>
      <c r="R41" s="7"/>
      <c r="S41" s="7" t="s">
        <v>51</v>
      </c>
      <c r="T41" s="20">
        <f>O33/1000</f>
        <v>22.452999999999999</v>
      </c>
      <c r="U41" s="13">
        <f>P33</f>
        <v>8.7659092683688614E-2</v>
      </c>
    </row>
    <row r="42" spans="1:48" ht="16" x14ac:dyDescent="0.2">
      <c r="A42" s="23" t="s">
        <v>52</v>
      </c>
      <c r="B42" s="22"/>
      <c r="C42" s="24">
        <f>C39+C23+C10</f>
        <v>80044</v>
      </c>
      <c r="D42" s="24">
        <f t="shared" ref="D42:M42" si="1">D39+D23+D10</f>
        <v>0</v>
      </c>
      <c r="E42" s="24">
        <f t="shared" si="1"/>
        <v>0</v>
      </c>
      <c r="F42" s="24">
        <f t="shared" si="1"/>
        <v>5229</v>
      </c>
      <c r="G42" s="24">
        <f t="shared" si="1"/>
        <v>102118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87569.919999999998</v>
      </c>
      <c r="O42" s="25">
        <f>SUM(C42:N42)</f>
        <v>274960.92</v>
      </c>
      <c r="P42" s="7"/>
      <c r="Q42" s="7"/>
      <c r="R42" s="7"/>
      <c r="S42" s="7" t="s">
        <v>33</v>
      </c>
      <c r="T42" s="20">
        <f>O31/1000</f>
        <v>21.497</v>
      </c>
      <c r="U42" s="13">
        <f>P31</f>
        <v>8.3926758803779186E-2</v>
      </c>
    </row>
    <row r="43" spans="1:48" ht="16" x14ac:dyDescent="0.2">
      <c r="A43" s="23" t="s">
        <v>53</v>
      </c>
      <c r="B43" s="22"/>
      <c r="C43" s="17">
        <f t="shared" ref="C43:N43" si="2">C42/$O42</f>
        <v>0.29111046035196569</v>
      </c>
      <c r="D43" s="17">
        <f t="shared" si="2"/>
        <v>0</v>
      </c>
      <c r="E43" s="17">
        <f t="shared" si="2"/>
        <v>0</v>
      </c>
      <c r="F43" s="17">
        <f t="shared" si="2"/>
        <v>1.9017247978367253E-2</v>
      </c>
      <c r="G43" s="17">
        <f t="shared" si="2"/>
        <v>0.37139095984985798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0.31848133181980914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29.445</v>
      </c>
      <c r="U43" s="14">
        <f>P32</f>
        <v>0.11495666432419771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66.751000000000005</v>
      </c>
      <c r="U44" s="14">
        <f>P34</f>
        <v>0.26060357616928242</v>
      </c>
    </row>
    <row r="45" spans="1:48" ht="16" x14ac:dyDescent="0.2">
      <c r="A45" s="6" t="s">
        <v>56</v>
      </c>
      <c r="B45" s="6">
        <f>B23-B39</f>
        <v>8919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7029.92</v>
      </c>
      <c r="O45" s="25">
        <f>B45+N45</f>
        <v>15948.92</v>
      </c>
      <c r="P45" s="7"/>
      <c r="Q45" s="7"/>
      <c r="R45" s="7"/>
      <c r="S45" s="7" t="s">
        <v>57</v>
      </c>
      <c r="T45" s="20">
        <f>SUM(T39:T44)</f>
        <v>256.14</v>
      </c>
      <c r="U45" s="13">
        <f>SUM(U39:U44)</f>
        <v>1</v>
      </c>
    </row>
    <row r="46" spans="1:48" ht="16" x14ac:dyDescent="0.2">
      <c r="A46" s="6"/>
      <c r="B46" s="53">
        <f>B45/B23</f>
        <v>0.14887082505716814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1"/>
      <c r="E47" s="40"/>
      <c r="F47" s="40"/>
      <c r="G47" s="41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1"/>
      <c r="E48" s="40"/>
      <c r="F48" s="41"/>
      <c r="G48" s="41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7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0"/>
      <c r="E55" s="40"/>
      <c r="F55" s="41"/>
      <c r="G55" s="41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0"/>
      <c r="E56" s="40"/>
      <c r="F56" s="41"/>
      <c r="G56" s="41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4" enableFormatConditionsCalculation="0"/>
  <dimension ref="A1:AV70"/>
  <sheetViews>
    <sheetView topLeftCell="C15" workbookViewId="0">
      <selection activeCell="U35" sqref="U35"/>
    </sheetView>
  </sheetViews>
  <sheetFormatPr baseColWidth="10" defaultColWidth="8.83203125" defaultRowHeight="15" x14ac:dyDescent="0.2"/>
  <cols>
    <col min="1" max="1" width="22.5" style="2" customWidth="1"/>
    <col min="2" max="11" width="10" style="2" customWidth="1"/>
    <col min="12" max="13" width="5.33203125" style="2" customWidth="1"/>
    <col min="14" max="14" width="8.83203125" style="2"/>
    <col min="15" max="15" width="10.6640625" style="2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72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5.75" x14ac:dyDescent="0.25">
      <c r="A4" s="4" t="s">
        <v>78</v>
      </c>
      <c r="B4" s="64">
        <v>167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">
        <v>9742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5.75" x14ac:dyDescent="0.25">
      <c r="A8" s="4" t="s">
        <v>13</v>
      </c>
      <c r="B8" s="55">
        <v>14291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5.75" x14ac:dyDescent="0.25">
      <c r="A9" s="4" t="s">
        <v>14</v>
      </c>
      <c r="B9" s="63">
        <v>50421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15</v>
      </c>
      <c r="B10" s="63">
        <f>SUM(B4:B9)</f>
        <v>74621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27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6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6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6" x14ac:dyDescent="0.2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6" x14ac:dyDescent="0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8">
        <v>73251</v>
      </c>
      <c r="C17" s="8">
        <v>2129</v>
      </c>
      <c r="D17" s="8">
        <v>0</v>
      </c>
      <c r="E17" s="8">
        <v>0</v>
      </c>
      <c r="F17" s="8">
        <v>0</v>
      </c>
      <c r="G17" s="58">
        <f>79385+11461</f>
        <v>90846</v>
      </c>
      <c r="H17" s="8">
        <v>0</v>
      </c>
      <c r="I17" s="8"/>
      <c r="J17" s="8"/>
      <c r="K17" s="8"/>
      <c r="L17" s="8"/>
      <c r="M17" s="8"/>
      <c r="N17" s="8"/>
      <c r="O17" s="58">
        <f>81514+11461</f>
        <v>92975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8">
        <v>6697</v>
      </c>
      <c r="C18" s="8">
        <v>468</v>
      </c>
      <c r="D18" s="8">
        <v>0</v>
      </c>
      <c r="E18" s="8">
        <v>0</v>
      </c>
      <c r="F18" s="8">
        <v>0</v>
      </c>
      <c r="G18" s="8">
        <v>6485</v>
      </c>
      <c r="H18" s="8">
        <v>0</v>
      </c>
      <c r="I18" s="8"/>
      <c r="J18" s="8"/>
      <c r="K18" s="8"/>
      <c r="L18" s="8"/>
      <c r="M18" s="8"/>
      <c r="N18" s="8"/>
      <c r="O18" s="8">
        <v>6952</v>
      </c>
      <c r="P18" s="3"/>
      <c r="Q18" s="3"/>
      <c r="R18" s="3"/>
      <c r="S18" s="3"/>
      <c r="T18" s="3"/>
      <c r="U18" s="3"/>
    </row>
    <row r="19" spans="1:21" ht="16" x14ac:dyDescent="0.2">
      <c r="A19" s="4" t="s">
        <v>21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/>
      <c r="T19" s="3"/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 t="s">
        <v>25</v>
      </c>
      <c r="T21" s="11">
        <f>O42/1000</f>
        <v>840.19060000000002</v>
      </c>
      <c r="U21" s="3"/>
    </row>
    <row r="22" spans="1:21" ht="16" x14ac:dyDescent="0.2">
      <c r="A22" s="4" t="s">
        <v>24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3"/>
      <c r="T22" s="3"/>
      <c r="U22" s="3"/>
    </row>
    <row r="23" spans="1:21" ht="16" x14ac:dyDescent="0.2">
      <c r="A23" s="4" t="s">
        <v>15</v>
      </c>
      <c r="B23" s="8">
        <v>79948</v>
      </c>
      <c r="C23" s="8">
        <v>2597</v>
      </c>
      <c r="D23" s="8">
        <v>0</v>
      </c>
      <c r="E23" s="8">
        <v>0</v>
      </c>
      <c r="F23" s="8">
        <v>0</v>
      </c>
      <c r="G23" s="58">
        <v>97331</v>
      </c>
      <c r="H23" s="8">
        <v>0</v>
      </c>
      <c r="I23" s="8"/>
      <c r="J23" s="8"/>
      <c r="K23" s="8"/>
      <c r="L23" s="8"/>
      <c r="M23" s="8"/>
      <c r="N23" s="8"/>
      <c r="O23" s="58">
        <v>99927</v>
      </c>
      <c r="P23" s="3"/>
      <c r="Q23" s="3"/>
      <c r="R23" s="3"/>
      <c r="S23" s="3"/>
      <c r="T23" s="3" t="s">
        <v>26</v>
      </c>
      <c r="U23" s="3" t="s">
        <v>27</v>
      </c>
    </row>
    <row r="24" spans="1:21" ht="16" x14ac:dyDescent="0.2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3"/>
      <c r="Q24" s="3"/>
      <c r="R24" s="3"/>
      <c r="S24" s="3" t="s">
        <v>9</v>
      </c>
      <c r="T24" s="12">
        <f>N42/1000</f>
        <v>428.27359999999999</v>
      </c>
      <c r="U24" s="13">
        <f>N43</f>
        <v>0.50973386276875743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58</v>
      </c>
      <c r="T25" s="12">
        <f>G42/1000</f>
        <v>145.34399999999999</v>
      </c>
      <c r="U25" s="14">
        <f>G43</f>
        <v>0.1729893193282572</v>
      </c>
    </row>
    <row r="26" spans="1:21" ht="16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6</v>
      </c>
      <c r="T26" s="12">
        <f>J42/1000</f>
        <v>0</v>
      </c>
      <c r="U26" s="13">
        <f>J43</f>
        <v>0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30</v>
      </c>
      <c r="T27" s="12">
        <f>F42/1000</f>
        <v>19.504999999999999</v>
      </c>
      <c r="U27" s="13">
        <f>F43</f>
        <v>2.321497050788238E-2</v>
      </c>
    </row>
    <row r="28" spans="1:21" ht="16" x14ac:dyDescent="0.2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3</v>
      </c>
      <c r="T28" s="11">
        <f>E42/1000</f>
        <v>3.4580000000000002</v>
      </c>
      <c r="U28" s="13">
        <f>E43</f>
        <v>4.1157327872985011E-3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2" t="s">
        <v>2</v>
      </c>
      <c r="T29" s="2">
        <f>D42/1000</f>
        <v>0</v>
      </c>
      <c r="U29" s="46">
        <f>D43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7</v>
      </c>
      <c r="T30" s="2">
        <f>K42/1000</f>
        <v>0</v>
      </c>
      <c r="U30" s="46">
        <f>K43</f>
        <v>0</v>
      </c>
    </row>
    <row r="31" spans="1:21" ht="16" x14ac:dyDescent="0.2">
      <c r="A31" s="4" t="s">
        <v>32</v>
      </c>
      <c r="B31" s="8">
        <v>0</v>
      </c>
      <c r="C31" s="8">
        <v>10174</v>
      </c>
      <c r="D31" s="8">
        <v>0</v>
      </c>
      <c r="E31" s="8">
        <v>0</v>
      </c>
      <c r="F31" s="8">
        <v>986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30153</v>
      </c>
      <c r="O31" s="8">
        <v>41312</v>
      </c>
      <c r="P31" s="17">
        <f>O31/O$39</f>
        <v>5.3284836290234165E-2</v>
      </c>
      <c r="Q31" s="18" t="s">
        <v>33</v>
      </c>
      <c r="R31" s="3"/>
      <c r="S31" s="3" t="s">
        <v>4</v>
      </c>
      <c r="T31" s="12">
        <f>I42/1000</f>
        <v>0</v>
      </c>
      <c r="U31" s="13">
        <f>I43</f>
        <v>0</v>
      </c>
    </row>
    <row r="32" spans="1:21" ht="16" x14ac:dyDescent="0.2">
      <c r="A32" s="4" t="s">
        <v>35</v>
      </c>
      <c r="B32" s="8">
        <v>4562</v>
      </c>
      <c r="C32" s="8">
        <v>5578</v>
      </c>
      <c r="D32" s="8">
        <v>0</v>
      </c>
      <c r="E32" s="67">
        <v>3458</v>
      </c>
      <c r="F32" s="8">
        <v>0</v>
      </c>
      <c r="G32" s="55">
        <f>O32-SUM(N32,B32:E32)</f>
        <v>4213</v>
      </c>
      <c r="H32" s="8">
        <v>0</v>
      </c>
      <c r="I32" s="8"/>
      <c r="J32" s="8"/>
      <c r="K32" s="8"/>
      <c r="L32" s="8"/>
      <c r="M32" s="27"/>
      <c r="N32" s="8">
        <v>267596</v>
      </c>
      <c r="O32" s="8">
        <v>285407</v>
      </c>
      <c r="P32" s="17">
        <f>O32/O$39</f>
        <v>0.3681222228671297</v>
      </c>
      <c r="Q32" s="18" t="s">
        <v>36</v>
      </c>
      <c r="R32" s="3"/>
      <c r="S32" s="3" t="s">
        <v>5</v>
      </c>
      <c r="T32" s="12">
        <f>H42/1000</f>
        <v>0</v>
      </c>
      <c r="U32" s="13">
        <f>H43</f>
        <v>0</v>
      </c>
    </row>
    <row r="33" spans="1:48" ht="16" x14ac:dyDescent="0.2">
      <c r="A33" s="4" t="s">
        <v>37</v>
      </c>
      <c r="B33" s="8">
        <v>11406</v>
      </c>
      <c r="C33" s="8">
        <v>29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17829</v>
      </c>
      <c r="O33" s="8">
        <v>29264</v>
      </c>
      <c r="P33" s="17">
        <f>O33/O$39</f>
        <v>3.7745145458883925E-2</v>
      </c>
      <c r="Q33" s="18" t="s">
        <v>38</v>
      </c>
      <c r="R33" s="3"/>
      <c r="S33" s="3" t="s">
        <v>34</v>
      </c>
      <c r="T33" s="12">
        <f>C42/1000</f>
        <v>243.61</v>
      </c>
      <c r="U33" s="14">
        <f>C43</f>
        <v>0.28994611460780445</v>
      </c>
    </row>
    <row r="34" spans="1:48" ht="16" x14ac:dyDescent="0.2">
      <c r="A34" s="4" t="s">
        <v>39</v>
      </c>
      <c r="B34" s="8">
        <v>0</v>
      </c>
      <c r="C34" s="8">
        <v>219585</v>
      </c>
      <c r="D34" s="8">
        <v>0</v>
      </c>
      <c r="E34" s="8">
        <v>0</v>
      </c>
      <c r="F34" s="8">
        <v>18520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453</v>
      </c>
      <c r="O34" s="8">
        <v>238558</v>
      </c>
      <c r="P34" s="17">
        <f>O34/O$39</f>
        <v>0.30769568105455275</v>
      </c>
      <c r="Q34" s="18" t="s">
        <v>40</v>
      </c>
      <c r="R34" s="3"/>
      <c r="S34" s="3"/>
      <c r="T34" s="12">
        <f>SUM(T24:T33)</f>
        <v>840.19060000000002</v>
      </c>
      <c r="U34" s="13">
        <f>SUM(U24:U33)</f>
        <v>1</v>
      </c>
    </row>
    <row r="35" spans="1:48" ht="16" x14ac:dyDescent="0.2">
      <c r="A35" s="4" t="s">
        <v>41</v>
      </c>
      <c r="B35" s="8">
        <v>6544</v>
      </c>
      <c r="C35" s="8">
        <v>4714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23931</v>
      </c>
      <c r="O35" s="8">
        <v>35189</v>
      </c>
      <c r="P35" s="17">
        <f>O35/O$39</f>
        <v>4.5387299191930915E-2</v>
      </c>
      <c r="Q35" s="18" t="s">
        <v>42</v>
      </c>
      <c r="R35" s="18"/>
    </row>
    <row r="36" spans="1:48" ht="16" x14ac:dyDescent="0.2">
      <c r="A36" s="4" t="s">
        <v>43</v>
      </c>
      <c r="B36" s="8">
        <v>10016</v>
      </c>
      <c r="C36" s="8">
        <v>932</v>
      </c>
      <c r="D36" s="8">
        <v>0</v>
      </c>
      <c r="E36" s="8">
        <v>0</v>
      </c>
      <c r="F36" s="8">
        <v>0</v>
      </c>
      <c r="G36" s="55">
        <v>43800</v>
      </c>
      <c r="H36" s="8">
        <v>0</v>
      </c>
      <c r="I36" s="8"/>
      <c r="J36" s="8"/>
      <c r="K36" s="8"/>
      <c r="L36" s="8"/>
      <c r="M36" s="27"/>
      <c r="N36" s="8">
        <v>49838</v>
      </c>
      <c r="O36" s="55">
        <f>SUM(B36:N36)</f>
        <v>104586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55">
        <f>O37-N37</f>
        <v>25220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9145</v>
      </c>
      <c r="O37" s="55">
        <f>O39-SUM(O31:O36,O38)</f>
        <v>34365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6624</v>
      </c>
      <c r="O38" s="8">
        <v>6624</v>
      </c>
      <c r="P38" s="18">
        <f>SUM(P31:P35)</f>
        <v>0.8122351848627315</v>
      </c>
      <c r="Q38" s="18"/>
      <c r="R38" s="3"/>
      <c r="S38" s="7" t="s">
        <v>46</v>
      </c>
      <c r="T38" s="19">
        <f>O45/1000</f>
        <v>54.645600000000009</v>
      </c>
      <c r="U38" s="7"/>
    </row>
    <row r="39" spans="1:48" ht="16" x14ac:dyDescent="0.2">
      <c r="A39" s="4" t="s">
        <v>15</v>
      </c>
      <c r="B39" s="55">
        <f>SUM(B31:B38)</f>
        <v>57748</v>
      </c>
      <c r="C39" s="8">
        <v>241013</v>
      </c>
      <c r="D39" s="8">
        <v>0</v>
      </c>
      <c r="E39" s="67">
        <f>E32</f>
        <v>3458</v>
      </c>
      <c r="F39" s="8">
        <v>19505</v>
      </c>
      <c r="G39" s="55">
        <f>SUM(G32:G36)</f>
        <v>48013</v>
      </c>
      <c r="H39" s="8">
        <v>0</v>
      </c>
      <c r="I39" s="8"/>
      <c r="J39" s="8"/>
      <c r="K39" s="8"/>
      <c r="L39" s="8"/>
      <c r="M39" s="27"/>
      <c r="N39" s="8">
        <v>405570</v>
      </c>
      <c r="O39" s="8">
        <v>775305</v>
      </c>
      <c r="P39" s="3"/>
      <c r="Q39" s="3"/>
      <c r="R39" s="3"/>
      <c r="S39" s="7" t="s">
        <v>47</v>
      </c>
      <c r="T39" s="20">
        <f>O41/1000</f>
        <v>145.57499999999999</v>
      </c>
      <c r="U39" s="13">
        <f>P41</f>
        <v>0.18776481513726856</v>
      </c>
    </row>
    <row r="40" spans="1:48" x14ac:dyDescent="0.2"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S40" s="7" t="s">
        <v>48</v>
      </c>
      <c r="T40" s="20">
        <f>O35/1000</f>
        <v>35.189</v>
      </c>
      <c r="U40" s="14">
        <f>P35</f>
        <v>4.5387299191930915E-2</v>
      </c>
    </row>
    <row r="41" spans="1:48" ht="16" x14ac:dyDescent="0.2">
      <c r="A41" s="21" t="s">
        <v>49</v>
      </c>
      <c r="B41" s="22">
        <f>B38+B37+B36</f>
        <v>35236</v>
      </c>
      <c r="C41" s="22">
        <f t="shared" ref="C41:O41" si="0">C38+C37+C36</f>
        <v>932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43800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65607</v>
      </c>
      <c r="O41" s="22">
        <f t="shared" si="0"/>
        <v>145575</v>
      </c>
      <c r="P41" s="17">
        <f>O41/O$39</f>
        <v>0.18776481513726856</v>
      </c>
      <c r="Q41" s="17" t="s">
        <v>50</v>
      </c>
      <c r="R41" s="7"/>
      <c r="S41" s="7" t="s">
        <v>51</v>
      </c>
      <c r="T41" s="20">
        <f>O33/1000</f>
        <v>29.263999999999999</v>
      </c>
      <c r="U41" s="13">
        <f>P33</f>
        <v>3.7745145458883925E-2</v>
      </c>
    </row>
    <row r="42" spans="1:48" ht="16" x14ac:dyDescent="0.2">
      <c r="A42" s="23" t="s">
        <v>52</v>
      </c>
      <c r="B42" s="22"/>
      <c r="C42" s="24">
        <f>C39+C23+C10</f>
        <v>243610</v>
      </c>
      <c r="D42" s="24">
        <f t="shared" ref="D42:M42" si="1">D39+D23+D10</f>
        <v>0</v>
      </c>
      <c r="E42" s="24">
        <f t="shared" si="1"/>
        <v>3458</v>
      </c>
      <c r="F42" s="24">
        <f t="shared" si="1"/>
        <v>19505</v>
      </c>
      <c r="G42" s="24">
        <f t="shared" si="1"/>
        <v>145344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428273.6</v>
      </c>
      <c r="O42" s="25">
        <f>SUM(C42:N42)</f>
        <v>840190.6</v>
      </c>
      <c r="P42" s="7"/>
      <c r="Q42" s="7"/>
      <c r="R42" s="7"/>
      <c r="S42" s="7" t="s">
        <v>33</v>
      </c>
      <c r="T42" s="20">
        <f>O31/1000</f>
        <v>41.311999999999998</v>
      </c>
      <c r="U42" s="13">
        <f>P31</f>
        <v>5.3284836290234165E-2</v>
      </c>
    </row>
    <row r="43" spans="1:48" ht="16" x14ac:dyDescent="0.2">
      <c r="A43" s="23" t="s">
        <v>53</v>
      </c>
      <c r="B43" s="22"/>
      <c r="C43" s="17">
        <f t="shared" ref="C43:N43" si="2">C42/$O42</f>
        <v>0.28994611460780445</v>
      </c>
      <c r="D43" s="17">
        <f t="shared" si="2"/>
        <v>0</v>
      </c>
      <c r="E43" s="17">
        <f t="shared" si="2"/>
        <v>4.1157327872985011E-3</v>
      </c>
      <c r="F43" s="17">
        <f t="shared" si="2"/>
        <v>2.321497050788238E-2</v>
      </c>
      <c r="G43" s="17">
        <f t="shared" si="2"/>
        <v>0.1729893193282572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0.50973386276875743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285.40699999999998</v>
      </c>
      <c r="U43" s="14">
        <f>P32</f>
        <v>0.3681222228671297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238.55799999999999</v>
      </c>
      <c r="U44" s="14">
        <f>P34</f>
        <v>0.30769568105455275</v>
      </c>
    </row>
    <row r="45" spans="1:48" ht="16" x14ac:dyDescent="0.2">
      <c r="A45" s="6" t="s">
        <v>56</v>
      </c>
      <c r="B45" s="6">
        <f>B23-B39</f>
        <v>22200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32445.600000000002</v>
      </c>
      <c r="O45" s="25">
        <f>B45+N45</f>
        <v>54645.600000000006</v>
      </c>
      <c r="P45" s="7"/>
      <c r="Q45" s="7"/>
      <c r="R45" s="7"/>
      <c r="S45" s="7" t="s">
        <v>57</v>
      </c>
      <c r="T45" s="20">
        <f>SUM(T39:T44)</f>
        <v>775.30499999999995</v>
      </c>
      <c r="U45" s="13">
        <f>SUM(U39:U44)</f>
        <v>1</v>
      </c>
    </row>
    <row r="46" spans="1:48" ht="16" x14ac:dyDescent="0.2">
      <c r="A46" s="6"/>
      <c r="B46" s="53">
        <f>B45/B23</f>
        <v>0.27768049232000802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1"/>
      <c r="E47" s="40"/>
      <c r="F47" s="40"/>
      <c r="G47" s="41"/>
      <c r="H47" s="40"/>
      <c r="I47" s="40"/>
      <c r="J47" s="40"/>
      <c r="K47" s="40"/>
      <c r="L47" s="40"/>
      <c r="M47" s="40"/>
      <c r="N47" s="40"/>
      <c r="O47" s="40"/>
      <c r="P47" s="41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1"/>
      <c r="E48" s="40"/>
      <c r="F48" s="40"/>
      <c r="H48" s="40"/>
      <c r="I48" s="40"/>
      <c r="J48" s="40"/>
      <c r="K48" s="40"/>
      <c r="L48" s="40"/>
      <c r="M48" s="40"/>
      <c r="N48" s="40"/>
      <c r="O48" s="40"/>
      <c r="P48" s="41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7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5" enableFormatConditionsCalculation="0"/>
  <dimension ref="A1:AV58"/>
  <sheetViews>
    <sheetView topLeftCell="A12" workbookViewId="0">
      <selection activeCell="U33" sqref="U33"/>
    </sheetView>
  </sheetViews>
  <sheetFormatPr baseColWidth="10" defaultColWidth="8.83203125" defaultRowHeight="15" x14ac:dyDescent="0.2"/>
  <cols>
    <col min="1" max="1" width="22.5" style="2" customWidth="1"/>
    <col min="2" max="11" width="10" style="2" customWidth="1"/>
    <col min="12" max="12" width="6.5" style="2" customWidth="1"/>
    <col min="13" max="13" width="5.33203125" style="2" customWidth="1"/>
    <col min="14" max="14" width="11.6640625" style="2" customWidth="1"/>
    <col min="15" max="15" width="10" style="2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73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5.75" x14ac:dyDescent="0.25">
      <c r="A4" s="4" t="s">
        <v>78</v>
      </c>
      <c r="B4" s="74">
        <v>176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6" x14ac:dyDescent="0.2">
      <c r="A8" s="4" t="s">
        <v>13</v>
      </c>
      <c r="B8" s="8">
        <v>489944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6" x14ac:dyDescent="0.2">
      <c r="A9" s="4" t="s">
        <v>14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52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15</v>
      </c>
      <c r="B10" s="58">
        <f>SUM(B4:B9)</f>
        <v>490120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27"/>
      <c r="S10" s="4"/>
      <c r="T10" s="52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6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6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6" x14ac:dyDescent="0.2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 t="s">
        <v>79</v>
      </c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6" x14ac:dyDescent="0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58">
        <f>209802+4529</f>
        <v>214331</v>
      </c>
      <c r="C18" s="8">
        <v>15273</v>
      </c>
      <c r="D18" s="58">
        <v>0</v>
      </c>
      <c r="E18" s="8">
        <v>0</v>
      </c>
      <c r="F18" s="8">
        <v>0</v>
      </c>
      <c r="G18" s="58">
        <f>29943+4529*0.9</f>
        <v>34019.1</v>
      </c>
      <c r="H18" s="8">
        <v>0</v>
      </c>
      <c r="I18" s="8"/>
      <c r="J18" s="8"/>
      <c r="K18" s="58">
        <v>195200</v>
      </c>
      <c r="L18" s="58">
        <v>2139</v>
      </c>
      <c r="N18" s="8"/>
      <c r="O18" s="58">
        <f>SUM(C18:L18)</f>
        <v>246631.1</v>
      </c>
      <c r="P18" s="3"/>
      <c r="Q18" s="3"/>
      <c r="R18" s="3"/>
      <c r="S18" s="3"/>
      <c r="T18" s="3"/>
      <c r="U18" s="3"/>
    </row>
    <row r="19" spans="1:21" ht="16" x14ac:dyDescent="0.2">
      <c r="A19" s="4" t="s">
        <v>21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/>
      <c r="T19" s="3"/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59">
        <v>26269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 t="s">
        <v>25</v>
      </c>
      <c r="T21" s="11">
        <f>O42/1000</f>
        <v>2791.9177800000002</v>
      </c>
      <c r="U21" s="3"/>
    </row>
    <row r="22" spans="1:21" ht="16" x14ac:dyDescent="0.2">
      <c r="A22" s="4" t="s">
        <v>24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3"/>
      <c r="T22" s="3"/>
      <c r="U22" s="3"/>
    </row>
    <row r="23" spans="1:21" ht="16" x14ac:dyDescent="0.2">
      <c r="A23" s="4" t="s">
        <v>15</v>
      </c>
      <c r="B23" s="59">
        <v>240600</v>
      </c>
      <c r="C23" s="8">
        <v>15273</v>
      </c>
      <c r="D23" s="58">
        <f>D18</f>
        <v>0</v>
      </c>
      <c r="E23" s="8">
        <f t="shared" ref="E23:G23" si="0">E18</f>
        <v>0</v>
      </c>
      <c r="F23" s="8">
        <f t="shared" si="0"/>
        <v>0</v>
      </c>
      <c r="G23" s="58">
        <f t="shared" si="0"/>
        <v>34019.1</v>
      </c>
      <c r="H23" s="8">
        <v>0</v>
      </c>
      <c r="I23" s="8"/>
      <c r="J23" s="8"/>
      <c r="K23" s="58">
        <f>K18</f>
        <v>195200</v>
      </c>
      <c r="L23" s="58">
        <f>L18</f>
        <v>2139</v>
      </c>
      <c r="N23" s="8"/>
      <c r="O23" s="58">
        <f>O18</f>
        <v>246631.1</v>
      </c>
      <c r="P23" s="3"/>
      <c r="Q23" s="3"/>
      <c r="R23" s="3"/>
      <c r="S23" s="3"/>
      <c r="T23" s="3" t="s">
        <v>26</v>
      </c>
      <c r="U23" s="3" t="s">
        <v>27</v>
      </c>
    </row>
    <row r="24" spans="1:21" ht="16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9</v>
      </c>
      <c r="T24" s="12">
        <f>N42/1000</f>
        <v>1299.80268</v>
      </c>
      <c r="U24" s="13">
        <f>N43</f>
        <v>0.46555908247412636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58</v>
      </c>
      <c r="T25" s="12">
        <f>G42/1000</f>
        <v>657.01909999999998</v>
      </c>
      <c r="U25" s="14">
        <f>G43</f>
        <v>0.2353289572875602</v>
      </c>
    </row>
    <row r="26" spans="1:21" ht="16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6</v>
      </c>
      <c r="T26" s="12">
        <f>J42/1000</f>
        <v>0</v>
      </c>
      <c r="U26" s="13">
        <f>J43</f>
        <v>0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30</v>
      </c>
      <c r="T27" s="12">
        <f>F42/1000</f>
        <v>17.545000000000002</v>
      </c>
      <c r="U27" s="13">
        <f>F43</f>
        <v>6.284210848071607E-3</v>
      </c>
    </row>
    <row r="28" spans="1:21" ht="16" x14ac:dyDescent="0.2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3</v>
      </c>
      <c r="T28" s="11">
        <f>E42/1000</f>
        <v>282.822</v>
      </c>
      <c r="U28" s="13">
        <f>E43</f>
        <v>0.101300261070009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2" t="s">
        <v>2</v>
      </c>
      <c r="T29" s="2">
        <f>D42/1000</f>
        <v>0</v>
      </c>
      <c r="U29" s="46">
        <f>D43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7</v>
      </c>
      <c r="T30" s="2">
        <f>K42/1000</f>
        <v>195.2</v>
      </c>
      <c r="U30" s="46">
        <f>K43</f>
        <v>6.9916099033546744E-2</v>
      </c>
    </row>
    <row r="31" spans="1:21" ht="16" x14ac:dyDescent="0.2">
      <c r="A31" s="4" t="s">
        <v>32</v>
      </c>
      <c r="B31" s="8">
        <v>0</v>
      </c>
      <c r="C31" s="8">
        <v>8571</v>
      </c>
      <c r="D31" s="8">
        <v>0</v>
      </c>
      <c r="E31" s="8">
        <v>0</v>
      </c>
      <c r="F31" s="8">
        <v>869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6169</v>
      </c>
      <c r="O31" s="8">
        <v>15609</v>
      </c>
      <c r="P31" s="17">
        <f>O31/O$39</f>
        <v>5.8709165648311449E-3</v>
      </c>
      <c r="Q31" s="18" t="s">
        <v>33</v>
      </c>
      <c r="R31" s="3"/>
      <c r="S31" s="3" t="s">
        <v>4</v>
      </c>
      <c r="T31" s="12">
        <f>I42/1000</f>
        <v>0</v>
      </c>
      <c r="U31" s="13">
        <f>I43</f>
        <v>0</v>
      </c>
    </row>
    <row r="32" spans="1:21" ht="16" x14ac:dyDescent="0.2">
      <c r="A32" s="4" t="s">
        <v>35</v>
      </c>
      <c r="B32" s="64">
        <v>88007</v>
      </c>
      <c r="C32" s="67">
        <v>103900</v>
      </c>
      <c r="D32" s="8">
        <v>0</v>
      </c>
      <c r="E32" s="67">
        <v>282822</v>
      </c>
      <c r="F32" s="8">
        <v>0</v>
      </c>
      <c r="G32" s="67">
        <v>566900</v>
      </c>
      <c r="H32" s="8">
        <v>0</v>
      </c>
      <c r="I32" s="8"/>
      <c r="J32" s="8"/>
      <c r="K32" s="8"/>
      <c r="L32" s="8"/>
      <c r="M32" s="27"/>
      <c r="N32" s="55">
        <v>1028526</v>
      </c>
      <c r="O32" s="70">
        <v>2070155</v>
      </c>
      <c r="P32" s="17">
        <f>O32/O$39</f>
        <v>0.7786345878190799</v>
      </c>
      <c r="Q32" s="18" t="s">
        <v>36</v>
      </c>
      <c r="R32" s="3"/>
      <c r="S32" s="3" t="s">
        <v>79</v>
      </c>
      <c r="T32" s="12">
        <f>L42/1000</f>
        <v>2.1389999999999998</v>
      </c>
      <c r="U32" s="13">
        <f>L43</f>
        <v>7.6614004012682635E-4</v>
      </c>
    </row>
    <row r="33" spans="1:48" ht="16" x14ac:dyDescent="0.2">
      <c r="A33" s="4" t="s">
        <v>37</v>
      </c>
      <c r="B33" s="64">
        <v>19420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16216</v>
      </c>
      <c r="O33" s="55">
        <f>SUM(B33:N33)</f>
        <v>35636</v>
      </c>
      <c r="P33" s="17">
        <f>O33/O$39</f>
        <v>1.3403548126358042E-2</v>
      </c>
      <c r="Q33" s="18" t="s">
        <v>38</v>
      </c>
      <c r="R33" s="3"/>
      <c r="S33" s="3" t="s">
        <v>34</v>
      </c>
      <c r="T33" s="12">
        <f>C42/1000</f>
        <v>337.39</v>
      </c>
      <c r="U33" s="14">
        <f>C43</f>
        <v>0.12084524924655911</v>
      </c>
    </row>
    <row r="34" spans="1:48" ht="16" x14ac:dyDescent="0.2">
      <c r="A34" s="4" t="s">
        <v>39</v>
      </c>
      <c r="B34" s="8">
        <v>0</v>
      </c>
      <c r="C34" s="8">
        <v>208384</v>
      </c>
      <c r="D34" s="8">
        <v>0</v>
      </c>
      <c r="E34" s="8">
        <v>0</v>
      </c>
      <c r="F34" s="8">
        <v>16676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194</v>
      </c>
      <c r="O34" s="8">
        <v>225254</v>
      </c>
      <c r="P34" s="17">
        <f>O34/O$39</f>
        <v>8.4723392907583753E-2</v>
      </c>
      <c r="Q34" s="18" t="s">
        <v>40</v>
      </c>
      <c r="R34" s="3"/>
      <c r="S34" s="3"/>
      <c r="T34" s="12">
        <f>SUM(T24:T33)</f>
        <v>2791.9177799999998</v>
      </c>
      <c r="U34" s="13">
        <f>SUM(U24:U33)</f>
        <v>1</v>
      </c>
    </row>
    <row r="35" spans="1:48" ht="16" x14ac:dyDescent="0.2">
      <c r="A35" s="4" t="s">
        <v>41</v>
      </c>
      <c r="B35" s="64">
        <v>17657</v>
      </c>
      <c r="C35" s="8">
        <v>669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63102</v>
      </c>
      <c r="O35" s="52">
        <f>SUM(B35:N35)</f>
        <v>81428</v>
      </c>
      <c r="P35" s="17">
        <f>O35/O$39</f>
        <v>3.0627009676537285E-2</v>
      </c>
      <c r="Q35" s="18" t="s">
        <v>42</v>
      </c>
      <c r="R35" s="18"/>
    </row>
    <row r="36" spans="1:48" ht="16" x14ac:dyDescent="0.2">
      <c r="A36" s="4" t="s">
        <v>43</v>
      </c>
      <c r="B36" s="64">
        <v>25524</v>
      </c>
      <c r="C36" s="8">
        <v>593</v>
      </c>
      <c r="D36" s="8">
        <v>0</v>
      </c>
      <c r="E36" s="8">
        <v>0</v>
      </c>
      <c r="F36" s="8">
        <v>0</v>
      </c>
      <c r="G36" s="55">
        <v>56100</v>
      </c>
      <c r="H36" s="8">
        <v>0</v>
      </c>
      <c r="I36" s="8"/>
      <c r="J36" s="8"/>
      <c r="K36" s="8"/>
      <c r="L36" s="8"/>
      <c r="M36" s="27"/>
      <c r="N36" s="8">
        <v>71393</v>
      </c>
      <c r="O36" s="58">
        <f>SUM(B36:N36)</f>
        <v>153610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59">
        <v>59086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10316</v>
      </c>
      <c r="O37" s="55">
        <f>75516-6114</f>
        <v>69402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7605</v>
      </c>
      <c r="O38" s="8">
        <v>7605</v>
      </c>
      <c r="P38" s="18">
        <f>SUM(P31:P35)</f>
        <v>0.91325945509439022</v>
      </c>
      <c r="Q38" s="18"/>
      <c r="R38" s="3"/>
      <c r="S38" s="7" t="s">
        <v>46</v>
      </c>
      <c r="T38" s="19">
        <f>O45/1000</f>
        <v>127.18768000000001</v>
      </c>
      <c r="U38" s="7"/>
    </row>
    <row r="39" spans="1:48" ht="16" x14ac:dyDescent="0.2">
      <c r="A39" s="4" t="s">
        <v>15</v>
      </c>
      <c r="B39" s="58">
        <v>209694</v>
      </c>
      <c r="C39" s="67">
        <f>SUM(C31:C38)</f>
        <v>322117</v>
      </c>
      <c r="D39" s="8">
        <v>0</v>
      </c>
      <c r="E39" s="67">
        <f>E32</f>
        <v>282822</v>
      </c>
      <c r="F39" s="8">
        <v>17545</v>
      </c>
      <c r="G39" s="68">
        <f>SUM(G32:G37)</f>
        <v>623000</v>
      </c>
      <c r="H39" s="8">
        <v>0</v>
      </c>
      <c r="I39" s="8"/>
      <c r="J39" s="8"/>
      <c r="K39" s="8"/>
      <c r="L39" s="8"/>
      <c r="M39" s="27"/>
      <c r="N39" s="55">
        <f>SUM(N31:N38)</f>
        <v>1203521</v>
      </c>
      <c r="O39" s="61">
        <f>SUM(O31:O38)</f>
        <v>2658699</v>
      </c>
      <c r="P39" s="3"/>
      <c r="Q39" s="3"/>
      <c r="R39" s="3"/>
      <c r="S39" s="7" t="s">
        <v>47</v>
      </c>
      <c r="T39" s="20">
        <f>O41/1000</f>
        <v>230.61699999999999</v>
      </c>
      <c r="U39" s="13">
        <f>P41</f>
        <v>8.6740544905609854E-2</v>
      </c>
    </row>
    <row r="40" spans="1:48" x14ac:dyDescent="0.2"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S40" s="7" t="s">
        <v>48</v>
      </c>
      <c r="T40" s="20">
        <f>O35/1000</f>
        <v>81.427999999999997</v>
      </c>
      <c r="U40" s="14">
        <f>P35</f>
        <v>3.0627009676537285E-2</v>
      </c>
    </row>
    <row r="41" spans="1:48" ht="16" x14ac:dyDescent="0.2">
      <c r="A41" s="21" t="s">
        <v>49</v>
      </c>
      <c r="B41" s="22">
        <f>B38+B37+B36</f>
        <v>84610</v>
      </c>
      <c r="C41" s="22">
        <f t="shared" ref="C41:O41" si="1">C38+C37+C36</f>
        <v>593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56100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0</v>
      </c>
      <c r="N41" s="22">
        <f t="shared" si="1"/>
        <v>89314</v>
      </c>
      <c r="O41" s="22">
        <f t="shared" si="1"/>
        <v>230617</v>
      </c>
      <c r="P41" s="17">
        <f>O41/O$39</f>
        <v>8.6740544905609854E-2</v>
      </c>
      <c r="Q41" s="17" t="s">
        <v>50</v>
      </c>
      <c r="R41" s="7"/>
      <c r="S41" s="7" t="s">
        <v>51</v>
      </c>
      <c r="T41" s="20">
        <f>O33/1000</f>
        <v>35.636000000000003</v>
      </c>
      <c r="U41" s="13">
        <f>P33</f>
        <v>1.3403548126358042E-2</v>
      </c>
    </row>
    <row r="42" spans="1:48" ht="16" x14ac:dyDescent="0.2">
      <c r="A42" s="23" t="s">
        <v>52</v>
      </c>
      <c r="B42" s="22"/>
      <c r="C42" s="24">
        <f>C39+C23+C10</f>
        <v>337390</v>
      </c>
      <c r="D42" s="24">
        <f t="shared" ref="D42:K42" si="2">D39+D23+D10</f>
        <v>0</v>
      </c>
      <c r="E42" s="24">
        <f t="shared" si="2"/>
        <v>282822</v>
      </c>
      <c r="F42" s="24">
        <f t="shared" si="2"/>
        <v>17545</v>
      </c>
      <c r="G42" s="24">
        <f t="shared" si="2"/>
        <v>657019.1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195200</v>
      </c>
      <c r="L42" s="24">
        <f>L39+L23+L10</f>
        <v>2139</v>
      </c>
      <c r="M42" s="24">
        <f>M39+M23+M10</f>
        <v>0</v>
      </c>
      <c r="N42" s="24">
        <f>N39+N23-B6+N45</f>
        <v>1299802.68</v>
      </c>
      <c r="O42" s="25">
        <f>SUM(C42:N42)</f>
        <v>2791917.7800000003</v>
      </c>
      <c r="P42" s="7"/>
      <c r="Q42" s="7"/>
      <c r="R42" s="7"/>
      <c r="S42" s="7" t="s">
        <v>33</v>
      </c>
      <c r="T42" s="20">
        <f>O31/1000</f>
        <v>15.609</v>
      </c>
      <c r="U42" s="13">
        <f>P31</f>
        <v>5.8709165648311449E-3</v>
      </c>
    </row>
    <row r="43" spans="1:48" ht="16" x14ac:dyDescent="0.2">
      <c r="A43" s="23" t="s">
        <v>53</v>
      </c>
      <c r="B43" s="22"/>
      <c r="C43" s="17">
        <f t="shared" ref="C43:N43" si="3">C42/$O42</f>
        <v>0.12084524924655911</v>
      </c>
      <c r="D43" s="17">
        <f t="shared" si="3"/>
        <v>0</v>
      </c>
      <c r="E43" s="17">
        <f t="shared" si="3"/>
        <v>0.101300261070009</v>
      </c>
      <c r="F43" s="17">
        <f t="shared" si="3"/>
        <v>6.284210848071607E-3</v>
      </c>
      <c r="G43" s="17">
        <f t="shared" si="3"/>
        <v>0.2353289572875602</v>
      </c>
      <c r="H43" s="17">
        <f t="shared" si="3"/>
        <v>0</v>
      </c>
      <c r="I43" s="17">
        <f t="shared" si="3"/>
        <v>0</v>
      </c>
      <c r="J43" s="17">
        <f t="shared" si="3"/>
        <v>0</v>
      </c>
      <c r="K43" s="17">
        <f t="shared" si="3"/>
        <v>6.9916099033546744E-2</v>
      </c>
      <c r="L43" s="17">
        <f t="shared" si="3"/>
        <v>7.6614004012682635E-4</v>
      </c>
      <c r="M43" s="17">
        <f t="shared" si="3"/>
        <v>0</v>
      </c>
      <c r="N43" s="17">
        <f t="shared" si="3"/>
        <v>0.46555908247412636</v>
      </c>
      <c r="O43" s="17">
        <f>SUM(C43:N43)</f>
        <v>0.99999999999999989</v>
      </c>
      <c r="P43" s="7"/>
      <c r="Q43" s="7"/>
      <c r="R43" s="7"/>
      <c r="S43" s="7" t="s">
        <v>54</v>
      </c>
      <c r="T43" s="20">
        <f>O32/1000</f>
        <v>2070.1550000000002</v>
      </c>
      <c r="U43" s="14">
        <f>P32</f>
        <v>0.7786345878190799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225.25399999999999</v>
      </c>
      <c r="U44" s="14">
        <f>P34</f>
        <v>8.4723392907583753E-2</v>
      </c>
    </row>
    <row r="45" spans="1:48" ht="16" x14ac:dyDescent="0.2">
      <c r="A45" s="6" t="s">
        <v>56</v>
      </c>
      <c r="B45" s="6">
        <f>B23-B39</f>
        <v>30906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96281.680000000008</v>
      </c>
      <c r="O45" s="25">
        <f>B45+N45</f>
        <v>127187.68000000001</v>
      </c>
      <c r="P45" s="7"/>
      <c r="Q45" s="7"/>
      <c r="R45" s="7"/>
      <c r="S45" s="7" t="s">
        <v>57</v>
      </c>
      <c r="T45" s="20">
        <f>SUM(T39:T44)</f>
        <v>2658.6990000000001</v>
      </c>
      <c r="U45" s="13">
        <f>SUM(U39:U44)</f>
        <v>1</v>
      </c>
    </row>
    <row r="46" spans="1:48" ht="16" x14ac:dyDescent="0.2">
      <c r="A46" s="6"/>
      <c r="B46" s="53">
        <f>B45/B23</f>
        <v>0.12845386533665834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0"/>
      <c r="E48" s="40"/>
      <c r="F48" s="40"/>
      <c r="G48" s="40"/>
      <c r="H48" s="40"/>
      <c r="I48" s="40"/>
      <c r="J48" s="66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21" ht="16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6"/>
      <c r="M49" s="6"/>
      <c r="N49" s="29"/>
      <c r="O49" s="7"/>
      <c r="P49" s="6"/>
      <c r="Q49" s="13"/>
      <c r="R49" s="7"/>
      <c r="S49" s="7"/>
      <c r="T49" s="31"/>
      <c r="U49" s="32"/>
    </row>
    <row r="50" spans="1:2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6"/>
    </row>
    <row r="51" spans="1:21" x14ac:dyDescent="0.2">
      <c r="A51" s="7"/>
      <c r="B51" s="34"/>
      <c r="C51" s="33"/>
      <c r="D51" s="33"/>
      <c r="E51" s="33"/>
      <c r="F51" s="33"/>
      <c r="G51" s="33"/>
      <c r="H51" s="33"/>
      <c r="I51" s="33"/>
      <c r="J51" s="7"/>
      <c r="K51" s="7"/>
      <c r="L51" s="7"/>
      <c r="M51" s="7"/>
      <c r="N51" s="7"/>
      <c r="O51" s="7"/>
      <c r="P51" s="7"/>
      <c r="Q51" s="7"/>
      <c r="R51" s="7"/>
      <c r="S51" s="7"/>
      <c r="T51" s="33"/>
      <c r="U51" s="34"/>
    </row>
    <row r="52" spans="1:21" ht="16" x14ac:dyDescent="0.2">
      <c r="A52" s="7"/>
      <c r="B52" s="6"/>
      <c r="C52" s="6"/>
      <c r="D52" s="6"/>
      <c r="E52" s="6"/>
      <c r="F52" s="6"/>
      <c r="G52" s="6"/>
      <c r="H52" s="6"/>
      <c r="I52" s="6"/>
      <c r="J52" s="7"/>
      <c r="K52" s="7"/>
      <c r="L52" s="7"/>
      <c r="M52" s="7"/>
      <c r="N52" s="7"/>
      <c r="O52" s="7"/>
      <c r="P52" s="6"/>
      <c r="Q52" s="29"/>
      <c r="R52" s="7"/>
      <c r="S52" s="7"/>
      <c r="T52" s="6"/>
      <c r="U52" s="30"/>
    </row>
    <row r="53" spans="1:21" ht="16" x14ac:dyDescent="0.2">
      <c r="A53" s="7"/>
      <c r="B53" s="6"/>
      <c r="C53" s="6"/>
      <c r="D53" s="6"/>
      <c r="E53" s="6"/>
      <c r="F53" s="6"/>
      <c r="G53" s="6"/>
      <c r="H53" s="6"/>
      <c r="I53" s="6"/>
      <c r="J53" s="7"/>
      <c r="K53" s="7"/>
      <c r="L53" s="7"/>
      <c r="M53" s="7"/>
      <c r="N53" s="7"/>
      <c r="O53" s="7"/>
      <c r="P53" s="6"/>
      <c r="Q53" s="29"/>
      <c r="R53" s="7"/>
      <c r="S53" s="7"/>
      <c r="T53" s="6"/>
      <c r="U53" s="30"/>
    </row>
    <row r="54" spans="1:21" ht="16" x14ac:dyDescent="0.2">
      <c r="A54" s="7"/>
      <c r="B54" s="6"/>
      <c r="C54" s="6"/>
      <c r="D54" s="6"/>
      <c r="E54" s="6"/>
      <c r="F54" s="6"/>
      <c r="G54" s="6"/>
      <c r="H54" s="6"/>
      <c r="I54" s="6"/>
      <c r="J54" s="7"/>
      <c r="K54" s="7"/>
      <c r="L54" s="7"/>
      <c r="M54" s="7"/>
      <c r="N54" s="7"/>
      <c r="O54" s="7"/>
      <c r="P54" s="6"/>
      <c r="Q54" s="29"/>
      <c r="R54" s="7"/>
      <c r="S54" s="7"/>
      <c r="T54" s="6"/>
      <c r="U54" s="30"/>
    </row>
    <row r="55" spans="1:21" ht="16" x14ac:dyDescent="0.2">
      <c r="A55" s="7"/>
      <c r="B55" s="6"/>
      <c r="C55" s="6"/>
      <c r="D55" s="6"/>
      <c r="E55" s="6"/>
      <c r="F55" s="6"/>
      <c r="G55" s="6"/>
      <c r="H55" s="6"/>
      <c r="I55" s="6"/>
      <c r="J55" s="7"/>
      <c r="K55" s="7"/>
      <c r="L55" s="7"/>
      <c r="M55" s="7"/>
      <c r="N55" s="7"/>
      <c r="O55" s="7"/>
      <c r="P55" s="6"/>
      <c r="Q55" s="29"/>
      <c r="R55" s="7"/>
      <c r="S55" s="7"/>
      <c r="T55" s="6"/>
      <c r="U55" s="30"/>
    </row>
    <row r="56" spans="1:21" ht="16" x14ac:dyDescent="0.2">
      <c r="A56" s="7"/>
      <c r="B56" s="6"/>
      <c r="C56" s="6"/>
      <c r="D56" s="6"/>
      <c r="E56" s="6"/>
      <c r="F56" s="6"/>
      <c r="G56" s="6"/>
      <c r="H56" s="6"/>
      <c r="I56" s="6"/>
      <c r="J56" s="7"/>
      <c r="K56" s="7"/>
      <c r="L56" s="7"/>
      <c r="M56" s="7"/>
      <c r="N56" s="7"/>
      <c r="O56" s="7"/>
      <c r="P56" s="6"/>
      <c r="Q56" s="29"/>
      <c r="R56" s="7"/>
      <c r="S56" s="7"/>
      <c r="T56" s="6"/>
      <c r="U56" s="30"/>
    </row>
    <row r="57" spans="1:21" ht="16" x14ac:dyDescent="0.2">
      <c r="A57" s="7"/>
      <c r="B57" s="6"/>
      <c r="C57" s="6"/>
      <c r="D57" s="6"/>
      <c r="E57" s="6"/>
      <c r="F57" s="6"/>
      <c r="G57" s="6"/>
      <c r="H57" s="6"/>
      <c r="I57" s="6"/>
      <c r="J57" s="7"/>
      <c r="K57" s="7"/>
      <c r="L57" s="7"/>
      <c r="M57" s="7"/>
      <c r="N57" s="7"/>
      <c r="O57" s="7"/>
      <c r="P57" s="6"/>
      <c r="Q57" s="29"/>
      <c r="R57" s="7"/>
      <c r="S57" s="7"/>
      <c r="T57" s="6"/>
      <c r="U57" s="30"/>
    </row>
    <row r="58" spans="1:21" ht="16" x14ac:dyDescent="0.2">
      <c r="A58" s="7"/>
      <c r="B58" s="31"/>
      <c r="C58" s="31"/>
      <c r="D58" s="31"/>
      <c r="E58" s="31"/>
      <c r="F58" s="31"/>
      <c r="G58" s="31"/>
      <c r="H58" s="31"/>
      <c r="I58" s="31"/>
      <c r="J58" s="7"/>
      <c r="K58" s="7"/>
      <c r="L58" s="7"/>
      <c r="M58" s="7"/>
      <c r="N58" s="7"/>
      <c r="O58" s="7"/>
      <c r="P58" s="31"/>
      <c r="Q58" s="35"/>
      <c r="R58" s="7"/>
      <c r="S58" s="36"/>
      <c r="T58" s="31"/>
      <c r="U58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6" enableFormatConditionsCalculation="0"/>
  <dimension ref="A1:AV64"/>
  <sheetViews>
    <sheetView topLeftCell="D14" workbookViewId="0">
      <selection activeCell="U35" sqref="U35"/>
    </sheetView>
  </sheetViews>
  <sheetFormatPr baseColWidth="10" defaultColWidth="8.83203125" defaultRowHeight="15" x14ac:dyDescent="0.2"/>
  <cols>
    <col min="1" max="1" width="22.5" style="2" customWidth="1"/>
    <col min="2" max="11" width="10" style="2" customWidth="1"/>
    <col min="12" max="13" width="5.3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74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5.75" x14ac:dyDescent="0.25">
      <c r="A4" s="4" t="s">
        <v>78</v>
      </c>
      <c r="B4" s="64">
        <v>167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5.75" x14ac:dyDescent="0.25">
      <c r="A8" s="4" t="s">
        <v>13</v>
      </c>
      <c r="B8" s="55">
        <v>53803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5.75" x14ac:dyDescent="0.25">
      <c r="A9" s="4" t="s">
        <v>14</v>
      </c>
      <c r="B9" s="63">
        <v>140460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52"/>
      <c r="U9" s="52"/>
      <c r="V9" s="8"/>
      <c r="W9" s="8"/>
      <c r="X9" s="52"/>
      <c r="Y9" s="52"/>
      <c r="Z9" s="8"/>
      <c r="AA9" s="8"/>
      <c r="AB9" s="8"/>
      <c r="AC9" s="8"/>
      <c r="AD9" s="8"/>
      <c r="AE9" s="8"/>
      <c r="AF9" s="8"/>
      <c r="AG9" s="52"/>
      <c r="AH9" s="27"/>
      <c r="AI9" s="27"/>
    </row>
    <row r="10" spans="1:35" ht="16" x14ac:dyDescent="0.2">
      <c r="A10" s="4" t="s">
        <v>15</v>
      </c>
      <c r="B10" s="8">
        <f>SUM(B4:B9)</f>
        <v>194430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27"/>
      <c r="S10" s="4"/>
      <c r="T10" s="52"/>
      <c r="U10" s="52"/>
      <c r="V10" s="8"/>
      <c r="W10" s="8"/>
      <c r="X10" s="52"/>
      <c r="Y10" s="52"/>
      <c r="Z10" s="8"/>
      <c r="AA10" s="8"/>
      <c r="AB10" s="8"/>
      <c r="AC10" s="8"/>
      <c r="AD10" s="8"/>
      <c r="AE10" s="8"/>
      <c r="AF10" s="8"/>
      <c r="AG10" s="52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5.75" x14ac:dyDescent="0.25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59">
        <f>119100+2400</f>
        <v>121500</v>
      </c>
      <c r="C18" s="59">
        <f>1200+800</f>
        <v>2000</v>
      </c>
      <c r="D18" s="8">
        <v>0</v>
      </c>
      <c r="E18" s="8">
        <v>0</v>
      </c>
      <c r="F18" s="59">
        <v>0</v>
      </c>
      <c r="G18" s="59">
        <f>115400+2400/0.9</f>
        <v>118066.66666666667</v>
      </c>
      <c r="H18" s="8">
        <v>0</v>
      </c>
      <c r="I18" s="8"/>
      <c r="J18" s="8"/>
      <c r="K18" s="8"/>
      <c r="L18" s="8"/>
      <c r="M18" s="8"/>
      <c r="N18" s="8"/>
      <c r="O18" s="59">
        <f>SUM(C18:G18)</f>
        <v>120066.66666666667</v>
      </c>
      <c r="P18" s="3"/>
      <c r="Q18" s="3"/>
      <c r="R18" s="3"/>
      <c r="S18" s="3"/>
      <c r="T18" s="3"/>
      <c r="U18" s="3"/>
    </row>
    <row r="19" spans="1:21" ht="16" x14ac:dyDescent="0.2">
      <c r="A19" s="4" t="s">
        <v>21</v>
      </c>
      <c r="B19" s="71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/>
      <c r="T19" s="3"/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59">
        <v>1300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 t="s">
        <v>25</v>
      </c>
      <c r="T21" s="11">
        <f>O42/1000</f>
        <v>829.0802666666666</v>
      </c>
      <c r="U21" s="3"/>
    </row>
    <row r="22" spans="1:21" ht="16" x14ac:dyDescent="0.2">
      <c r="A22" s="4" t="s">
        <v>24</v>
      </c>
      <c r="B22" s="71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76"/>
      <c r="S22" s="3"/>
      <c r="T22" s="3"/>
      <c r="U22" s="3"/>
    </row>
    <row r="23" spans="1:21" ht="16" x14ac:dyDescent="0.2">
      <c r="A23" s="4" t="s">
        <v>15</v>
      </c>
      <c r="B23" s="59">
        <f>SUM(B18:B21)</f>
        <v>122800</v>
      </c>
      <c r="C23" s="59">
        <f>C18</f>
        <v>2000</v>
      </c>
      <c r="D23" s="8">
        <v>0</v>
      </c>
      <c r="E23" s="8">
        <v>0</v>
      </c>
      <c r="F23" s="59">
        <v>0</v>
      </c>
      <c r="G23" s="59">
        <f>G18</f>
        <v>118066.66666666667</v>
      </c>
      <c r="H23" s="8">
        <v>0</v>
      </c>
      <c r="I23" s="8"/>
      <c r="J23" s="8"/>
      <c r="K23" s="8"/>
      <c r="L23" s="8"/>
      <c r="M23" s="8"/>
      <c r="N23" s="8"/>
      <c r="O23" s="59">
        <f>O18</f>
        <v>120066.66666666667</v>
      </c>
      <c r="P23" s="3"/>
      <c r="Q23" s="3"/>
      <c r="R23" s="76"/>
      <c r="S23" s="3"/>
      <c r="T23" s="3" t="s">
        <v>26</v>
      </c>
      <c r="U23" s="3" t="s">
        <v>27</v>
      </c>
    </row>
    <row r="24" spans="1:21" ht="16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76"/>
      <c r="S24" s="3" t="s">
        <v>9</v>
      </c>
      <c r="T24" s="12">
        <f>N42/1000</f>
        <v>355.96259999999995</v>
      </c>
      <c r="U24" s="13">
        <f>N43</f>
        <v>0.42934636646359292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76"/>
      <c r="S25" s="3" t="s">
        <v>58</v>
      </c>
      <c r="T25" s="12">
        <f>G42/1000</f>
        <v>203.33266666666668</v>
      </c>
      <c r="U25" s="14">
        <f>G43</f>
        <v>0.24525088202155582</v>
      </c>
    </row>
    <row r="26" spans="1:21" ht="16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54"/>
      <c r="O26" s="9"/>
      <c r="P26" s="3"/>
      <c r="Q26" s="3"/>
      <c r="R26" s="76"/>
      <c r="S26" s="3" t="s">
        <v>6</v>
      </c>
      <c r="T26" s="12">
        <f>J42/1000</f>
        <v>0</v>
      </c>
      <c r="U26" s="13">
        <f>J43</f>
        <v>0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76"/>
      <c r="S27" s="3" t="s">
        <v>30</v>
      </c>
      <c r="T27" s="12">
        <f>F42/1000</f>
        <v>14.561999999999999</v>
      </c>
      <c r="U27" s="13">
        <f>F43</f>
        <v>1.7564041246026521E-2</v>
      </c>
    </row>
    <row r="28" spans="1:21" ht="16" x14ac:dyDescent="0.2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76"/>
      <c r="S28" s="3" t="s">
        <v>3</v>
      </c>
      <c r="T28" s="11">
        <f>E42/1000</f>
        <v>5.0190000000000001</v>
      </c>
      <c r="U28" s="13">
        <f>E43</f>
        <v>6.0536961278538056E-3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76"/>
      <c r="S29" s="2" t="s">
        <v>2</v>
      </c>
      <c r="T29" s="2">
        <f>D42/1000</f>
        <v>0</v>
      </c>
      <c r="U29" s="46">
        <f>D43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76"/>
      <c r="S30" s="2" t="s">
        <v>7</v>
      </c>
      <c r="T30" s="2">
        <f>K42/1000</f>
        <v>0</v>
      </c>
      <c r="U30" s="46">
        <f>K43</f>
        <v>0</v>
      </c>
    </row>
    <row r="31" spans="1:21" ht="16" x14ac:dyDescent="0.2">
      <c r="A31" s="4" t="s">
        <v>32</v>
      </c>
      <c r="B31" s="8">
        <v>0</v>
      </c>
      <c r="C31" s="8">
        <v>713</v>
      </c>
      <c r="D31" s="8">
        <v>0</v>
      </c>
      <c r="E31" s="8">
        <v>0</v>
      </c>
      <c r="F31" s="8">
        <v>72</v>
      </c>
      <c r="G31" s="8">
        <v>0</v>
      </c>
      <c r="H31" s="8">
        <v>0</v>
      </c>
      <c r="I31" s="8"/>
      <c r="J31" s="8"/>
      <c r="K31" s="8"/>
      <c r="L31" s="8"/>
      <c r="M31" s="27"/>
      <c r="N31" s="55">
        <v>1415</v>
      </c>
      <c r="O31" s="55">
        <f>SUM(B31:N31)</f>
        <v>2200</v>
      </c>
      <c r="P31" s="17">
        <f>O31/O$39</f>
        <v>2.7855047397895424E-3</v>
      </c>
      <c r="Q31" s="18" t="s">
        <v>33</v>
      </c>
      <c r="R31" s="76"/>
      <c r="S31" s="3" t="s">
        <v>4</v>
      </c>
      <c r="T31" s="12">
        <f>I42/1000</f>
        <v>0</v>
      </c>
      <c r="U31" s="13">
        <f>I43</f>
        <v>0</v>
      </c>
    </row>
    <row r="32" spans="1:21" ht="16" x14ac:dyDescent="0.2">
      <c r="A32" s="4" t="s">
        <v>35</v>
      </c>
      <c r="B32" s="64">
        <v>15600</v>
      </c>
      <c r="C32" s="67">
        <v>41951</v>
      </c>
      <c r="D32" s="8">
        <v>0</v>
      </c>
      <c r="E32" s="67">
        <v>5019</v>
      </c>
      <c r="F32" s="8">
        <v>0</v>
      </c>
      <c r="G32" s="67">
        <v>33866</v>
      </c>
      <c r="H32" s="8">
        <v>0</v>
      </c>
      <c r="I32" s="8"/>
      <c r="J32" s="8"/>
      <c r="K32" s="8"/>
      <c r="L32" s="8"/>
      <c r="M32" s="27"/>
      <c r="N32" s="55">
        <f>O32-SUM(B32:I32)</f>
        <v>119717</v>
      </c>
      <c r="O32" s="8">
        <v>216153</v>
      </c>
      <c r="P32" s="17">
        <f>O32/O$39</f>
        <v>0.2736796390998768</v>
      </c>
      <c r="Q32" s="18" t="s">
        <v>36</v>
      </c>
      <c r="R32" s="3"/>
      <c r="S32" s="3" t="s">
        <v>5</v>
      </c>
      <c r="T32" s="12">
        <f>H42/1000</f>
        <v>0</v>
      </c>
      <c r="U32" s="13">
        <f>H43</f>
        <v>0</v>
      </c>
    </row>
    <row r="33" spans="1:48" ht="16" x14ac:dyDescent="0.2">
      <c r="A33" s="4" t="s">
        <v>37</v>
      </c>
      <c r="B33" s="64">
        <f>32800*0.581560088202867</f>
        <v>19075.170893054037</v>
      </c>
      <c r="C33" s="8">
        <v>3669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63">
        <f>O33-SUM(B33:L33)</f>
        <v>37322.829106945966</v>
      </c>
      <c r="O33" s="8">
        <v>60067</v>
      </c>
      <c r="P33" s="17">
        <f>O33/O$39</f>
        <v>7.6053142365881107E-2</v>
      </c>
      <c r="Q33" s="18" t="s">
        <v>38</v>
      </c>
      <c r="R33" s="3"/>
      <c r="S33" s="3" t="s">
        <v>34</v>
      </c>
      <c r="T33" s="12">
        <f>C42/1000</f>
        <v>250.20400000000001</v>
      </c>
      <c r="U33" s="14">
        <f>C43</f>
        <v>0.30178501414097103</v>
      </c>
    </row>
    <row r="34" spans="1:48" ht="16" x14ac:dyDescent="0.2">
      <c r="A34" s="4" t="s">
        <v>39</v>
      </c>
      <c r="B34" s="8">
        <v>0</v>
      </c>
      <c r="C34" s="8">
        <v>195071</v>
      </c>
      <c r="D34" s="8">
        <v>0</v>
      </c>
      <c r="E34" s="8">
        <v>0</v>
      </c>
      <c r="F34" s="55">
        <v>14490</v>
      </c>
      <c r="G34" s="8">
        <v>0</v>
      </c>
      <c r="H34" s="8">
        <v>0</v>
      </c>
      <c r="I34" s="8"/>
      <c r="J34" s="8"/>
      <c r="K34" s="8"/>
      <c r="L34" s="8"/>
      <c r="M34" s="27"/>
      <c r="N34" s="55">
        <f>O34-SUM(C34:G34)</f>
        <v>1892</v>
      </c>
      <c r="O34" s="8">
        <v>211453</v>
      </c>
      <c r="P34" s="17">
        <f>O34/O$39</f>
        <v>0.26772878806487188</v>
      </c>
      <c r="Q34" s="18" t="s">
        <v>40</v>
      </c>
      <c r="R34" s="3"/>
      <c r="S34" s="3"/>
      <c r="T34" s="12">
        <f>SUM(T24:T33)</f>
        <v>829.0802666666666</v>
      </c>
      <c r="U34" s="13">
        <f>SUM(U24:U33)</f>
        <v>1</v>
      </c>
    </row>
    <row r="35" spans="1:48" ht="16" x14ac:dyDescent="0.2">
      <c r="A35" s="4" t="s">
        <v>41</v>
      </c>
      <c r="B35" s="64">
        <f>32800*0.418439911797133</f>
        <v>13724.829106945963</v>
      </c>
      <c r="C35" s="55">
        <f>C39-SUM(C31:C34,C36:C38)</f>
        <v>5237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63">
        <f>O35-C35-B35</f>
        <v>56409.170893054034</v>
      </c>
      <c r="O35" s="8">
        <v>75371</v>
      </c>
      <c r="P35" s="17">
        <f>O35/O$39</f>
        <v>9.5430126246671632E-2</v>
      </c>
      <c r="Q35" s="18" t="s">
        <v>42</v>
      </c>
      <c r="R35" s="18"/>
    </row>
    <row r="36" spans="1:48" ht="16" x14ac:dyDescent="0.2">
      <c r="A36" s="4" t="s">
        <v>43</v>
      </c>
      <c r="B36" s="59">
        <v>2157</v>
      </c>
      <c r="C36" s="8">
        <v>1533</v>
      </c>
      <c r="D36" s="8">
        <v>0</v>
      </c>
      <c r="E36" s="8">
        <v>0</v>
      </c>
      <c r="F36" s="8">
        <v>0</v>
      </c>
      <c r="G36" s="55">
        <v>51400</v>
      </c>
      <c r="H36" s="8">
        <v>0</v>
      </c>
      <c r="I36" s="8"/>
      <c r="J36" s="8"/>
      <c r="K36" s="8"/>
      <c r="L36" s="8"/>
      <c r="M36" s="27"/>
      <c r="N36" s="63">
        <f>O36-SUM(B36:H36)</f>
        <v>94558</v>
      </c>
      <c r="O36" s="8">
        <v>149648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59">
        <v>56600</v>
      </c>
      <c r="C37" s="8">
        <v>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55">
        <v>10275</v>
      </c>
      <c r="O37" s="55">
        <f>SUM(B37:N37)</f>
        <v>66905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55">
        <v>8006</v>
      </c>
      <c r="O38" s="55">
        <f>SUM(B38:N38)</f>
        <v>8006</v>
      </c>
      <c r="P38" s="18">
        <f>SUM(P31:P35)</f>
        <v>0.71567720051709105</v>
      </c>
      <c r="Q38" s="18"/>
      <c r="R38" s="3"/>
      <c r="S38" s="7" t="s">
        <v>46</v>
      </c>
      <c r="T38" s="19">
        <f>O45/1000</f>
        <v>42.010600000000004</v>
      </c>
      <c r="U38" s="7"/>
    </row>
    <row r="39" spans="1:48" ht="16" x14ac:dyDescent="0.2">
      <c r="A39" s="4" t="s">
        <v>15</v>
      </c>
      <c r="B39" s="58">
        <v>107157</v>
      </c>
      <c r="C39" s="8">
        <v>248204</v>
      </c>
      <c r="D39" s="8">
        <v>0</v>
      </c>
      <c r="E39" s="67">
        <f>E32</f>
        <v>5019</v>
      </c>
      <c r="F39" s="55">
        <v>14562</v>
      </c>
      <c r="G39" s="68">
        <f>SUM(G31:G37)</f>
        <v>85266</v>
      </c>
      <c r="H39" s="8">
        <v>0</v>
      </c>
      <c r="I39" s="8"/>
      <c r="J39" s="8"/>
      <c r="K39" s="8"/>
      <c r="L39" s="8"/>
      <c r="M39" s="27"/>
      <c r="N39" s="8">
        <v>329595</v>
      </c>
      <c r="O39" s="70">
        <v>789803</v>
      </c>
      <c r="P39" s="76"/>
      <c r="Q39" s="3"/>
      <c r="R39" s="3"/>
      <c r="S39" s="7" t="s">
        <v>47</v>
      </c>
      <c r="T39" s="20">
        <f>O41/1000</f>
        <v>224.559</v>
      </c>
      <c r="U39" s="13">
        <f>P41</f>
        <v>0.28432279948290901</v>
      </c>
    </row>
    <row r="40" spans="1:48" x14ac:dyDescent="0.2"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S40" s="7" t="s">
        <v>48</v>
      </c>
      <c r="T40" s="20">
        <f>O35/1000</f>
        <v>75.370999999999995</v>
      </c>
      <c r="U40" s="14">
        <f>P35</f>
        <v>9.5430126246671632E-2</v>
      </c>
    </row>
    <row r="41" spans="1:48" ht="16" x14ac:dyDescent="0.2">
      <c r="A41" s="21" t="s">
        <v>49</v>
      </c>
      <c r="B41" s="22">
        <f>B38+B37+B36</f>
        <v>58757</v>
      </c>
      <c r="C41" s="22">
        <f t="shared" ref="C41:O41" si="0">C38+C37+C36</f>
        <v>1563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51400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112839</v>
      </c>
      <c r="O41" s="22">
        <f t="shared" si="0"/>
        <v>224559</v>
      </c>
      <c r="P41" s="17">
        <f>O41/O$39</f>
        <v>0.28432279948290901</v>
      </c>
      <c r="Q41" s="17" t="s">
        <v>50</v>
      </c>
      <c r="R41" s="7"/>
      <c r="S41" s="7" t="s">
        <v>51</v>
      </c>
      <c r="T41" s="20">
        <f>O33/1000</f>
        <v>60.067</v>
      </c>
      <c r="U41" s="13">
        <f>P33</f>
        <v>7.6053142365881107E-2</v>
      </c>
    </row>
    <row r="42" spans="1:48" ht="16" x14ac:dyDescent="0.2">
      <c r="A42" s="23" t="s">
        <v>52</v>
      </c>
      <c r="B42" s="22"/>
      <c r="C42" s="24">
        <f>C39+C23+C10</f>
        <v>250204</v>
      </c>
      <c r="D42" s="24">
        <f t="shared" ref="D42:M42" si="1">D39+D23+D10</f>
        <v>0</v>
      </c>
      <c r="E42" s="24">
        <f t="shared" si="1"/>
        <v>5019</v>
      </c>
      <c r="F42" s="24">
        <f t="shared" si="1"/>
        <v>14562</v>
      </c>
      <c r="G42" s="24">
        <f t="shared" si="1"/>
        <v>203332.66666666669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355962.6</v>
      </c>
      <c r="O42" s="25">
        <f>SUM(C42:N42)</f>
        <v>829080.2666666666</v>
      </c>
      <c r="P42" s="7"/>
      <c r="Q42" s="7"/>
      <c r="R42" s="7"/>
      <c r="S42" s="7" t="s">
        <v>33</v>
      </c>
      <c r="T42" s="20">
        <f>O31/1000</f>
        <v>2.2000000000000002</v>
      </c>
      <c r="U42" s="13">
        <f>P31</f>
        <v>2.7855047397895424E-3</v>
      </c>
    </row>
    <row r="43" spans="1:48" ht="16" x14ac:dyDescent="0.2">
      <c r="A43" s="23" t="s">
        <v>53</v>
      </c>
      <c r="B43" s="22"/>
      <c r="C43" s="17">
        <f t="shared" ref="C43:N43" si="2">C42/$O42</f>
        <v>0.30178501414097103</v>
      </c>
      <c r="D43" s="17">
        <f t="shared" si="2"/>
        <v>0</v>
      </c>
      <c r="E43" s="17">
        <f t="shared" si="2"/>
        <v>6.0536961278538056E-3</v>
      </c>
      <c r="F43" s="17">
        <f t="shared" si="2"/>
        <v>1.7564041246026521E-2</v>
      </c>
      <c r="G43" s="17">
        <f t="shared" si="2"/>
        <v>0.24525088202155582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0.42934636646359292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216.15299999999999</v>
      </c>
      <c r="U43" s="14">
        <f>P32</f>
        <v>0.2736796390998768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211.453</v>
      </c>
      <c r="U44" s="14">
        <f>P34</f>
        <v>0.26772878806487188</v>
      </c>
    </row>
    <row r="45" spans="1:48" ht="16" x14ac:dyDescent="0.2">
      <c r="A45" s="6" t="s">
        <v>56</v>
      </c>
      <c r="B45" s="6">
        <f>B23-B39</f>
        <v>15643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26367.600000000002</v>
      </c>
      <c r="O45" s="25">
        <f>B45+N45</f>
        <v>42010.600000000006</v>
      </c>
      <c r="P45" s="7"/>
      <c r="Q45" s="7"/>
      <c r="R45" s="7"/>
      <c r="S45" s="7" t="s">
        <v>57</v>
      </c>
      <c r="T45" s="20">
        <f>SUM(T39:T44)</f>
        <v>789.803</v>
      </c>
      <c r="U45" s="13">
        <f>SUM(U39:U44)</f>
        <v>1</v>
      </c>
    </row>
    <row r="46" spans="1:48" ht="16" x14ac:dyDescent="0.2">
      <c r="A46" s="6"/>
      <c r="B46" s="53">
        <f>B45/B23</f>
        <v>0.12738599348534202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1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1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40"/>
      <c r="C49" s="40"/>
      <c r="D49" s="41"/>
      <c r="E49" s="40"/>
      <c r="F49" s="40"/>
      <c r="G49" s="40"/>
      <c r="H49" s="41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40"/>
      <c r="C50" s="40"/>
      <c r="D50" s="41"/>
      <c r="E50" s="40"/>
      <c r="F50" s="40"/>
      <c r="G50" s="40"/>
      <c r="H50" s="41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ht="16" x14ac:dyDescent="0.2">
      <c r="A51" s="7"/>
      <c r="B51" s="6"/>
      <c r="C51" s="28"/>
      <c r="D51" s="28"/>
      <c r="E51" s="28"/>
      <c r="F51" s="28"/>
      <c r="G51" s="28"/>
      <c r="H51" s="28"/>
      <c r="I51" s="28"/>
      <c r="J51" s="40"/>
      <c r="K51" s="28"/>
      <c r="L51" s="6"/>
      <c r="M51" s="6"/>
      <c r="N51" s="29"/>
      <c r="O51" s="7"/>
      <c r="P51" s="6"/>
      <c r="Q51" s="13"/>
      <c r="R51" s="7"/>
      <c r="S51" s="7"/>
      <c r="T51" s="6"/>
      <c r="U51" s="30"/>
    </row>
    <row r="52" spans="1:48" ht="16" x14ac:dyDescent="0.2">
      <c r="A52" s="7"/>
      <c r="B52" s="62"/>
      <c r="C52" s="62"/>
      <c r="D52" s="62"/>
      <c r="E52" s="62"/>
      <c r="F52" s="62"/>
      <c r="G52" s="28"/>
      <c r="H52" s="28"/>
      <c r="I52" s="28"/>
      <c r="J52" s="40"/>
      <c r="K52" s="28"/>
      <c r="L52" s="6"/>
      <c r="M52" s="6"/>
      <c r="N52" s="29"/>
      <c r="O52" s="7"/>
      <c r="P52" s="6"/>
      <c r="Q52" s="13"/>
      <c r="R52" s="7"/>
      <c r="S52" s="7"/>
      <c r="T52" s="6"/>
      <c r="U52" s="30"/>
    </row>
    <row r="53" spans="1:48" ht="16" x14ac:dyDescent="0.2">
      <c r="A53" s="7"/>
      <c r="B53" s="7"/>
      <c r="C53" s="28"/>
      <c r="D53" s="28"/>
      <c r="E53" s="28"/>
      <c r="F53" s="28"/>
      <c r="G53" s="28"/>
      <c r="H53" s="28"/>
      <c r="I53" s="28"/>
      <c r="J53" s="28"/>
      <c r="K53" s="28"/>
      <c r="L53" s="6"/>
      <c r="M53" s="6"/>
      <c r="N53" s="29"/>
      <c r="O53" s="7"/>
      <c r="P53" s="6"/>
      <c r="Q53" s="13"/>
      <c r="R53" s="7"/>
      <c r="S53" s="7"/>
      <c r="T53" s="6"/>
      <c r="U53" s="30"/>
    </row>
    <row r="54" spans="1:48" ht="16" x14ac:dyDescent="0.2">
      <c r="A54" s="23"/>
      <c r="B54" s="7"/>
      <c r="C54" s="28"/>
      <c r="D54" s="28"/>
      <c r="E54" s="28"/>
      <c r="F54" s="28"/>
      <c r="G54" s="28"/>
      <c r="H54" s="28"/>
      <c r="I54" s="28"/>
      <c r="J54" s="28"/>
      <c r="K54" s="28"/>
      <c r="L54" s="6"/>
      <c r="M54" s="6"/>
      <c r="N54" s="29"/>
      <c r="O54" s="7"/>
      <c r="P54" s="6"/>
      <c r="Q54" s="13"/>
      <c r="R54" s="7"/>
      <c r="S54" s="7"/>
      <c r="T54" s="6"/>
      <c r="U54" s="30"/>
    </row>
    <row r="55" spans="1:48" ht="16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6"/>
      <c r="M55" s="6"/>
      <c r="N55" s="29"/>
      <c r="O55" s="7"/>
      <c r="P55" s="6"/>
      <c r="Q55" s="13"/>
      <c r="R55" s="7"/>
      <c r="S55" s="7"/>
      <c r="T55" s="31"/>
      <c r="U55" s="32"/>
    </row>
    <row r="56" spans="1:48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6"/>
    </row>
    <row r="57" spans="1:48" x14ac:dyDescent="0.2">
      <c r="A57" s="7"/>
      <c r="B57" s="33"/>
      <c r="C57" s="33"/>
      <c r="D57" s="33"/>
      <c r="E57" s="33"/>
      <c r="F57" s="33"/>
      <c r="G57" s="33"/>
      <c r="H57" s="33"/>
      <c r="I57" s="33"/>
      <c r="J57" s="7"/>
      <c r="K57" s="7"/>
      <c r="L57" s="7"/>
      <c r="M57" s="7"/>
      <c r="N57" s="7"/>
      <c r="O57" s="7"/>
      <c r="P57" s="7"/>
      <c r="Q57" s="7"/>
      <c r="R57" s="7"/>
      <c r="S57" s="7"/>
      <c r="T57" s="33"/>
      <c r="U57" s="34"/>
    </row>
    <row r="58" spans="1:48" ht="16" x14ac:dyDescent="0.2">
      <c r="A58" s="7"/>
      <c r="B58" s="6"/>
      <c r="C58" s="6"/>
      <c r="D58" s="6"/>
      <c r="E58" s="6"/>
      <c r="F58" s="6"/>
      <c r="G58" s="6"/>
      <c r="H58" s="6"/>
      <c r="I58" s="6"/>
      <c r="J58" s="7"/>
      <c r="K58" s="7"/>
      <c r="L58" s="7"/>
      <c r="M58" s="7"/>
      <c r="N58" s="7"/>
      <c r="O58" s="7"/>
      <c r="P58" s="6"/>
      <c r="Q58" s="29"/>
      <c r="R58" s="7"/>
      <c r="S58" s="7"/>
      <c r="T58" s="6"/>
      <c r="U58" s="30"/>
    </row>
    <row r="59" spans="1:48" ht="16" x14ac:dyDescent="0.2">
      <c r="A59" s="7"/>
      <c r="B59" s="6"/>
      <c r="C59" s="6"/>
      <c r="D59" s="6"/>
      <c r="E59" s="6"/>
      <c r="F59" s="6"/>
      <c r="G59" s="6"/>
      <c r="H59" s="6"/>
      <c r="I59" s="6"/>
      <c r="J59" s="7"/>
      <c r="K59" s="7"/>
      <c r="L59" s="7"/>
      <c r="M59" s="7"/>
      <c r="N59" s="7"/>
      <c r="O59" s="7"/>
      <c r="P59" s="6"/>
      <c r="Q59" s="29"/>
      <c r="R59" s="7"/>
      <c r="S59" s="7"/>
      <c r="T59" s="6"/>
      <c r="U59" s="30"/>
    </row>
    <row r="60" spans="1:48" ht="16" x14ac:dyDescent="0.2">
      <c r="A60" s="7"/>
      <c r="B60" s="6"/>
      <c r="C60" s="6"/>
      <c r="D60" s="6"/>
      <c r="E60" s="6"/>
      <c r="F60" s="6"/>
      <c r="G60" s="6"/>
      <c r="H60" s="6"/>
      <c r="I60" s="6"/>
      <c r="J60" s="7"/>
      <c r="K60" s="7"/>
      <c r="L60" s="7"/>
      <c r="M60" s="7"/>
      <c r="N60" s="7"/>
      <c r="O60" s="7"/>
      <c r="P60" s="6"/>
      <c r="Q60" s="29"/>
      <c r="R60" s="7"/>
      <c r="S60" s="7"/>
      <c r="T60" s="6"/>
      <c r="U60" s="30"/>
    </row>
    <row r="61" spans="1:48" ht="16" x14ac:dyDescent="0.2">
      <c r="A61" s="7"/>
      <c r="B61" s="6"/>
      <c r="C61" s="6"/>
      <c r="D61" s="6"/>
      <c r="E61" s="6"/>
      <c r="F61" s="6"/>
      <c r="G61" s="6"/>
      <c r="H61" s="6"/>
      <c r="I61" s="6"/>
      <c r="J61" s="7"/>
      <c r="K61" s="7"/>
      <c r="L61" s="7"/>
      <c r="M61" s="7"/>
      <c r="N61" s="7"/>
      <c r="O61" s="7"/>
      <c r="P61" s="6"/>
      <c r="Q61" s="29"/>
      <c r="R61" s="7"/>
      <c r="S61" s="7"/>
      <c r="T61" s="6"/>
      <c r="U61" s="30"/>
    </row>
    <row r="62" spans="1:48" ht="16" x14ac:dyDescent="0.2">
      <c r="A62" s="7"/>
      <c r="B62" s="6"/>
      <c r="C62" s="6"/>
      <c r="D62" s="6"/>
      <c r="E62" s="6"/>
      <c r="F62" s="6"/>
      <c r="G62" s="6"/>
      <c r="H62" s="6"/>
      <c r="I62" s="6"/>
      <c r="J62" s="7"/>
      <c r="K62" s="7"/>
      <c r="L62" s="7"/>
      <c r="M62" s="7"/>
      <c r="N62" s="7"/>
      <c r="O62" s="7"/>
      <c r="P62" s="6"/>
      <c r="Q62" s="29"/>
      <c r="R62" s="7"/>
      <c r="S62" s="7"/>
      <c r="T62" s="6"/>
      <c r="U62" s="30"/>
    </row>
    <row r="63" spans="1:48" ht="16" x14ac:dyDescent="0.2">
      <c r="A63" s="7"/>
      <c r="B63" s="6"/>
      <c r="C63" s="6"/>
      <c r="D63" s="6"/>
      <c r="E63" s="6"/>
      <c r="F63" s="6"/>
      <c r="G63" s="6"/>
      <c r="H63" s="6"/>
      <c r="I63" s="6"/>
      <c r="J63" s="7"/>
      <c r="K63" s="7"/>
      <c r="L63" s="7"/>
      <c r="M63" s="7"/>
      <c r="N63" s="7"/>
      <c r="O63" s="7"/>
      <c r="P63" s="6"/>
      <c r="Q63" s="29"/>
      <c r="R63" s="7"/>
      <c r="S63" s="7"/>
      <c r="T63" s="6"/>
      <c r="U63" s="30"/>
    </row>
    <row r="64" spans="1:48" ht="16" x14ac:dyDescent="0.2">
      <c r="A64" s="7"/>
      <c r="B64" s="31"/>
      <c r="C64" s="31"/>
      <c r="D64" s="31"/>
      <c r="E64" s="31"/>
      <c r="F64" s="31"/>
      <c r="G64" s="31"/>
      <c r="H64" s="31"/>
      <c r="I64" s="31"/>
      <c r="J64" s="7"/>
      <c r="K64" s="7"/>
      <c r="L64" s="7"/>
      <c r="M64" s="7"/>
      <c r="N64" s="7"/>
      <c r="O64" s="7"/>
      <c r="P64" s="31"/>
      <c r="Q64" s="35"/>
      <c r="R64" s="7"/>
      <c r="S64" s="36"/>
      <c r="T64" s="31"/>
      <c r="U64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" enableFormatConditionsCalculation="0"/>
  <dimension ref="A1:AV70"/>
  <sheetViews>
    <sheetView topLeftCell="A13" workbookViewId="0">
      <selection activeCell="U33" sqref="U33"/>
    </sheetView>
  </sheetViews>
  <sheetFormatPr baseColWidth="10" defaultColWidth="8.83203125" defaultRowHeight="15" x14ac:dyDescent="0.2"/>
  <cols>
    <col min="1" max="1" width="22.5" style="2" customWidth="1"/>
    <col min="2" max="11" width="10" style="2" customWidth="1"/>
    <col min="12" max="13" width="5.3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60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5.75" x14ac:dyDescent="0.25">
      <c r="A4" s="4" t="s">
        <v>78</v>
      </c>
      <c r="B4" s="74">
        <v>29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5.75" x14ac:dyDescent="0.25">
      <c r="A8" s="4" t="s">
        <v>13</v>
      </c>
      <c r="B8" s="8">
        <v>135974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5.75" x14ac:dyDescent="0.25">
      <c r="A9" s="4" t="s">
        <v>14</v>
      </c>
      <c r="B9" s="8">
        <v>135372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15</v>
      </c>
      <c r="B10" s="8">
        <f>SUM(B4:B9)</f>
        <v>271375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27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5.75" x14ac:dyDescent="0.25">
      <c r="A14" s="4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6" x14ac:dyDescent="0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8">
        <v>22203</v>
      </c>
      <c r="C18" s="8">
        <v>458</v>
      </c>
      <c r="D18" s="8">
        <v>0</v>
      </c>
      <c r="E18" s="8">
        <v>0</v>
      </c>
      <c r="F18" s="8">
        <v>0</v>
      </c>
      <c r="G18" s="8">
        <v>24315</v>
      </c>
      <c r="H18" s="8">
        <v>0</v>
      </c>
      <c r="I18" s="8"/>
      <c r="J18" s="8"/>
      <c r="K18" s="8"/>
      <c r="L18" s="8"/>
      <c r="M18" s="8"/>
      <c r="N18" s="8"/>
      <c r="O18" s="8">
        <v>24772</v>
      </c>
      <c r="P18" s="3"/>
      <c r="Q18" s="3"/>
      <c r="R18" s="3"/>
      <c r="S18" s="3"/>
      <c r="T18" s="3"/>
      <c r="U18" s="3"/>
    </row>
    <row r="19" spans="1:21" ht="16" x14ac:dyDescent="0.2">
      <c r="A19" s="4" t="s">
        <v>21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/>
      <c r="T19" s="3"/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 t="s">
        <v>25</v>
      </c>
      <c r="T21" s="11">
        <f>O42/1000</f>
        <v>272.5582</v>
      </c>
      <c r="U21" s="3"/>
    </row>
    <row r="22" spans="1:21" ht="16" x14ac:dyDescent="0.2">
      <c r="A22" s="4" t="s">
        <v>24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3"/>
      <c r="T22" s="3"/>
      <c r="U22" s="3"/>
    </row>
    <row r="23" spans="1:21" ht="16" x14ac:dyDescent="0.2">
      <c r="A23" s="4" t="s">
        <v>15</v>
      </c>
      <c r="B23" s="8">
        <v>22203</v>
      </c>
      <c r="C23" s="8">
        <v>458</v>
      </c>
      <c r="D23" s="8">
        <v>0</v>
      </c>
      <c r="E23" s="8">
        <v>0</v>
      </c>
      <c r="F23" s="8">
        <v>0</v>
      </c>
      <c r="G23" s="8">
        <v>24315</v>
      </c>
      <c r="H23" s="8">
        <v>0</v>
      </c>
      <c r="I23" s="8"/>
      <c r="J23" s="8"/>
      <c r="K23" s="8"/>
      <c r="L23" s="8"/>
      <c r="M23" s="8"/>
      <c r="N23" s="8"/>
      <c r="O23" s="8">
        <v>24772</v>
      </c>
      <c r="P23" s="3"/>
      <c r="Q23" s="3"/>
      <c r="R23" s="3"/>
      <c r="S23" s="3"/>
      <c r="T23" s="3" t="s">
        <v>26</v>
      </c>
      <c r="U23" s="3" t="s">
        <v>27</v>
      </c>
    </row>
    <row r="24" spans="1:21" ht="16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9</v>
      </c>
      <c r="T24" s="12">
        <f>N42/1000</f>
        <v>91.978200000000001</v>
      </c>
      <c r="U24" s="13">
        <f>N43</f>
        <v>0.33746260431716968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58</v>
      </c>
      <c r="T25" s="12">
        <f>G42/1000</f>
        <v>87.858999999999995</v>
      </c>
      <c r="U25" s="14">
        <f>G43</f>
        <v>0.32234950186785793</v>
      </c>
    </row>
    <row r="26" spans="1:21" ht="16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6</v>
      </c>
      <c r="T26" s="12">
        <f>J42/1000</f>
        <v>0</v>
      </c>
      <c r="U26" s="13">
        <f>J43</f>
        <v>0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30</v>
      </c>
      <c r="T27" s="12">
        <f>F42/1000</f>
        <v>6.42</v>
      </c>
      <c r="U27" s="13">
        <f>F43</f>
        <v>2.3554602283108707E-2</v>
      </c>
    </row>
    <row r="28" spans="1:21" ht="16" x14ac:dyDescent="0.2">
      <c r="A28" s="4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3</v>
      </c>
      <c r="T28" s="11">
        <f>E42/1000</f>
        <v>3.2879999999999998</v>
      </c>
      <c r="U28" s="13">
        <f>E43</f>
        <v>1.2063478552470627E-2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2" t="s">
        <v>2</v>
      </c>
      <c r="T29" s="2">
        <f>D42/1000</f>
        <v>0</v>
      </c>
      <c r="U29" s="46">
        <f>D43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7</v>
      </c>
      <c r="T30" s="2">
        <f>K42/1000</f>
        <v>0</v>
      </c>
      <c r="U30" s="46">
        <f>K43</f>
        <v>0</v>
      </c>
    </row>
    <row r="31" spans="1:21" ht="16" x14ac:dyDescent="0.2">
      <c r="A31" s="4" t="s">
        <v>32</v>
      </c>
      <c r="B31" s="8">
        <v>0</v>
      </c>
      <c r="C31" s="8">
        <v>2309</v>
      </c>
      <c r="D31" s="8">
        <v>0</v>
      </c>
      <c r="E31" s="8">
        <v>0</v>
      </c>
      <c r="F31" s="8">
        <v>237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2969</v>
      </c>
      <c r="O31" s="8">
        <v>5516</v>
      </c>
      <c r="P31" s="17">
        <f>O31/O$39</f>
        <v>2.1378767736509402E-2</v>
      </c>
      <c r="Q31" s="18" t="s">
        <v>33</v>
      </c>
      <c r="R31" s="3"/>
      <c r="S31" s="3" t="s">
        <v>4</v>
      </c>
      <c r="T31" s="12">
        <f>I42/1000</f>
        <v>0</v>
      </c>
      <c r="U31" s="13">
        <f>I43</f>
        <v>0</v>
      </c>
    </row>
    <row r="32" spans="1:21" ht="16" x14ac:dyDescent="0.2">
      <c r="A32" s="4" t="s">
        <v>35</v>
      </c>
      <c r="B32" s="8">
        <v>1885</v>
      </c>
      <c r="C32" s="8">
        <v>959</v>
      </c>
      <c r="D32" s="8">
        <v>0</v>
      </c>
      <c r="E32" s="55">
        <v>3288</v>
      </c>
      <c r="F32" s="8">
        <v>0</v>
      </c>
      <c r="G32" s="67">
        <v>32800</v>
      </c>
      <c r="H32" s="8">
        <v>0</v>
      </c>
      <c r="I32" s="8"/>
      <c r="J32" s="8"/>
      <c r="K32" s="8"/>
      <c r="L32" s="8"/>
      <c r="M32" s="27"/>
      <c r="N32" s="8">
        <v>29988</v>
      </c>
      <c r="O32" s="55">
        <f>SUM(B32:N32)</f>
        <v>68920</v>
      </c>
      <c r="P32" s="17">
        <f>O32/O$39</f>
        <v>0.26711832349532777</v>
      </c>
      <c r="Q32" s="18" t="s">
        <v>36</v>
      </c>
      <c r="R32" s="3"/>
      <c r="S32" s="3" t="s">
        <v>5</v>
      </c>
      <c r="T32" s="12">
        <f>H42/1000</f>
        <v>0</v>
      </c>
      <c r="U32" s="13">
        <f>H43</f>
        <v>0</v>
      </c>
    </row>
    <row r="33" spans="1:48" ht="16" x14ac:dyDescent="0.2">
      <c r="A33" s="4" t="s">
        <v>37</v>
      </c>
      <c r="B33" s="8">
        <v>5250</v>
      </c>
      <c r="C33" s="8">
        <v>224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5387</v>
      </c>
      <c r="O33" s="8">
        <v>10861</v>
      </c>
      <c r="P33" s="17">
        <f>O33/O$39</f>
        <v>4.2094778170092204E-2</v>
      </c>
      <c r="Q33" s="18" t="s">
        <v>38</v>
      </c>
      <c r="R33" s="3"/>
      <c r="S33" s="3" t="s">
        <v>34</v>
      </c>
      <c r="T33" s="12">
        <f>C42/1000</f>
        <v>83.013000000000005</v>
      </c>
      <c r="U33" s="14">
        <f>C43</f>
        <v>0.30456981297939301</v>
      </c>
    </row>
    <row r="34" spans="1:48" ht="16" x14ac:dyDescent="0.2">
      <c r="A34" s="4" t="s">
        <v>39</v>
      </c>
      <c r="B34" s="8">
        <v>0</v>
      </c>
      <c r="C34" s="8">
        <v>77554</v>
      </c>
      <c r="D34" s="8">
        <v>0</v>
      </c>
      <c r="E34" s="8">
        <v>0</v>
      </c>
      <c r="F34" s="8">
        <v>6183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386</v>
      </c>
      <c r="O34" s="8">
        <v>84123</v>
      </c>
      <c r="P34" s="17">
        <f>O34/O$39</f>
        <v>0.32604171107657365</v>
      </c>
      <c r="Q34" s="18" t="s">
        <v>40</v>
      </c>
      <c r="R34" s="3"/>
      <c r="S34" s="3"/>
      <c r="T34" s="12">
        <f>SUM(T24:T33)</f>
        <v>272.5582</v>
      </c>
      <c r="U34" s="13">
        <f>SUM(U24:U33)</f>
        <v>0.99999999999999989</v>
      </c>
    </row>
    <row r="35" spans="1:48" ht="16" x14ac:dyDescent="0.2">
      <c r="A35" s="4" t="s">
        <v>41</v>
      </c>
      <c r="B35" s="8">
        <v>2655</v>
      </c>
      <c r="C35" s="8">
        <v>908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12302</v>
      </c>
      <c r="O35" s="8">
        <v>15865</v>
      </c>
      <c r="P35" s="17">
        <f>O35/O$39</f>
        <v>6.1489149771523137E-2</v>
      </c>
      <c r="Q35" s="18" t="s">
        <v>42</v>
      </c>
      <c r="R35" s="18"/>
    </row>
    <row r="36" spans="1:48" ht="16" x14ac:dyDescent="0.2">
      <c r="A36" s="4" t="s">
        <v>43</v>
      </c>
      <c r="B36" s="8">
        <v>1854</v>
      </c>
      <c r="C36" s="8">
        <v>601</v>
      </c>
      <c r="D36" s="8">
        <v>0</v>
      </c>
      <c r="E36" s="8">
        <v>0</v>
      </c>
      <c r="F36" s="8">
        <v>0</v>
      </c>
      <c r="G36" s="8">
        <v>30744</v>
      </c>
      <c r="H36" s="8">
        <v>0</v>
      </c>
      <c r="I36" s="8"/>
      <c r="J36" s="8"/>
      <c r="K36" s="8"/>
      <c r="L36" s="8"/>
      <c r="M36" s="27"/>
      <c r="N36" s="8">
        <v>29935</v>
      </c>
      <c r="O36" s="8">
        <v>63134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8">
        <v>5397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2058</v>
      </c>
      <c r="O37" s="8">
        <v>7455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2140</v>
      </c>
      <c r="O38" s="8">
        <v>2140</v>
      </c>
      <c r="P38" s="18">
        <f>SUM(P31:P35)</f>
        <v>0.71812273025002615</v>
      </c>
      <c r="Q38" s="18"/>
      <c r="R38" s="3"/>
      <c r="S38" s="7" t="s">
        <v>46</v>
      </c>
      <c r="T38" s="19">
        <f>O45/1000</f>
        <v>11.975200000000001</v>
      </c>
      <c r="U38" s="7"/>
    </row>
    <row r="39" spans="1:48" ht="16" x14ac:dyDescent="0.2">
      <c r="A39" s="4" t="s">
        <v>15</v>
      </c>
      <c r="B39" s="8">
        <v>17041</v>
      </c>
      <c r="C39" s="8">
        <v>82555</v>
      </c>
      <c r="D39" s="8">
        <v>0</v>
      </c>
      <c r="E39" s="55">
        <v>3288</v>
      </c>
      <c r="F39" s="8">
        <v>6420</v>
      </c>
      <c r="G39" s="67">
        <f>SUM(G32:G36)</f>
        <v>63544</v>
      </c>
      <c r="H39" s="8">
        <v>0</v>
      </c>
      <c r="I39" s="8"/>
      <c r="J39" s="8"/>
      <c r="K39" s="8"/>
      <c r="L39" s="8"/>
      <c r="M39" s="27"/>
      <c r="N39" s="8">
        <v>85165</v>
      </c>
      <c r="O39" s="55">
        <f>SUM(B39:N39)</f>
        <v>258013</v>
      </c>
      <c r="P39" s="3"/>
      <c r="Q39" s="3"/>
      <c r="R39" s="3"/>
      <c r="S39" s="7" t="s">
        <v>47</v>
      </c>
      <c r="T39" s="20">
        <f>O41/1000</f>
        <v>72.728999999999999</v>
      </c>
      <c r="U39" s="13">
        <f>P41</f>
        <v>0.28188114552367516</v>
      </c>
    </row>
    <row r="40" spans="1:48" x14ac:dyDescent="0.2"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S40" s="7" t="s">
        <v>48</v>
      </c>
      <c r="T40" s="20">
        <f>O35/1000</f>
        <v>15.865</v>
      </c>
      <c r="U40" s="14">
        <f>P35</f>
        <v>6.1489149771523137E-2</v>
      </c>
    </row>
    <row r="41" spans="1:48" ht="16" x14ac:dyDescent="0.2">
      <c r="A41" s="21" t="s">
        <v>49</v>
      </c>
      <c r="B41" s="22">
        <f>B38+B37+B36</f>
        <v>7251</v>
      </c>
      <c r="C41" s="22">
        <f t="shared" ref="C41:O41" si="0">C38+C37+C36</f>
        <v>601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30744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34133</v>
      </c>
      <c r="O41" s="22">
        <f t="shared" si="0"/>
        <v>72729</v>
      </c>
      <c r="P41" s="17">
        <f>O41/O$39</f>
        <v>0.28188114552367516</v>
      </c>
      <c r="Q41" s="17" t="s">
        <v>50</v>
      </c>
      <c r="R41" s="7"/>
      <c r="S41" s="7" t="s">
        <v>51</v>
      </c>
      <c r="T41" s="20">
        <f>O33/1000</f>
        <v>10.861000000000001</v>
      </c>
      <c r="U41" s="13">
        <f>P33</f>
        <v>4.2094778170092204E-2</v>
      </c>
    </row>
    <row r="42" spans="1:48" ht="16" x14ac:dyDescent="0.2">
      <c r="A42" s="23" t="s">
        <v>52</v>
      </c>
      <c r="B42" s="22"/>
      <c r="C42" s="24">
        <f>C39+C23+C10</f>
        <v>83013</v>
      </c>
      <c r="D42" s="24">
        <f t="shared" ref="D42:M42" si="1">D39+D23+D10</f>
        <v>0</v>
      </c>
      <c r="E42" s="24">
        <f t="shared" si="1"/>
        <v>3288</v>
      </c>
      <c r="F42" s="24">
        <f t="shared" si="1"/>
        <v>6420</v>
      </c>
      <c r="G42" s="24">
        <f t="shared" si="1"/>
        <v>87859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91978.2</v>
      </c>
      <c r="O42" s="25">
        <f>SUM(C42:N42)</f>
        <v>272558.2</v>
      </c>
      <c r="P42" s="7"/>
      <c r="Q42" s="7"/>
      <c r="R42" s="7"/>
      <c r="S42" s="7" t="s">
        <v>33</v>
      </c>
      <c r="T42" s="20">
        <f>O31/1000</f>
        <v>5.516</v>
      </c>
      <c r="U42" s="13">
        <f>P31</f>
        <v>2.1378767736509402E-2</v>
      </c>
    </row>
    <row r="43" spans="1:48" ht="16" x14ac:dyDescent="0.2">
      <c r="A43" s="23" t="s">
        <v>53</v>
      </c>
      <c r="B43" s="22"/>
      <c r="C43" s="17">
        <f t="shared" ref="C43:N43" si="2">C42/$O42</f>
        <v>0.30456981297939301</v>
      </c>
      <c r="D43" s="17">
        <f t="shared" si="2"/>
        <v>0</v>
      </c>
      <c r="E43" s="17">
        <f t="shared" si="2"/>
        <v>1.2063478552470627E-2</v>
      </c>
      <c r="F43" s="17">
        <f t="shared" si="2"/>
        <v>2.3554602283108707E-2</v>
      </c>
      <c r="G43" s="17">
        <f t="shared" si="2"/>
        <v>0.32234950186785793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0.33746260431716968</v>
      </c>
      <c r="O43" s="17">
        <f>SUM(C43:N43)</f>
        <v>0.99999999999999989</v>
      </c>
      <c r="P43" s="7"/>
      <c r="Q43" s="7"/>
      <c r="R43" s="7"/>
      <c r="S43" s="7" t="s">
        <v>54</v>
      </c>
      <c r="T43" s="20">
        <f>O32/1000</f>
        <v>68.92</v>
      </c>
      <c r="U43" s="14">
        <f>P32</f>
        <v>0.26711832349532777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84.123000000000005</v>
      </c>
      <c r="U44" s="14">
        <f>P34</f>
        <v>0.32604171107657365</v>
      </c>
    </row>
    <row r="45" spans="1:48" ht="16" x14ac:dyDescent="0.2">
      <c r="A45" s="6" t="s">
        <v>56</v>
      </c>
      <c r="B45" s="6">
        <f>B23-B39</f>
        <v>5162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6813.2</v>
      </c>
      <c r="O45" s="25">
        <f>B45+N45</f>
        <v>11975.2</v>
      </c>
      <c r="P45" s="7"/>
      <c r="Q45" s="7"/>
      <c r="R45" s="7"/>
      <c r="S45" s="7" t="s">
        <v>57</v>
      </c>
      <c r="T45" s="20">
        <f>SUM(T39:T44)</f>
        <v>258.01400000000001</v>
      </c>
      <c r="U45" s="13">
        <f>SUM(U39:U44)</f>
        <v>1.0000038757737013</v>
      </c>
    </row>
    <row r="46" spans="1:48" ht="16" x14ac:dyDescent="0.2">
      <c r="A46" s="6"/>
      <c r="B46" s="53">
        <f>B45/B23</f>
        <v>0.23249110480565691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ht="16" x14ac:dyDescent="0.2">
      <c r="A47" s="4"/>
      <c r="B47" s="4"/>
      <c r="C47" s="15"/>
      <c r="D47" s="16"/>
      <c r="E47" s="15"/>
      <c r="F47" s="15"/>
      <c r="G47" s="16"/>
      <c r="H47" s="15"/>
      <c r="I47" s="15"/>
      <c r="J47" s="15"/>
      <c r="K47" s="15"/>
      <c r="L47" s="15"/>
      <c r="M47" s="15"/>
      <c r="N47" s="27"/>
      <c r="O47" s="15"/>
      <c r="P47" s="15"/>
      <c r="Q47" s="27"/>
      <c r="R47" s="4"/>
      <c r="S47" s="4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7"/>
      <c r="AH47" s="4"/>
      <c r="AI47" s="4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</row>
    <row r="48" spans="1:48" ht="16" x14ac:dyDescent="0.2">
      <c r="A48" s="27"/>
      <c r="B48" s="4"/>
      <c r="C48" s="15"/>
      <c r="D48" s="16"/>
      <c r="E48" s="15"/>
      <c r="F48" s="16"/>
      <c r="G48" s="16"/>
      <c r="H48" s="15"/>
      <c r="I48" s="15"/>
      <c r="J48" s="15"/>
      <c r="K48" s="15"/>
      <c r="L48" s="15"/>
      <c r="M48" s="15"/>
      <c r="N48" s="27"/>
      <c r="O48" s="15"/>
      <c r="P48" s="15"/>
      <c r="Q48" s="27"/>
      <c r="R48" s="27"/>
      <c r="S48" s="4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7"/>
      <c r="AH48" s="27"/>
      <c r="AI48" s="4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</row>
    <row r="49" spans="1:48" ht="16" x14ac:dyDescent="0.2">
      <c r="A49" s="27"/>
      <c r="B49" s="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27"/>
      <c r="O49" s="15"/>
      <c r="P49" s="15"/>
      <c r="Q49" s="27"/>
      <c r="R49" s="27"/>
      <c r="S49" s="4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7"/>
      <c r="AH49" s="27"/>
      <c r="AI49" s="4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</row>
    <row r="50" spans="1:48" ht="16" x14ac:dyDescent="0.2">
      <c r="A50" s="27"/>
      <c r="B50" s="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27"/>
      <c r="O50" s="15"/>
      <c r="P50" s="15"/>
      <c r="Q50" s="27"/>
      <c r="R50" s="27"/>
      <c r="S50" s="4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7"/>
      <c r="AH50" s="27"/>
      <c r="AI50" s="4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</row>
    <row r="51" spans="1:48" ht="16" x14ac:dyDescent="0.2">
      <c r="A51" s="27"/>
      <c r="B51" s="78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27"/>
      <c r="O51" s="15"/>
      <c r="P51" s="15"/>
      <c r="Q51" s="27"/>
      <c r="R51" s="27"/>
      <c r="S51" s="4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7"/>
      <c r="AH51" s="27"/>
      <c r="AI51" s="4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</row>
    <row r="52" spans="1:48" ht="16" x14ac:dyDescent="0.2">
      <c r="A52" s="27"/>
      <c r="B52" s="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27"/>
      <c r="O52" s="15"/>
      <c r="P52" s="15"/>
      <c r="Q52" s="27"/>
      <c r="R52" s="27"/>
      <c r="S52" s="4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7"/>
      <c r="AH52" s="27"/>
      <c r="AI52" s="4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</row>
    <row r="53" spans="1:48" ht="16" x14ac:dyDescent="0.2">
      <c r="A53" s="27"/>
      <c r="B53" s="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27"/>
      <c r="O53" s="15"/>
      <c r="P53" s="15"/>
      <c r="Q53" s="27"/>
      <c r="R53" s="27"/>
      <c r="S53" s="4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7"/>
      <c r="AH53" s="27"/>
      <c r="AI53" s="4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</row>
    <row r="54" spans="1:48" ht="16" x14ac:dyDescent="0.2">
      <c r="A54" s="27"/>
      <c r="B54" s="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27"/>
      <c r="O54" s="15"/>
      <c r="P54" s="15"/>
      <c r="Q54" s="27"/>
      <c r="R54" s="27"/>
      <c r="S54" s="4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7"/>
      <c r="AH54" s="27"/>
      <c r="AI54" s="4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</row>
    <row r="55" spans="1:48" ht="16" x14ac:dyDescent="0.2">
      <c r="A55" s="27"/>
      <c r="B55" s="4"/>
      <c r="C55" s="15"/>
      <c r="D55" s="16"/>
      <c r="E55" s="15"/>
      <c r="F55" s="16"/>
      <c r="G55" s="15"/>
      <c r="H55" s="15"/>
      <c r="I55" s="15"/>
      <c r="J55" s="15"/>
      <c r="K55" s="15"/>
      <c r="L55" s="15"/>
      <c r="M55" s="15"/>
      <c r="N55" s="27"/>
      <c r="O55" s="15"/>
      <c r="P55" s="15"/>
      <c r="Q55" s="27"/>
      <c r="R55" s="27"/>
      <c r="S55" s="4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27"/>
      <c r="AH55" s="27"/>
      <c r="AI55" s="4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</row>
    <row r="56" spans="1:48" ht="16" x14ac:dyDescent="0.2">
      <c r="A56" s="27"/>
      <c r="B56" s="4"/>
      <c r="C56" s="15"/>
      <c r="D56" s="16"/>
      <c r="E56" s="15"/>
      <c r="F56" s="16"/>
      <c r="G56" s="15"/>
      <c r="H56" s="15"/>
      <c r="I56" s="15"/>
      <c r="J56" s="15"/>
      <c r="K56" s="15"/>
      <c r="L56" s="15"/>
      <c r="M56" s="15"/>
      <c r="N56" s="27"/>
      <c r="O56" s="15"/>
      <c r="P56" s="15"/>
      <c r="Q56" s="27"/>
      <c r="R56" s="27"/>
      <c r="S56" s="4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27"/>
      <c r="AH56" s="27"/>
      <c r="AI56" s="4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3" enableFormatConditionsCalculation="0"/>
  <dimension ref="A1:AV70"/>
  <sheetViews>
    <sheetView topLeftCell="A4" workbookViewId="0">
      <selection activeCell="U35" sqref="U35"/>
    </sheetView>
  </sheetViews>
  <sheetFormatPr baseColWidth="10" defaultColWidth="8.83203125" defaultRowHeight="15" x14ac:dyDescent="0.2"/>
  <cols>
    <col min="1" max="1" width="22.5" style="2" customWidth="1"/>
    <col min="2" max="11" width="10" style="2" customWidth="1"/>
    <col min="12" max="13" width="5.3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4" t="s">
        <v>61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5.75" x14ac:dyDescent="0.25">
      <c r="A4" s="4" t="s">
        <v>78</v>
      </c>
      <c r="B4" s="74">
        <v>15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5.75" x14ac:dyDescent="0.25">
      <c r="A8" s="4" t="s">
        <v>13</v>
      </c>
      <c r="B8" s="8">
        <v>131036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5.75" x14ac:dyDescent="0.25">
      <c r="A9" s="4" t="s">
        <v>14</v>
      </c>
      <c r="B9" s="63">
        <v>114889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15</v>
      </c>
      <c r="B10" s="63">
        <f>SUM(B4:B9)</f>
        <v>245940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27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5.75" x14ac:dyDescent="0.25">
      <c r="A14" s="4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8">
        <v>27856</v>
      </c>
      <c r="C18" s="8">
        <v>119</v>
      </c>
      <c r="D18" s="8">
        <v>0</v>
      </c>
      <c r="E18" s="8">
        <v>0</v>
      </c>
      <c r="F18" s="8">
        <v>0</v>
      </c>
      <c r="G18" s="8">
        <v>28289</v>
      </c>
      <c r="H18" s="8">
        <v>0</v>
      </c>
      <c r="I18" s="8"/>
      <c r="J18" s="8"/>
      <c r="K18" s="8"/>
      <c r="L18" s="8"/>
      <c r="M18" s="8"/>
      <c r="N18" s="8"/>
      <c r="O18" s="8">
        <v>28409</v>
      </c>
      <c r="P18" s="3"/>
      <c r="Q18" s="3"/>
      <c r="R18" s="3"/>
      <c r="S18" s="3"/>
      <c r="T18" s="3"/>
      <c r="U18" s="3"/>
    </row>
    <row r="19" spans="1:21" ht="16" x14ac:dyDescent="0.2">
      <c r="A19" s="4" t="s">
        <v>21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/>
      <c r="T19" s="3"/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 t="s">
        <v>25</v>
      </c>
      <c r="T21" s="11">
        <f>O42/1000</f>
        <v>713.78023999999994</v>
      </c>
      <c r="U21" s="3"/>
    </row>
    <row r="22" spans="1:21" ht="16" x14ac:dyDescent="0.2">
      <c r="A22" s="4" t="s">
        <v>24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3"/>
      <c r="T22" s="3"/>
      <c r="U22" s="3"/>
    </row>
    <row r="23" spans="1:21" ht="16" x14ac:dyDescent="0.2">
      <c r="A23" s="4" t="s">
        <v>15</v>
      </c>
      <c r="B23" s="8">
        <v>27856</v>
      </c>
      <c r="C23" s="8">
        <v>119</v>
      </c>
      <c r="D23" s="8">
        <v>0</v>
      </c>
      <c r="E23" s="8">
        <v>0</v>
      </c>
      <c r="F23" s="8">
        <v>0</v>
      </c>
      <c r="G23" s="8">
        <v>28289</v>
      </c>
      <c r="H23" s="8">
        <v>0</v>
      </c>
      <c r="I23" s="8"/>
      <c r="J23" s="8"/>
      <c r="K23" s="8"/>
      <c r="L23" s="8"/>
      <c r="M23" s="8"/>
      <c r="N23" s="8"/>
      <c r="O23" s="8">
        <v>28409</v>
      </c>
      <c r="P23" s="3"/>
      <c r="Q23" s="3"/>
      <c r="R23" s="3"/>
      <c r="S23" s="3"/>
      <c r="T23" s="3" t="s">
        <v>26</v>
      </c>
      <c r="U23" s="3" t="s">
        <v>27</v>
      </c>
    </row>
    <row r="24" spans="1:21" ht="16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9</v>
      </c>
      <c r="T24" s="12">
        <f>N42/1000</f>
        <v>301.35023999999999</v>
      </c>
      <c r="U24" s="13">
        <f>N43</f>
        <v>0.42218910403011434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58</v>
      </c>
      <c r="T25" s="12">
        <f>G42/1000</f>
        <v>151.273</v>
      </c>
      <c r="U25" s="14">
        <f>G43</f>
        <v>0.21193217677194315</v>
      </c>
    </row>
    <row r="26" spans="1:21" ht="16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6</v>
      </c>
      <c r="T26" s="12">
        <f>J42/1000</f>
        <v>0</v>
      </c>
      <c r="U26" s="13">
        <f>J43</f>
        <v>0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30</v>
      </c>
      <c r="T27" s="12">
        <f>F42/1000</f>
        <v>18.977</v>
      </c>
      <c r="U27" s="13">
        <f>F43</f>
        <v>2.6586614389885604E-2</v>
      </c>
    </row>
    <row r="28" spans="1:21" ht="16" x14ac:dyDescent="0.2">
      <c r="A28" s="4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3</v>
      </c>
      <c r="T28" s="11">
        <f>E42/1000</f>
        <v>0</v>
      </c>
      <c r="U28" s="13">
        <f>E43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2" t="s">
        <v>2</v>
      </c>
      <c r="T29" s="2">
        <f>D42/1000</f>
        <v>0</v>
      </c>
      <c r="U29" s="46">
        <f>D43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7</v>
      </c>
      <c r="T30" s="2">
        <f>K42/1000</f>
        <v>0</v>
      </c>
      <c r="U30" s="46">
        <f>K43</f>
        <v>0</v>
      </c>
    </row>
    <row r="31" spans="1:21" ht="16" x14ac:dyDescent="0.2">
      <c r="A31" s="4" t="s">
        <v>32</v>
      </c>
      <c r="B31" s="8">
        <v>0</v>
      </c>
      <c r="C31" s="8">
        <v>1770</v>
      </c>
      <c r="D31" s="8">
        <v>0</v>
      </c>
      <c r="E31" s="8">
        <v>0</v>
      </c>
      <c r="F31" s="8">
        <v>179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647</v>
      </c>
      <c r="O31" s="8">
        <v>2596</v>
      </c>
      <c r="P31" s="17">
        <f>O31/O$39</f>
        <v>3.7682418067413064E-3</v>
      </c>
      <c r="Q31" s="18" t="s">
        <v>33</v>
      </c>
      <c r="R31" s="3"/>
      <c r="S31" s="3" t="s">
        <v>4</v>
      </c>
      <c r="T31" s="12">
        <f>I42/1000</f>
        <v>0</v>
      </c>
      <c r="U31" s="13">
        <f>I43</f>
        <v>0</v>
      </c>
    </row>
    <row r="32" spans="1:21" ht="16" x14ac:dyDescent="0.2">
      <c r="A32" s="4" t="s">
        <v>35</v>
      </c>
      <c r="B32" s="8">
        <v>5786</v>
      </c>
      <c r="C32" s="69">
        <f>31*9.95</f>
        <v>308.45</v>
      </c>
      <c r="D32" s="8">
        <v>0</v>
      </c>
      <c r="E32" s="8">
        <v>0</v>
      </c>
      <c r="F32" s="8">
        <v>0</v>
      </c>
      <c r="G32" s="67">
        <f>143600*0.65</f>
        <v>93340</v>
      </c>
      <c r="H32" s="8">
        <v>0</v>
      </c>
      <c r="I32" s="8"/>
      <c r="J32" s="8"/>
      <c r="K32" s="8"/>
      <c r="L32" s="8"/>
      <c r="M32" s="27"/>
      <c r="N32" s="8">
        <v>38538</v>
      </c>
      <c r="O32" s="67">
        <f>SUM(B32:N32)</f>
        <v>137972.45000000001</v>
      </c>
      <c r="P32" s="17">
        <f>O32/O$39</f>
        <v>0.20027486682146556</v>
      </c>
      <c r="Q32" s="18" t="s">
        <v>36</v>
      </c>
      <c r="R32" s="3"/>
      <c r="S32" s="3" t="s">
        <v>5</v>
      </c>
      <c r="T32" s="12">
        <f>H42/1000</f>
        <v>0</v>
      </c>
      <c r="U32" s="13">
        <f>H43</f>
        <v>0</v>
      </c>
    </row>
    <row r="33" spans="1:48" ht="16" x14ac:dyDescent="0.2">
      <c r="A33" s="4" t="s">
        <v>37</v>
      </c>
      <c r="B33" s="8">
        <v>8284</v>
      </c>
      <c r="C33" s="8">
        <v>5263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49607</v>
      </c>
      <c r="O33" s="8">
        <v>63154</v>
      </c>
      <c r="P33" s="17">
        <f>O33/O$39</f>
        <v>9.1671626757681229E-2</v>
      </c>
      <c r="Q33" s="18" t="s">
        <v>38</v>
      </c>
      <c r="R33" s="3"/>
      <c r="S33" s="3" t="s">
        <v>34</v>
      </c>
      <c r="T33" s="12">
        <f>C42/1000</f>
        <v>242.18</v>
      </c>
      <c r="U33" s="14">
        <f>C43</f>
        <v>0.33929210480805688</v>
      </c>
    </row>
    <row r="34" spans="1:48" ht="16" x14ac:dyDescent="0.2">
      <c r="A34" s="4" t="s">
        <v>39</v>
      </c>
      <c r="B34" s="8">
        <v>0</v>
      </c>
      <c r="C34" s="8">
        <v>231296</v>
      </c>
      <c r="D34" s="8">
        <v>0</v>
      </c>
      <c r="E34" s="8">
        <v>0</v>
      </c>
      <c r="F34" s="8">
        <v>18798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356</v>
      </c>
      <c r="O34" s="8">
        <v>250451</v>
      </c>
      <c r="P34" s="17">
        <f>O34/O$39</f>
        <v>0.36354388626354661</v>
      </c>
      <c r="Q34" s="18" t="s">
        <v>40</v>
      </c>
      <c r="R34" s="3"/>
      <c r="S34" s="3"/>
      <c r="T34" s="12">
        <f>SUM(T24:T33)</f>
        <v>713.78024000000005</v>
      </c>
      <c r="U34" s="13">
        <f>SUM(U24:U33)</f>
        <v>1</v>
      </c>
    </row>
    <row r="35" spans="1:48" ht="16" x14ac:dyDescent="0.2">
      <c r="A35" s="4" t="s">
        <v>41</v>
      </c>
      <c r="B35" s="8">
        <v>4768</v>
      </c>
      <c r="C35" s="8">
        <v>2628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47717</v>
      </c>
      <c r="O35" s="8">
        <v>55113</v>
      </c>
      <c r="P35" s="17">
        <f>O35/O$39</f>
        <v>7.9999657432563029E-2</v>
      </c>
      <c r="Q35" s="18" t="s">
        <v>42</v>
      </c>
      <c r="R35" s="18"/>
    </row>
    <row r="36" spans="1:48" ht="16" x14ac:dyDescent="0.2">
      <c r="A36" s="4" t="s">
        <v>43</v>
      </c>
      <c r="B36" s="8">
        <v>0</v>
      </c>
      <c r="C36" s="55">
        <f>O36-SUM(D36:N36)</f>
        <v>766</v>
      </c>
      <c r="D36" s="8">
        <v>0</v>
      </c>
      <c r="E36" s="8">
        <v>0</v>
      </c>
      <c r="F36" s="8">
        <v>0</v>
      </c>
      <c r="G36" s="55">
        <v>29644</v>
      </c>
      <c r="H36" s="8">
        <v>0</v>
      </c>
      <c r="I36" s="8"/>
      <c r="J36" s="8"/>
      <c r="K36" s="8"/>
      <c r="L36" s="8"/>
      <c r="M36" s="27"/>
      <c r="N36" s="8">
        <v>55276</v>
      </c>
      <c r="O36" s="8">
        <v>85686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8">
        <v>7026</v>
      </c>
      <c r="C37" s="8">
        <v>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19078</v>
      </c>
      <c r="O37" s="8">
        <v>26134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67809</v>
      </c>
      <c r="O38" s="8">
        <v>67809</v>
      </c>
      <c r="P38" s="18">
        <f>SUM(P31:P35)</f>
        <v>0.7392582790819977</v>
      </c>
      <c r="Q38" s="18"/>
      <c r="R38" s="3"/>
      <c r="S38" s="7" t="s">
        <v>46</v>
      </c>
      <c r="T38" s="19">
        <f>O45/1000</f>
        <v>24.314240000000002</v>
      </c>
      <c r="U38" s="7"/>
    </row>
    <row r="39" spans="1:48" ht="16" x14ac:dyDescent="0.2">
      <c r="A39" s="4" t="s">
        <v>15</v>
      </c>
      <c r="B39" s="8">
        <v>25864</v>
      </c>
      <c r="C39" s="8">
        <v>242061</v>
      </c>
      <c r="D39" s="8">
        <v>0</v>
      </c>
      <c r="E39" s="8">
        <v>0</v>
      </c>
      <c r="F39" s="8">
        <v>18977</v>
      </c>
      <c r="G39" s="68">
        <f>G32+G36</f>
        <v>122984</v>
      </c>
      <c r="H39" s="8">
        <v>0</v>
      </c>
      <c r="I39" s="8"/>
      <c r="J39" s="8"/>
      <c r="K39" s="8"/>
      <c r="L39" s="8"/>
      <c r="M39" s="27"/>
      <c r="N39" s="8">
        <v>279028</v>
      </c>
      <c r="O39" s="67">
        <f>SUM(O31:O38)</f>
        <v>688915.45</v>
      </c>
      <c r="P39" s="3"/>
      <c r="Q39" s="3"/>
      <c r="R39" s="3"/>
      <c r="S39" s="7" t="s">
        <v>47</v>
      </c>
      <c r="T39" s="20">
        <f>O41/1000</f>
        <v>179.62899999999999</v>
      </c>
      <c r="U39" s="13">
        <f>P41</f>
        <v>0.26074172091800235</v>
      </c>
    </row>
    <row r="40" spans="1:48" x14ac:dyDescent="0.2"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S40" s="7" t="s">
        <v>48</v>
      </c>
      <c r="T40" s="20">
        <f>O35/1000</f>
        <v>55.113</v>
      </c>
      <c r="U40" s="14">
        <f>P35</f>
        <v>7.9999657432563029E-2</v>
      </c>
    </row>
    <row r="41" spans="1:48" ht="16" x14ac:dyDescent="0.2">
      <c r="A41" s="21" t="s">
        <v>49</v>
      </c>
      <c r="B41" s="22">
        <f>B38+B37+B36</f>
        <v>7026</v>
      </c>
      <c r="C41" s="22">
        <f t="shared" ref="C41:O41" si="0">C38+C37+C36</f>
        <v>796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29644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142163</v>
      </c>
      <c r="O41" s="22">
        <f t="shared" si="0"/>
        <v>179629</v>
      </c>
      <c r="P41" s="17">
        <f>O41/O$39</f>
        <v>0.26074172091800235</v>
      </c>
      <c r="Q41" s="17" t="s">
        <v>50</v>
      </c>
      <c r="R41" s="7"/>
      <c r="S41" s="7" t="s">
        <v>51</v>
      </c>
      <c r="T41" s="20">
        <f>O33/1000</f>
        <v>63.154000000000003</v>
      </c>
      <c r="U41" s="13">
        <f>P33</f>
        <v>9.1671626757681229E-2</v>
      </c>
    </row>
    <row r="42" spans="1:48" ht="16" x14ac:dyDescent="0.2">
      <c r="A42" s="23" t="s">
        <v>52</v>
      </c>
      <c r="B42" s="22"/>
      <c r="C42" s="24">
        <f>C39+C23+C10</f>
        <v>242180</v>
      </c>
      <c r="D42" s="24">
        <f t="shared" ref="D42:M42" si="1">D39+D23+D10</f>
        <v>0</v>
      </c>
      <c r="E42" s="24">
        <f t="shared" si="1"/>
        <v>0</v>
      </c>
      <c r="F42" s="24">
        <f t="shared" si="1"/>
        <v>18977</v>
      </c>
      <c r="G42" s="24">
        <f t="shared" si="1"/>
        <v>151273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301350.24</v>
      </c>
      <c r="O42" s="25">
        <f>SUM(C42:N42)</f>
        <v>713780.24</v>
      </c>
      <c r="P42" s="7"/>
      <c r="Q42" s="7"/>
      <c r="R42" s="7"/>
      <c r="S42" s="7" t="s">
        <v>33</v>
      </c>
      <c r="T42" s="20">
        <f>O31/1000</f>
        <v>2.5960000000000001</v>
      </c>
      <c r="U42" s="13">
        <f>P31</f>
        <v>3.7682418067413064E-3</v>
      </c>
    </row>
    <row r="43" spans="1:48" ht="16" x14ac:dyDescent="0.2">
      <c r="A43" s="23" t="s">
        <v>53</v>
      </c>
      <c r="B43" s="22"/>
      <c r="C43" s="17">
        <f t="shared" ref="C43:N43" si="2">C42/$O42</f>
        <v>0.33929210480805688</v>
      </c>
      <c r="D43" s="17">
        <f t="shared" si="2"/>
        <v>0</v>
      </c>
      <c r="E43" s="17">
        <f t="shared" si="2"/>
        <v>0</v>
      </c>
      <c r="F43" s="17">
        <f t="shared" si="2"/>
        <v>2.6586614389885604E-2</v>
      </c>
      <c r="G43" s="17">
        <f t="shared" si="2"/>
        <v>0.21193217677194315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0.42218910403011434</v>
      </c>
      <c r="O43" s="17">
        <f>SUM(C43:N43)</f>
        <v>0.99999999999999989</v>
      </c>
      <c r="P43" s="7"/>
      <c r="Q43" s="7"/>
      <c r="R43" s="7"/>
      <c r="S43" s="7" t="s">
        <v>54</v>
      </c>
      <c r="T43" s="20">
        <f>O32/1000</f>
        <v>137.97245000000001</v>
      </c>
      <c r="U43" s="14">
        <f>P32</f>
        <v>0.20027486682146556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250.45099999999999</v>
      </c>
      <c r="U44" s="14">
        <f>P34</f>
        <v>0.36354388626354661</v>
      </c>
    </row>
    <row r="45" spans="1:48" ht="16" x14ac:dyDescent="0.2">
      <c r="A45" s="6" t="s">
        <v>56</v>
      </c>
      <c r="B45" s="6">
        <f>B23-B39</f>
        <v>1992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22322.240000000002</v>
      </c>
      <c r="O45" s="25">
        <f>B45+N45</f>
        <v>24314.240000000002</v>
      </c>
      <c r="P45" s="7"/>
      <c r="Q45" s="7"/>
      <c r="R45" s="7"/>
      <c r="S45" s="7" t="s">
        <v>57</v>
      </c>
      <c r="T45" s="20">
        <f>SUM(T39:T44)</f>
        <v>688.91545000000008</v>
      </c>
      <c r="U45" s="13">
        <f>SUM(U39:U44)</f>
        <v>1</v>
      </c>
    </row>
    <row r="46" spans="1:48" ht="16" x14ac:dyDescent="0.2">
      <c r="A46" s="6"/>
      <c r="B46" s="53">
        <f>B45/B23</f>
        <v>7.151062607696726E-2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ht="16" x14ac:dyDescent="0.2">
      <c r="A47" s="4"/>
      <c r="B47" s="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27"/>
      <c r="O47" s="15"/>
      <c r="P47" s="15"/>
      <c r="Q47" s="27"/>
      <c r="R47" s="4"/>
      <c r="S47" s="4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7"/>
      <c r="AH47" s="4"/>
      <c r="AI47" s="4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</row>
    <row r="48" spans="1:48" ht="16" x14ac:dyDescent="0.2">
      <c r="A48" s="27"/>
      <c r="B48" s="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27"/>
      <c r="O48" s="15"/>
      <c r="P48" s="15"/>
      <c r="Q48" s="27"/>
      <c r="R48" s="27"/>
      <c r="S48" s="4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7"/>
      <c r="AH48" s="27"/>
      <c r="AI48" s="4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</row>
    <row r="49" spans="1:48" ht="16" x14ac:dyDescent="0.2">
      <c r="A49" s="27"/>
      <c r="B49" s="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27"/>
      <c r="O49" s="15"/>
      <c r="P49" s="15"/>
      <c r="Q49" s="27"/>
      <c r="R49" s="27"/>
      <c r="S49" s="4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7"/>
      <c r="AH49" s="27"/>
      <c r="AI49" s="4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</row>
    <row r="50" spans="1:48" ht="16" x14ac:dyDescent="0.2">
      <c r="A50" s="27"/>
      <c r="B50" s="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27"/>
      <c r="O50" s="15"/>
      <c r="P50" s="15"/>
      <c r="Q50" s="27"/>
      <c r="R50" s="27"/>
      <c r="S50" s="4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7"/>
      <c r="AH50" s="27"/>
      <c r="AI50" s="4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</row>
    <row r="51" spans="1:48" ht="16" x14ac:dyDescent="0.2">
      <c r="A51" s="27"/>
      <c r="B51" s="78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27"/>
      <c r="O51" s="15"/>
      <c r="P51" s="15"/>
      <c r="Q51" s="27"/>
      <c r="R51" s="27"/>
      <c r="S51" s="4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7"/>
      <c r="AH51" s="27"/>
      <c r="AI51" s="4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</row>
    <row r="52" spans="1:48" ht="16" x14ac:dyDescent="0.2">
      <c r="A52" s="27"/>
      <c r="B52" s="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27"/>
      <c r="O52" s="15"/>
      <c r="P52" s="15"/>
      <c r="Q52" s="27"/>
      <c r="R52" s="27"/>
      <c r="S52" s="4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7"/>
      <c r="AH52" s="27"/>
      <c r="AI52" s="4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</row>
    <row r="53" spans="1:48" ht="16" x14ac:dyDescent="0.2">
      <c r="A53" s="27"/>
      <c r="B53" s="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27"/>
      <c r="O53" s="15"/>
      <c r="P53" s="15"/>
      <c r="Q53" s="27"/>
      <c r="R53" s="27"/>
      <c r="S53" s="4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7"/>
      <c r="AH53" s="27"/>
      <c r="AI53" s="4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</row>
    <row r="54" spans="1:48" ht="16" x14ac:dyDescent="0.2">
      <c r="A54" s="27"/>
      <c r="B54" s="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27"/>
      <c r="O54" s="15"/>
      <c r="P54" s="15"/>
      <c r="Q54" s="27"/>
      <c r="R54" s="27"/>
      <c r="S54" s="4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7"/>
      <c r="AH54" s="27"/>
      <c r="AI54" s="4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</row>
    <row r="55" spans="1:48" ht="16" x14ac:dyDescent="0.2">
      <c r="A55" s="27"/>
      <c r="B55" s="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27"/>
      <c r="O55" s="15"/>
      <c r="P55" s="15"/>
      <c r="Q55" s="27"/>
      <c r="R55" s="27"/>
      <c r="S55" s="4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27"/>
      <c r="AH55" s="27"/>
      <c r="AI55" s="4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</row>
    <row r="56" spans="1:48" ht="16" x14ac:dyDescent="0.2">
      <c r="A56" s="27"/>
      <c r="B56" s="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27"/>
      <c r="O56" s="15"/>
      <c r="P56" s="15"/>
      <c r="Q56" s="27"/>
      <c r="R56" s="27"/>
      <c r="S56" s="4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27"/>
      <c r="AH56" s="27"/>
      <c r="AI56" s="4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4" enableFormatConditionsCalculation="0"/>
  <dimension ref="A1:AV70"/>
  <sheetViews>
    <sheetView topLeftCell="A4" workbookViewId="0">
      <selection activeCell="U35" sqref="U35"/>
    </sheetView>
  </sheetViews>
  <sheetFormatPr baseColWidth="10" defaultColWidth="8.83203125" defaultRowHeight="15" x14ac:dyDescent="0.2"/>
  <cols>
    <col min="1" max="1" width="22.5" style="2" customWidth="1"/>
    <col min="2" max="11" width="10" style="2" customWidth="1"/>
    <col min="12" max="13" width="5.3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62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5.75" x14ac:dyDescent="0.25">
      <c r="A4" s="4" t="s">
        <v>78</v>
      </c>
      <c r="B4" s="74">
        <v>93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5.75" x14ac:dyDescent="0.25">
      <c r="A8" s="4" t="s">
        <v>13</v>
      </c>
      <c r="B8" s="8">
        <v>310237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5.75" x14ac:dyDescent="0.25">
      <c r="A9" s="4" t="s">
        <v>14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15</v>
      </c>
      <c r="B10" s="8">
        <f>SUM(B4:B9)</f>
        <v>310330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27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5.75" x14ac:dyDescent="0.25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/>
      <c r="J18" s="8"/>
      <c r="K18" s="8"/>
      <c r="L18" s="8"/>
      <c r="M18" s="8"/>
      <c r="N18" s="8"/>
      <c r="O18" s="8">
        <v>0</v>
      </c>
      <c r="P18" s="3"/>
      <c r="Q18" s="3"/>
      <c r="R18" s="3"/>
      <c r="S18" s="3"/>
      <c r="T18" s="3"/>
      <c r="U18" s="3"/>
    </row>
    <row r="19" spans="1:21" ht="15.75" x14ac:dyDescent="0.25">
      <c r="A19" s="4" t="s">
        <v>21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/>
      <c r="T19" s="3"/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 t="s">
        <v>25</v>
      </c>
      <c r="T21" s="11">
        <f>O42/1000</f>
        <v>332.15652</v>
      </c>
      <c r="U21" s="3"/>
    </row>
    <row r="22" spans="1:21" ht="16" x14ac:dyDescent="0.2">
      <c r="A22" s="4" t="s">
        <v>24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3"/>
      <c r="T22" s="3"/>
      <c r="U22" s="3"/>
    </row>
    <row r="23" spans="1:21" ht="16" x14ac:dyDescent="0.2">
      <c r="A23" s="4" t="s">
        <v>15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/>
      <c r="J23" s="8"/>
      <c r="K23" s="8"/>
      <c r="L23" s="8"/>
      <c r="M23" s="8"/>
      <c r="N23" s="8"/>
      <c r="O23" s="8">
        <v>0</v>
      </c>
      <c r="P23" s="3"/>
      <c r="Q23" s="3"/>
      <c r="R23" s="3"/>
      <c r="S23" s="3"/>
      <c r="T23" s="3" t="s">
        <v>26</v>
      </c>
      <c r="U23" s="3" t="s">
        <v>27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9</v>
      </c>
      <c r="T24" s="12">
        <f>N42/1000</f>
        <v>113.44752</v>
      </c>
      <c r="U24" s="13">
        <f>N43</f>
        <v>0.3415483760487375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58</v>
      </c>
      <c r="T25" s="12">
        <f>G42/1000</f>
        <v>95.302999999999997</v>
      </c>
      <c r="U25" s="14">
        <f>G43</f>
        <v>0.28692196076717086</v>
      </c>
    </row>
    <row r="26" spans="1:21" ht="16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6</v>
      </c>
      <c r="T26" s="12">
        <f>J42/1000</f>
        <v>0</v>
      </c>
      <c r="U26" s="13">
        <f>J43</f>
        <v>0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30</v>
      </c>
      <c r="T27" s="12">
        <f>F42/1000</f>
        <v>9.2880000000000003</v>
      </c>
      <c r="U27" s="13">
        <f>F43</f>
        <v>2.7962720707695274E-2</v>
      </c>
    </row>
    <row r="28" spans="1:21" ht="16" x14ac:dyDescent="0.2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3</v>
      </c>
      <c r="T28" s="11">
        <f>E42/1000</f>
        <v>0</v>
      </c>
      <c r="U28" s="13">
        <f>E43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2" t="s">
        <v>2</v>
      </c>
      <c r="T29" s="2">
        <f>D42/1000</f>
        <v>0</v>
      </c>
      <c r="U29" s="46">
        <f>D43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7</v>
      </c>
      <c r="T30" s="2">
        <f>K42/1000</f>
        <v>0</v>
      </c>
      <c r="U30" s="46">
        <f>K43</f>
        <v>0</v>
      </c>
    </row>
    <row r="31" spans="1:21" ht="16" x14ac:dyDescent="0.2">
      <c r="A31" s="4" t="s">
        <v>32</v>
      </c>
      <c r="B31" s="8">
        <v>0</v>
      </c>
      <c r="C31" s="8">
        <v>2561</v>
      </c>
      <c r="D31" s="8">
        <v>0</v>
      </c>
      <c r="E31" s="8">
        <v>0</v>
      </c>
      <c r="F31" s="8">
        <v>265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2447</v>
      </c>
      <c r="O31" s="8">
        <v>5273</v>
      </c>
      <c r="P31" s="17">
        <f>O31/O$39</f>
        <v>1.6287057457205163E-2</v>
      </c>
      <c r="Q31" s="18" t="s">
        <v>33</v>
      </c>
      <c r="R31" s="3"/>
      <c r="S31" s="3" t="s">
        <v>4</v>
      </c>
      <c r="T31" s="12">
        <f>I42/1000</f>
        <v>0</v>
      </c>
      <c r="U31" s="13">
        <f>I43</f>
        <v>0</v>
      </c>
    </row>
    <row r="32" spans="1:21" ht="16" x14ac:dyDescent="0.2">
      <c r="A32" s="4" t="s">
        <v>35</v>
      </c>
      <c r="B32" s="8">
        <v>0</v>
      </c>
      <c r="C32" s="8">
        <v>844</v>
      </c>
      <c r="D32" s="8">
        <v>0</v>
      </c>
      <c r="E32" s="8">
        <v>0</v>
      </c>
      <c r="F32" s="8">
        <v>0</v>
      </c>
      <c r="G32" s="55">
        <f>G39-G36</f>
        <v>53703</v>
      </c>
      <c r="H32" s="8">
        <v>0</v>
      </c>
      <c r="I32" s="8"/>
      <c r="J32" s="8"/>
      <c r="K32" s="8"/>
      <c r="L32" s="8"/>
      <c r="M32" s="27"/>
      <c r="N32" s="8">
        <v>23766</v>
      </c>
      <c r="O32" s="55">
        <f>SUM(B32:N32)</f>
        <v>78313</v>
      </c>
      <c r="P32" s="17">
        <f>O32/O$39</f>
        <v>0.24189044768558843</v>
      </c>
      <c r="Q32" s="18" t="s">
        <v>36</v>
      </c>
      <c r="R32" s="3"/>
      <c r="S32" s="3" t="s">
        <v>5</v>
      </c>
      <c r="T32" s="12">
        <f>H42/1000</f>
        <v>0</v>
      </c>
      <c r="U32" s="13">
        <f>H43</f>
        <v>0</v>
      </c>
    </row>
    <row r="33" spans="1:48" ht="16" x14ac:dyDescent="0.2">
      <c r="A33" s="4" t="s">
        <v>37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8651</v>
      </c>
      <c r="O33" s="8">
        <v>8651</v>
      </c>
      <c r="P33" s="17">
        <f>O33/O$39</f>
        <v>2.6720905378775243E-2</v>
      </c>
      <c r="Q33" s="18" t="s">
        <v>38</v>
      </c>
      <c r="R33" s="3"/>
      <c r="S33" s="3" t="s">
        <v>34</v>
      </c>
      <c r="T33" s="12">
        <f>C42/1000</f>
        <v>114.11799999999999</v>
      </c>
      <c r="U33" s="14">
        <f>C43</f>
        <v>0.34356694247639635</v>
      </c>
    </row>
    <row r="34" spans="1:48" ht="16" x14ac:dyDescent="0.2">
      <c r="A34" s="4" t="s">
        <v>39</v>
      </c>
      <c r="B34" s="8">
        <v>0</v>
      </c>
      <c r="C34" s="8">
        <v>109457</v>
      </c>
      <c r="D34" s="8">
        <v>0</v>
      </c>
      <c r="E34" s="8">
        <v>0</v>
      </c>
      <c r="F34" s="8">
        <v>9023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263</v>
      </c>
      <c r="O34" s="8">
        <v>118743</v>
      </c>
      <c r="P34" s="17">
        <f>O34/O$39</f>
        <v>0.36676921366222504</v>
      </c>
      <c r="Q34" s="18" t="s">
        <v>40</v>
      </c>
      <c r="R34" s="3"/>
      <c r="S34" s="3"/>
      <c r="T34" s="12">
        <f>SUM(T24:T33)</f>
        <v>332.15652</v>
      </c>
      <c r="U34" s="13">
        <f>SUM(U24:U33)</f>
        <v>1</v>
      </c>
    </row>
    <row r="35" spans="1:48" ht="16" x14ac:dyDescent="0.2">
      <c r="A35" s="4" t="s">
        <v>41</v>
      </c>
      <c r="B35" s="8">
        <v>0</v>
      </c>
      <c r="C35" s="8">
        <v>657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10921</v>
      </c>
      <c r="O35" s="8">
        <v>11578</v>
      </c>
      <c r="P35" s="17">
        <f>O35/O$39</f>
        <v>3.5761720318513442E-2</v>
      </c>
      <c r="Q35" s="18" t="s">
        <v>42</v>
      </c>
      <c r="R35" s="18"/>
    </row>
    <row r="36" spans="1:48" ht="16" x14ac:dyDescent="0.2">
      <c r="A36" s="4" t="s">
        <v>43</v>
      </c>
      <c r="B36" s="8">
        <v>0</v>
      </c>
      <c r="C36" s="8">
        <v>600</v>
      </c>
      <c r="D36" s="8">
        <v>0</v>
      </c>
      <c r="E36" s="8">
        <v>0</v>
      </c>
      <c r="F36" s="8">
        <v>0</v>
      </c>
      <c r="G36" s="55">
        <v>41600</v>
      </c>
      <c r="H36" s="8">
        <v>0</v>
      </c>
      <c r="I36" s="8"/>
      <c r="J36" s="8"/>
      <c r="K36" s="8"/>
      <c r="L36" s="8"/>
      <c r="M36" s="27"/>
      <c r="N36" s="8">
        <v>52845</v>
      </c>
      <c r="O36" s="55">
        <f>SUM(B36:N36)</f>
        <v>95045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1176</v>
      </c>
      <c r="O37" s="8">
        <v>1176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4975</v>
      </c>
      <c r="O38" s="8">
        <v>4975</v>
      </c>
      <c r="P38" s="18">
        <f>SUM(P31:P35)</f>
        <v>0.6874293445023073</v>
      </c>
      <c r="Q38" s="18"/>
      <c r="R38" s="3"/>
      <c r="S38" s="7" t="s">
        <v>46</v>
      </c>
      <c r="T38" s="19">
        <f>O45/1000</f>
        <v>8.4035200000000003</v>
      </c>
      <c r="U38" s="7"/>
    </row>
    <row r="39" spans="1:48" ht="16" x14ac:dyDescent="0.2">
      <c r="A39" s="4" t="s">
        <v>15</v>
      </c>
      <c r="B39" s="8">
        <v>0</v>
      </c>
      <c r="C39" s="8">
        <v>114118</v>
      </c>
      <c r="D39" s="8">
        <v>0</v>
      </c>
      <c r="E39" s="8">
        <v>0</v>
      </c>
      <c r="F39" s="8">
        <v>9288</v>
      </c>
      <c r="G39" s="8">
        <v>95303</v>
      </c>
      <c r="H39" s="8">
        <v>0</v>
      </c>
      <c r="I39" s="8"/>
      <c r="J39" s="8"/>
      <c r="K39" s="8"/>
      <c r="L39" s="8"/>
      <c r="M39" s="27"/>
      <c r="N39" s="8">
        <v>105044</v>
      </c>
      <c r="O39" s="8">
        <v>323754</v>
      </c>
      <c r="P39" s="3"/>
      <c r="Q39" s="3"/>
      <c r="R39" s="3"/>
      <c r="S39" s="7" t="s">
        <v>47</v>
      </c>
      <c r="T39" s="20">
        <f>O41/1000</f>
        <v>101.196</v>
      </c>
      <c r="U39" s="13">
        <f>P41</f>
        <v>0.3125706554976927</v>
      </c>
    </row>
    <row r="40" spans="1:48" x14ac:dyDescent="0.2"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S40" s="7" t="s">
        <v>48</v>
      </c>
      <c r="T40" s="20">
        <f>O35/1000</f>
        <v>11.577999999999999</v>
      </c>
      <c r="U40" s="14">
        <f>P35</f>
        <v>3.5761720318513442E-2</v>
      </c>
    </row>
    <row r="41" spans="1:48" ht="16" x14ac:dyDescent="0.2">
      <c r="A41" s="21" t="s">
        <v>49</v>
      </c>
      <c r="B41" s="22">
        <f>B38+B37+B36</f>
        <v>0</v>
      </c>
      <c r="C41" s="22">
        <f t="shared" ref="C41:O41" si="0">C38+C37+C36</f>
        <v>600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41600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58996</v>
      </c>
      <c r="O41" s="22">
        <f t="shared" si="0"/>
        <v>101196</v>
      </c>
      <c r="P41" s="17">
        <f>O41/O$39</f>
        <v>0.3125706554976927</v>
      </c>
      <c r="Q41" s="17" t="s">
        <v>50</v>
      </c>
      <c r="R41" s="7"/>
      <c r="S41" s="7" t="s">
        <v>51</v>
      </c>
      <c r="T41" s="20">
        <f>O33/1000</f>
        <v>8.6509999999999998</v>
      </c>
      <c r="U41" s="13">
        <f>P33</f>
        <v>2.6720905378775243E-2</v>
      </c>
    </row>
    <row r="42" spans="1:48" ht="16" x14ac:dyDescent="0.2">
      <c r="A42" s="23" t="s">
        <v>52</v>
      </c>
      <c r="B42" s="22"/>
      <c r="C42" s="24">
        <f>C39+C23+C10</f>
        <v>114118</v>
      </c>
      <c r="D42" s="24">
        <f t="shared" ref="D42:M42" si="1">D39+D23+D10</f>
        <v>0</v>
      </c>
      <c r="E42" s="24">
        <f t="shared" si="1"/>
        <v>0</v>
      </c>
      <c r="F42" s="24">
        <f t="shared" si="1"/>
        <v>9288</v>
      </c>
      <c r="G42" s="24">
        <f t="shared" si="1"/>
        <v>95303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113447.52</v>
      </c>
      <c r="O42" s="25">
        <f>SUM(C42:N42)</f>
        <v>332156.52</v>
      </c>
      <c r="P42" s="7"/>
      <c r="Q42" s="7"/>
      <c r="R42" s="7"/>
      <c r="S42" s="7" t="s">
        <v>33</v>
      </c>
      <c r="T42" s="20">
        <f>O31/1000</f>
        <v>5.2729999999999997</v>
      </c>
      <c r="U42" s="13">
        <f>P31</f>
        <v>1.6287057457205163E-2</v>
      </c>
    </row>
    <row r="43" spans="1:48" ht="16" x14ac:dyDescent="0.2">
      <c r="A43" s="23" t="s">
        <v>53</v>
      </c>
      <c r="B43" s="22"/>
      <c r="C43" s="17">
        <f t="shared" ref="C43:N43" si="2">C42/$O42</f>
        <v>0.34356694247639635</v>
      </c>
      <c r="D43" s="17">
        <f t="shared" si="2"/>
        <v>0</v>
      </c>
      <c r="E43" s="17">
        <f t="shared" si="2"/>
        <v>0</v>
      </c>
      <c r="F43" s="17">
        <f t="shared" si="2"/>
        <v>2.7962720707695274E-2</v>
      </c>
      <c r="G43" s="17">
        <f t="shared" si="2"/>
        <v>0.28692196076717086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0.3415483760487375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78.313000000000002</v>
      </c>
      <c r="U43" s="14">
        <f>P32</f>
        <v>0.24189044768558843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118.74299999999999</v>
      </c>
      <c r="U44" s="14">
        <f>P34</f>
        <v>0.36676921366222504</v>
      </c>
    </row>
    <row r="45" spans="1:48" ht="16" x14ac:dyDescent="0.2">
      <c r="A45" s="6" t="s">
        <v>56</v>
      </c>
      <c r="B45" s="6">
        <f>B23-B39</f>
        <v>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8403.52</v>
      </c>
      <c r="O45" s="25">
        <f>B45+N45</f>
        <v>8403.52</v>
      </c>
      <c r="P45" s="7"/>
      <c r="Q45" s="7"/>
      <c r="R45" s="7"/>
      <c r="S45" s="7" t="s">
        <v>57</v>
      </c>
      <c r="T45" s="20">
        <f>SUM(T39:T44)</f>
        <v>323.75400000000002</v>
      </c>
      <c r="U45" s="13">
        <f>SUM(U39:U44)</f>
        <v>1</v>
      </c>
    </row>
    <row r="46" spans="1:48" ht="16" x14ac:dyDescent="0.2">
      <c r="A46" s="6"/>
      <c r="B46" s="53">
        <v>0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0"/>
      <c r="E48" s="40"/>
      <c r="F48" s="41"/>
      <c r="G48" s="41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1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7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1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1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1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1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0"/>
      <c r="E55" s="40"/>
      <c r="F55" s="41"/>
      <c r="G55" s="41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1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0"/>
      <c r="E56" s="40"/>
      <c r="F56" s="41"/>
      <c r="G56" s="41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1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5" enableFormatConditionsCalculation="0"/>
  <dimension ref="A1:AV70"/>
  <sheetViews>
    <sheetView workbookViewId="0">
      <selection activeCell="U35" sqref="U35"/>
    </sheetView>
  </sheetViews>
  <sheetFormatPr baseColWidth="10" defaultColWidth="8.83203125" defaultRowHeight="15" x14ac:dyDescent="0.2"/>
  <cols>
    <col min="1" max="1" width="22.5" style="2" customWidth="1"/>
    <col min="2" max="11" width="10" style="2" customWidth="1"/>
    <col min="12" max="13" width="5.33203125" style="2" customWidth="1"/>
    <col min="14" max="14" width="8.83203125" style="2"/>
    <col min="15" max="15" width="10.6640625" style="2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63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5.75" x14ac:dyDescent="0.25">
      <c r="A4" s="4" t="s">
        <v>78</v>
      </c>
      <c r="B4" s="74">
        <v>284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5.75" x14ac:dyDescent="0.25">
      <c r="A8" s="4" t="s">
        <v>13</v>
      </c>
      <c r="B8" s="8">
        <v>146926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5.75" x14ac:dyDescent="0.25">
      <c r="A9" s="4" t="s">
        <v>14</v>
      </c>
      <c r="B9" s="63">
        <v>21609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15</v>
      </c>
      <c r="B10" s="63">
        <f>SUM(B4:B9)</f>
        <v>168819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27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5.75" x14ac:dyDescent="0.25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8">
        <f>44788+3587</f>
        <v>48375</v>
      </c>
      <c r="C18" s="58">
        <v>800</v>
      </c>
      <c r="D18" s="8">
        <v>0</v>
      </c>
      <c r="E18" s="8">
        <v>0</v>
      </c>
      <c r="F18" s="8">
        <v>0</v>
      </c>
      <c r="G18" s="58">
        <f>47064+3587/0.9</f>
        <v>51049.555555555555</v>
      </c>
      <c r="H18" s="8">
        <v>0</v>
      </c>
      <c r="I18" s="8"/>
      <c r="J18" s="8"/>
      <c r="K18" s="8"/>
      <c r="L18" s="8"/>
      <c r="M18" s="8"/>
      <c r="N18" s="8"/>
      <c r="O18" s="58">
        <f>G18+C18</f>
        <v>51849.555555555555</v>
      </c>
      <c r="P18" s="3"/>
      <c r="Q18" s="3"/>
      <c r="R18" s="3"/>
      <c r="S18" s="3"/>
      <c r="T18" s="3"/>
      <c r="U18" s="3"/>
    </row>
    <row r="19" spans="1:21" ht="16" x14ac:dyDescent="0.2">
      <c r="A19" s="4" t="s">
        <v>21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/>
      <c r="T19" s="3"/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 t="s">
        <v>25</v>
      </c>
      <c r="T21" s="11">
        <f>O42/1000</f>
        <v>481.12011555555557</v>
      </c>
      <c r="U21" s="3"/>
    </row>
    <row r="22" spans="1:21" ht="16" x14ac:dyDescent="0.2">
      <c r="A22" s="4" t="s">
        <v>24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3"/>
      <c r="T22" s="3"/>
      <c r="U22" s="3"/>
    </row>
    <row r="23" spans="1:21" ht="16" x14ac:dyDescent="0.2">
      <c r="A23" s="4" t="s">
        <v>15</v>
      </c>
      <c r="B23" s="8">
        <v>48375</v>
      </c>
      <c r="C23" s="58">
        <v>800</v>
      </c>
      <c r="D23" s="8">
        <v>0</v>
      </c>
      <c r="E23" s="8">
        <v>0</v>
      </c>
      <c r="F23" s="8">
        <v>0</v>
      </c>
      <c r="G23" s="58">
        <f>G18</f>
        <v>51049.555555555555</v>
      </c>
      <c r="H23" s="8">
        <v>0</v>
      </c>
      <c r="I23" s="8"/>
      <c r="J23" s="8"/>
      <c r="K23" s="8"/>
      <c r="L23" s="8"/>
      <c r="M23" s="8"/>
      <c r="N23" s="8"/>
      <c r="O23" s="58">
        <f>O18</f>
        <v>51849.555555555555</v>
      </c>
      <c r="P23" s="3"/>
      <c r="Q23" s="3"/>
      <c r="R23" s="3"/>
      <c r="S23" s="3"/>
      <c r="T23" s="3" t="s">
        <v>26</v>
      </c>
      <c r="U23" s="3" t="s">
        <v>27</v>
      </c>
    </row>
    <row r="24" spans="1:21" ht="16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9</v>
      </c>
      <c r="T24" s="12">
        <f>N42/1000</f>
        <v>222.56855999999999</v>
      </c>
      <c r="U24" s="13">
        <f>N43</f>
        <v>0.46260497701909059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58</v>
      </c>
      <c r="T25" s="12">
        <f>G42/1000</f>
        <v>112.42655555555557</v>
      </c>
      <c r="U25" s="14">
        <f>G43</f>
        <v>0.23367668887785992</v>
      </c>
    </row>
    <row r="26" spans="1:21" ht="16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6</v>
      </c>
      <c r="T26" s="12">
        <f>J42/1000</f>
        <v>0</v>
      </c>
      <c r="U26" s="13">
        <f>J43</f>
        <v>0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30</v>
      </c>
      <c r="T27" s="12">
        <f>F42/1000</f>
        <v>10.260999999999999</v>
      </c>
      <c r="U27" s="13">
        <f>F43</f>
        <v>2.1327314465227652E-2</v>
      </c>
    </row>
    <row r="28" spans="1:21" ht="16" x14ac:dyDescent="0.2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3</v>
      </c>
      <c r="T28" s="11">
        <f>E42/1000</f>
        <v>5.0000000000000001E-3</v>
      </c>
      <c r="U28" s="13">
        <f>E43</f>
        <v>1.0392415195998272E-5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2" t="s">
        <v>2</v>
      </c>
      <c r="T29" s="2">
        <f>D42/1000</f>
        <v>0</v>
      </c>
      <c r="U29" s="46">
        <f>D43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7</v>
      </c>
      <c r="T30" s="2">
        <f>K42/1000</f>
        <v>0</v>
      </c>
      <c r="U30" s="46">
        <f>K43</f>
        <v>0</v>
      </c>
    </row>
    <row r="31" spans="1:21" ht="16" x14ac:dyDescent="0.2">
      <c r="A31" s="4" t="s">
        <v>32</v>
      </c>
      <c r="B31" s="8">
        <v>0</v>
      </c>
      <c r="C31" s="8">
        <v>7511</v>
      </c>
      <c r="D31" s="8">
        <v>0</v>
      </c>
      <c r="E31" s="8">
        <v>0</v>
      </c>
      <c r="F31" s="8">
        <v>758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3107</v>
      </c>
      <c r="O31" s="8">
        <v>11376</v>
      </c>
      <c r="P31" s="17">
        <f>O31/O$39</f>
        <v>2.5217684300129457E-2</v>
      </c>
      <c r="Q31" s="18" t="s">
        <v>33</v>
      </c>
      <c r="R31" s="3"/>
      <c r="S31" s="3" t="s">
        <v>4</v>
      </c>
      <c r="T31" s="12">
        <f>I42/1000</f>
        <v>0</v>
      </c>
      <c r="U31" s="13">
        <f>I43</f>
        <v>0</v>
      </c>
    </row>
    <row r="32" spans="1:21" ht="16" x14ac:dyDescent="0.2">
      <c r="A32" s="4" t="s">
        <v>35</v>
      </c>
      <c r="B32" s="8">
        <v>1806</v>
      </c>
      <c r="C32" s="8">
        <v>1372</v>
      </c>
      <c r="D32" s="8">
        <v>0</v>
      </c>
      <c r="E32" s="55">
        <v>5</v>
      </c>
      <c r="F32" s="8">
        <v>0</v>
      </c>
      <c r="G32" s="55">
        <v>13097</v>
      </c>
      <c r="H32" s="8">
        <v>0</v>
      </c>
      <c r="I32" s="8"/>
      <c r="J32" s="8"/>
      <c r="K32" s="8"/>
      <c r="L32" s="8"/>
      <c r="M32" s="27"/>
      <c r="N32" s="8">
        <v>48172</v>
      </c>
      <c r="O32" s="8">
        <v>64452</v>
      </c>
      <c r="P32" s="17">
        <f>O32/O$39</f>
        <v>0.14287361010126087</v>
      </c>
      <c r="Q32" s="18" t="s">
        <v>36</v>
      </c>
      <c r="R32" s="3"/>
      <c r="S32" s="3" t="s">
        <v>5</v>
      </c>
      <c r="T32" s="12">
        <f>H42/1000</f>
        <v>0</v>
      </c>
      <c r="U32" s="13">
        <f>H43</f>
        <v>0</v>
      </c>
    </row>
    <row r="33" spans="1:48" ht="16" x14ac:dyDescent="0.2">
      <c r="A33" s="4" t="s">
        <v>37</v>
      </c>
      <c r="B33" s="8">
        <v>8181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17624</v>
      </c>
      <c r="O33" s="8">
        <v>25805</v>
      </c>
      <c r="P33" s="17">
        <f>O33/O$39</f>
        <v>5.7203089254996543E-2</v>
      </c>
      <c r="Q33" s="18" t="s">
        <v>38</v>
      </c>
      <c r="R33" s="3"/>
      <c r="S33" s="3" t="s">
        <v>34</v>
      </c>
      <c r="T33" s="12">
        <f>C42/1000</f>
        <v>135.85900000000001</v>
      </c>
      <c r="U33" s="14">
        <f>C43</f>
        <v>0.28238062722262586</v>
      </c>
    </row>
    <row r="34" spans="1:48" ht="16" x14ac:dyDescent="0.2">
      <c r="A34" s="4" t="s">
        <v>39</v>
      </c>
      <c r="B34" s="8">
        <v>0</v>
      </c>
      <c r="C34" s="8">
        <v>123392</v>
      </c>
      <c r="D34" s="8">
        <v>0</v>
      </c>
      <c r="E34" s="8">
        <v>0</v>
      </c>
      <c r="F34" s="8">
        <v>9504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657</v>
      </c>
      <c r="O34" s="8">
        <v>133553</v>
      </c>
      <c r="P34" s="17">
        <f>O34/O$39</f>
        <v>0.29605286492046323</v>
      </c>
      <c r="Q34" s="18" t="s">
        <v>40</v>
      </c>
      <c r="R34" s="3"/>
      <c r="S34" s="3"/>
      <c r="T34" s="12">
        <f>SUM(T24:T33)</f>
        <v>481.12011555555557</v>
      </c>
      <c r="U34" s="13">
        <f>SUM(U24:U33)</f>
        <v>1</v>
      </c>
    </row>
    <row r="35" spans="1:48" ht="16" x14ac:dyDescent="0.2">
      <c r="A35" s="4" t="s">
        <v>41</v>
      </c>
      <c r="B35" s="8">
        <v>9553</v>
      </c>
      <c r="C35" s="8">
        <v>2120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40988</v>
      </c>
      <c r="O35" s="8">
        <v>52661</v>
      </c>
      <c r="P35" s="17">
        <f>O35/O$39</f>
        <v>0.11673597687492242</v>
      </c>
      <c r="Q35" s="18" t="s">
        <v>42</v>
      </c>
      <c r="R35" s="18"/>
    </row>
    <row r="36" spans="1:48" ht="16" x14ac:dyDescent="0.2">
      <c r="A36" s="4" t="s">
        <v>43</v>
      </c>
      <c r="B36" s="8">
        <v>5177</v>
      </c>
      <c r="C36" s="8">
        <v>662</v>
      </c>
      <c r="D36" s="8">
        <v>0</v>
      </c>
      <c r="E36" s="8">
        <v>0</v>
      </c>
      <c r="F36" s="8">
        <v>0</v>
      </c>
      <c r="G36" s="8">
        <v>48280</v>
      </c>
      <c r="H36" s="8">
        <v>0</v>
      </c>
      <c r="I36" s="8"/>
      <c r="J36" s="8"/>
      <c r="K36" s="8"/>
      <c r="L36" s="8"/>
      <c r="M36" s="27"/>
      <c r="N36" s="8">
        <v>71962</v>
      </c>
      <c r="O36" s="8">
        <v>126081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8">
        <v>13612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5721</v>
      </c>
      <c r="O37" s="8">
        <v>19333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17851</v>
      </c>
      <c r="O38" s="8">
        <v>17851</v>
      </c>
      <c r="P38" s="18">
        <f>SUM(P31:P35)</f>
        <v>0.63808322545177254</v>
      </c>
      <c r="Q38" s="18"/>
      <c r="R38" s="3"/>
      <c r="S38" s="7" t="s">
        <v>46</v>
      </c>
      <c r="T38" s="19">
        <f>O45/1000</f>
        <v>26.53256</v>
      </c>
      <c r="U38" s="7"/>
    </row>
    <row r="39" spans="1:48" ht="16" x14ac:dyDescent="0.2">
      <c r="A39" s="4" t="s">
        <v>15</v>
      </c>
      <c r="B39" s="8">
        <v>38329</v>
      </c>
      <c r="C39" s="8">
        <v>135059</v>
      </c>
      <c r="D39" s="8">
        <v>0</v>
      </c>
      <c r="E39" s="55">
        <v>5</v>
      </c>
      <c r="F39" s="8">
        <v>10261</v>
      </c>
      <c r="G39" s="55">
        <f>SUM(G32:G36)</f>
        <v>61377</v>
      </c>
      <c r="H39" s="8">
        <v>0</v>
      </c>
      <c r="I39" s="8"/>
      <c r="J39" s="8"/>
      <c r="K39" s="8"/>
      <c r="L39" s="8"/>
      <c r="M39" s="27"/>
      <c r="N39" s="8">
        <v>206082</v>
      </c>
      <c r="O39" s="8">
        <v>451112</v>
      </c>
      <c r="P39" s="3"/>
      <c r="Q39" s="3"/>
      <c r="R39" s="3"/>
      <c r="S39" s="7" t="s">
        <v>47</v>
      </c>
      <c r="T39" s="20">
        <f>O41/1000</f>
        <v>163.26499999999999</v>
      </c>
      <c r="U39" s="13">
        <f>P41</f>
        <v>0.36191677454822752</v>
      </c>
    </row>
    <row r="40" spans="1:48" x14ac:dyDescent="0.2"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S40" s="7" t="s">
        <v>48</v>
      </c>
      <c r="T40" s="20">
        <f>O35/1000</f>
        <v>52.661000000000001</v>
      </c>
      <c r="U40" s="14">
        <f>P35</f>
        <v>0.11673597687492242</v>
      </c>
    </row>
    <row r="41" spans="1:48" ht="16" x14ac:dyDescent="0.2">
      <c r="A41" s="21" t="s">
        <v>49</v>
      </c>
      <c r="B41" s="22">
        <f>B38+B37+B36</f>
        <v>18789</v>
      </c>
      <c r="C41" s="22">
        <f t="shared" ref="C41:O41" si="0">C38+C37+C36</f>
        <v>662</v>
      </c>
      <c r="D41" s="22">
        <f t="shared" si="0"/>
        <v>0</v>
      </c>
      <c r="E41" s="22">
        <f t="shared" si="0"/>
        <v>0</v>
      </c>
      <c r="F41" s="22">
        <f>F38+F37+F36</f>
        <v>0</v>
      </c>
      <c r="G41" s="22">
        <f t="shared" si="0"/>
        <v>48280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95534</v>
      </c>
      <c r="O41" s="22">
        <f t="shared" si="0"/>
        <v>163265</v>
      </c>
      <c r="P41" s="17">
        <f>O41/O$39</f>
        <v>0.36191677454822752</v>
      </c>
      <c r="Q41" s="17" t="s">
        <v>50</v>
      </c>
      <c r="R41" s="7"/>
      <c r="S41" s="7" t="s">
        <v>51</v>
      </c>
      <c r="T41" s="20">
        <f>O33/1000</f>
        <v>25.805</v>
      </c>
      <c r="U41" s="13">
        <f>P33</f>
        <v>5.7203089254996543E-2</v>
      </c>
    </row>
    <row r="42" spans="1:48" ht="16" x14ac:dyDescent="0.2">
      <c r="A42" s="23" t="s">
        <v>52</v>
      </c>
      <c r="B42" s="22"/>
      <c r="C42" s="24">
        <f>C39+C23+C10</f>
        <v>135859</v>
      </c>
      <c r="D42" s="24">
        <f t="shared" ref="D42:M42" si="1">D39+D23+D10</f>
        <v>0</v>
      </c>
      <c r="E42" s="24">
        <f t="shared" si="1"/>
        <v>5</v>
      </c>
      <c r="F42" s="24">
        <f t="shared" si="1"/>
        <v>10261</v>
      </c>
      <c r="G42" s="24">
        <f t="shared" si="1"/>
        <v>112426.55555555556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222568.56</v>
      </c>
      <c r="O42" s="25">
        <f>SUM(C42:N42)</f>
        <v>481120.11555555556</v>
      </c>
      <c r="P42" s="7"/>
      <c r="Q42" s="7"/>
      <c r="R42" s="7"/>
      <c r="S42" s="7" t="s">
        <v>33</v>
      </c>
      <c r="T42" s="20">
        <f>O31/1000</f>
        <v>11.375999999999999</v>
      </c>
      <c r="U42" s="13">
        <f>P31</f>
        <v>2.5217684300129457E-2</v>
      </c>
    </row>
    <row r="43" spans="1:48" ht="16" x14ac:dyDescent="0.2">
      <c r="A43" s="23" t="s">
        <v>53</v>
      </c>
      <c r="B43" s="22"/>
      <c r="C43" s="17">
        <f t="shared" ref="C43:N43" si="2">C42/$O42</f>
        <v>0.28238062722262586</v>
      </c>
      <c r="D43" s="17">
        <f t="shared" si="2"/>
        <v>0</v>
      </c>
      <c r="E43" s="17">
        <f t="shared" si="2"/>
        <v>1.0392415195998272E-5</v>
      </c>
      <c r="F43" s="17">
        <f t="shared" si="2"/>
        <v>2.1327314465227652E-2</v>
      </c>
      <c r="G43" s="17">
        <f t="shared" si="2"/>
        <v>0.23367668887785992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0.46260497701909059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64.451999999999998</v>
      </c>
      <c r="U43" s="14">
        <f>P32</f>
        <v>0.14287361010126087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133.553</v>
      </c>
      <c r="U44" s="14">
        <f>P34</f>
        <v>0.29605286492046323</v>
      </c>
    </row>
    <row r="45" spans="1:48" ht="16" x14ac:dyDescent="0.2">
      <c r="A45" s="6" t="s">
        <v>56</v>
      </c>
      <c r="B45" s="6">
        <f>B23-B39</f>
        <v>10046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16486.560000000001</v>
      </c>
      <c r="O45" s="25">
        <f>B45+N45</f>
        <v>26532.560000000001</v>
      </c>
      <c r="P45" s="7"/>
      <c r="Q45" s="7"/>
      <c r="R45" s="7"/>
      <c r="S45" s="7" t="s">
        <v>57</v>
      </c>
      <c r="T45" s="20">
        <f>SUM(T39:T44)</f>
        <v>451.11199999999997</v>
      </c>
      <c r="U45" s="13">
        <f>SUM(U39:U44)</f>
        <v>1</v>
      </c>
    </row>
    <row r="46" spans="1:48" ht="16" x14ac:dyDescent="0.2">
      <c r="A46" s="6"/>
      <c r="B46" s="53">
        <f>B45/B23</f>
        <v>0.20766925064599484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0"/>
      <c r="E48" s="40"/>
      <c r="F48" s="41"/>
      <c r="G48" s="40"/>
      <c r="H48" s="41"/>
      <c r="I48" s="40"/>
      <c r="J48" s="40"/>
      <c r="K48" s="40"/>
      <c r="L48" s="40"/>
      <c r="M48" s="40"/>
      <c r="N48" s="40"/>
      <c r="O48" s="40"/>
      <c r="P48" s="41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7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0"/>
      <c r="E52" s="40"/>
      <c r="F52" s="40"/>
      <c r="G52" s="40"/>
      <c r="H52" s="41"/>
      <c r="I52" s="40"/>
      <c r="J52" s="40"/>
      <c r="K52" s="40"/>
      <c r="L52" s="40"/>
      <c r="M52" s="40"/>
      <c r="N52" s="40"/>
      <c r="O52" s="40"/>
      <c r="P52" s="41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0"/>
      <c r="E55" s="40"/>
      <c r="F55" s="41"/>
      <c r="G55" s="40"/>
      <c r="H55" s="41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0"/>
      <c r="E56" s="40"/>
      <c r="F56" s="41"/>
      <c r="G56" s="40"/>
      <c r="H56" s="41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6" enableFormatConditionsCalculation="0"/>
  <dimension ref="A1:AV70"/>
  <sheetViews>
    <sheetView topLeftCell="A8" workbookViewId="0">
      <selection activeCell="C33" sqref="C33"/>
    </sheetView>
  </sheetViews>
  <sheetFormatPr baseColWidth="10" defaultColWidth="8.83203125" defaultRowHeight="15" x14ac:dyDescent="0.2"/>
  <cols>
    <col min="1" max="1" width="22.5" style="2" customWidth="1"/>
    <col min="2" max="11" width="10" style="2" customWidth="1"/>
    <col min="12" max="13" width="5.33203125" style="2" customWidth="1"/>
    <col min="14" max="14" width="8.83203125" style="2"/>
    <col min="15" max="15" width="9.5" style="2" customWidth="1"/>
    <col min="16" max="16" width="8.83203125" style="2"/>
    <col min="17" max="17" width="8.83203125" style="2" customWidth="1"/>
    <col min="18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4" t="s">
        <v>64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5.75" x14ac:dyDescent="0.25">
      <c r="A4" s="4" t="s">
        <v>78</v>
      </c>
      <c r="B4" s="64">
        <v>137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5.75" x14ac:dyDescent="0.25">
      <c r="A8" s="4" t="s">
        <v>13</v>
      </c>
      <c r="B8" s="55">
        <v>23481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5.75" x14ac:dyDescent="0.25">
      <c r="A9" s="4" t="s">
        <v>14</v>
      </c>
      <c r="B9" s="63">
        <v>108046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52"/>
      <c r="U9" s="8"/>
      <c r="V9" s="8"/>
      <c r="W9" s="8"/>
      <c r="X9" s="8"/>
      <c r="Y9" s="52"/>
      <c r="Z9" s="8"/>
      <c r="AA9" s="8"/>
      <c r="AB9" s="8"/>
      <c r="AC9" s="8"/>
      <c r="AD9" s="8"/>
      <c r="AE9" s="8"/>
      <c r="AF9" s="8"/>
      <c r="AG9" s="52"/>
      <c r="AH9" s="27"/>
      <c r="AI9" s="27"/>
    </row>
    <row r="10" spans="1:35" ht="16" x14ac:dyDescent="0.2">
      <c r="A10" s="4" t="s">
        <v>15</v>
      </c>
      <c r="B10" s="8">
        <f>SUM(B4:B9)</f>
        <v>131664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27"/>
      <c r="S10" s="4"/>
      <c r="T10" s="52"/>
      <c r="U10" s="8"/>
      <c r="V10" s="8"/>
      <c r="W10" s="8"/>
      <c r="X10" s="8"/>
      <c r="Y10" s="52"/>
      <c r="Z10" s="8"/>
      <c r="AA10" s="8"/>
      <c r="AB10" s="8"/>
      <c r="AC10" s="8"/>
      <c r="AD10" s="8"/>
      <c r="AE10" s="8"/>
      <c r="AF10" s="8"/>
      <c r="AG10" s="52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5.75" x14ac:dyDescent="0.25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59">
        <v>48000</v>
      </c>
      <c r="C18" s="58">
        <v>500</v>
      </c>
      <c r="D18" s="8">
        <v>0</v>
      </c>
      <c r="E18" s="8">
        <v>0</v>
      </c>
      <c r="F18" s="8">
        <v>0</v>
      </c>
      <c r="G18" s="59">
        <v>55200</v>
      </c>
      <c r="H18" s="8">
        <v>0</v>
      </c>
      <c r="I18" s="8"/>
      <c r="J18" s="8"/>
      <c r="K18" s="8"/>
      <c r="L18" s="8"/>
      <c r="M18" s="8"/>
      <c r="N18" s="8"/>
      <c r="O18" s="59">
        <f>O23</f>
        <v>55700</v>
      </c>
      <c r="P18" s="3"/>
      <c r="Q18" s="3"/>
      <c r="R18" s="3"/>
      <c r="S18" s="3"/>
      <c r="T18" s="3"/>
      <c r="U18" s="3"/>
    </row>
    <row r="19" spans="1:21" ht="16" x14ac:dyDescent="0.2">
      <c r="A19" s="4" t="s">
        <v>21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/>
      <c r="T19" s="3"/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 t="s">
        <v>25</v>
      </c>
      <c r="T21" s="11">
        <f>O42/1000</f>
        <v>567.48580000000004</v>
      </c>
      <c r="U21" s="3"/>
    </row>
    <row r="22" spans="1:21" ht="16" x14ac:dyDescent="0.2">
      <c r="A22" s="4" t="s">
        <v>24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3"/>
      <c r="T22" s="3"/>
      <c r="U22" s="3"/>
    </row>
    <row r="23" spans="1:21" ht="16" x14ac:dyDescent="0.2">
      <c r="A23" s="4" t="s">
        <v>15</v>
      </c>
      <c r="B23" s="59">
        <f>B18</f>
        <v>48000</v>
      </c>
      <c r="C23" s="58">
        <v>500</v>
      </c>
      <c r="D23" s="8">
        <v>0</v>
      </c>
      <c r="E23" s="8">
        <v>0</v>
      </c>
      <c r="F23" s="8">
        <v>0</v>
      </c>
      <c r="G23" s="59">
        <f>G18</f>
        <v>55200</v>
      </c>
      <c r="H23" s="8">
        <v>0</v>
      </c>
      <c r="I23" s="8"/>
      <c r="J23" s="8"/>
      <c r="K23" s="8"/>
      <c r="L23" s="8"/>
      <c r="M23" s="8"/>
      <c r="N23" s="8"/>
      <c r="O23" s="59">
        <f>C23+G23</f>
        <v>55700</v>
      </c>
      <c r="P23" s="3"/>
      <c r="Q23" s="3"/>
      <c r="R23" s="3"/>
      <c r="S23" s="3"/>
      <c r="T23" s="3" t="s">
        <v>26</v>
      </c>
      <c r="U23" s="3" t="s">
        <v>27</v>
      </c>
    </row>
    <row r="24" spans="1:21" ht="16" x14ac:dyDescent="0.2"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3"/>
      <c r="Q24" s="3"/>
      <c r="R24" s="3"/>
      <c r="S24" s="3" t="s">
        <v>9</v>
      </c>
      <c r="T24" s="12">
        <f>N42/1000</f>
        <v>148.64579999999998</v>
      </c>
      <c r="U24" s="13">
        <f>N43</f>
        <v>0.26193747931666306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58</v>
      </c>
      <c r="T25" s="12">
        <f>G42/1000</f>
        <v>95.504999999999995</v>
      </c>
      <c r="U25" s="14">
        <f>G43</f>
        <v>0.16829495997961533</v>
      </c>
    </row>
    <row r="26" spans="1:21" ht="16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6</v>
      </c>
      <c r="T26" s="12">
        <f>J42/1000</f>
        <v>0</v>
      </c>
      <c r="U26" s="13">
        <f>J43</f>
        <v>0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30</v>
      </c>
      <c r="T27" s="12">
        <f>F42/1000</f>
        <v>8.9209999999999994</v>
      </c>
      <c r="U27" s="13">
        <f>F43</f>
        <v>1.5720217140235051E-2</v>
      </c>
    </row>
    <row r="28" spans="1:21" ht="16" x14ac:dyDescent="0.2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3</v>
      </c>
      <c r="T28" s="11">
        <f>E42/1000</f>
        <v>13.273</v>
      </c>
      <c r="U28" s="13">
        <f>E43</f>
        <v>2.338913149897319E-2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2" t="s">
        <v>2</v>
      </c>
      <c r="T29" s="2">
        <f>D42/1000</f>
        <v>117.312</v>
      </c>
      <c r="U29" s="46">
        <f>D43</f>
        <v>0.2067223532289266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7</v>
      </c>
      <c r="T30" s="2">
        <f>K42/1000</f>
        <v>0</v>
      </c>
      <c r="U30" s="46">
        <f>K43</f>
        <v>0</v>
      </c>
    </row>
    <row r="31" spans="1:21" ht="16" x14ac:dyDescent="0.2">
      <c r="A31" s="4" t="s">
        <v>32</v>
      </c>
      <c r="B31" s="8">
        <v>0</v>
      </c>
      <c r="C31" s="8">
        <v>1840</v>
      </c>
      <c r="D31" s="8">
        <v>0</v>
      </c>
      <c r="E31" s="8">
        <v>0</v>
      </c>
      <c r="F31" s="8">
        <v>190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4259</v>
      </c>
      <c r="O31" s="8">
        <v>6289</v>
      </c>
      <c r="P31" s="17">
        <f>O31/O$39</f>
        <v>1.1533185645961093E-2</v>
      </c>
      <c r="Q31" s="18" t="s">
        <v>33</v>
      </c>
      <c r="R31" s="3"/>
      <c r="S31" s="3" t="s">
        <v>4</v>
      </c>
      <c r="T31" s="12">
        <f>I42/1000</f>
        <v>0</v>
      </c>
      <c r="U31" s="13">
        <f>I43</f>
        <v>0</v>
      </c>
    </row>
    <row r="32" spans="1:21" ht="16" x14ac:dyDescent="0.2">
      <c r="A32" s="4" t="s">
        <v>35</v>
      </c>
      <c r="B32" s="8">
        <v>1645</v>
      </c>
      <c r="C32" s="55">
        <v>68745</v>
      </c>
      <c r="D32" s="67">
        <f>15040*7.8</f>
        <v>117312</v>
      </c>
      <c r="E32" s="55">
        <v>13273</v>
      </c>
      <c r="F32" s="8">
        <v>0</v>
      </c>
      <c r="G32" s="55">
        <v>5</v>
      </c>
      <c r="H32" s="8">
        <v>0</v>
      </c>
      <c r="I32" s="8"/>
      <c r="J32" s="8"/>
      <c r="K32" s="8"/>
      <c r="L32" s="8"/>
      <c r="M32" s="27"/>
      <c r="N32" s="8">
        <v>29985</v>
      </c>
      <c r="O32" s="56">
        <v>230965</v>
      </c>
      <c r="P32" s="17">
        <f>O32/O$39</f>
        <v>0.42355894780082742</v>
      </c>
      <c r="Q32" s="18" t="s">
        <v>36</v>
      </c>
      <c r="R32" s="3"/>
      <c r="S32" s="3" t="s">
        <v>5</v>
      </c>
      <c r="T32" s="12">
        <f>H42/1000</f>
        <v>0</v>
      </c>
      <c r="U32" s="13">
        <f>H43</f>
        <v>0</v>
      </c>
    </row>
    <row r="33" spans="1:48" ht="16" x14ac:dyDescent="0.2">
      <c r="A33" s="4" t="s">
        <v>37</v>
      </c>
      <c r="B33" s="64">
        <v>8328</v>
      </c>
      <c r="C33" s="8">
        <v>573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18959</v>
      </c>
      <c r="O33" s="64">
        <f>SUM(B33:N33)</f>
        <v>27860</v>
      </c>
      <c r="P33" s="17">
        <f>O33/O$39</f>
        <v>5.1091517267685807E-2</v>
      </c>
      <c r="Q33" s="18" t="s">
        <v>38</v>
      </c>
      <c r="R33" s="3"/>
      <c r="S33" s="3" t="s">
        <v>34</v>
      </c>
      <c r="T33" s="12">
        <f>C42/1000</f>
        <v>183.82900000000001</v>
      </c>
      <c r="U33" s="14">
        <f>C43</f>
        <v>0.32393585883558668</v>
      </c>
    </row>
    <row r="34" spans="1:48" ht="16" x14ac:dyDescent="0.2">
      <c r="A34" s="4" t="s">
        <v>39</v>
      </c>
      <c r="B34" s="8">
        <v>0</v>
      </c>
      <c r="C34" s="8">
        <v>110484</v>
      </c>
      <c r="D34" s="8">
        <v>0</v>
      </c>
      <c r="E34" s="8">
        <v>0</v>
      </c>
      <c r="F34" s="8">
        <v>8731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427</v>
      </c>
      <c r="O34" s="8">
        <v>119642</v>
      </c>
      <c r="P34" s="17">
        <f>O34/O$39</f>
        <v>0.21940744109621196</v>
      </c>
      <c r="Q34" s="18" t="s">
        <v>40</v>
      </c>
      <c r="R34" s="3"/>
      <c r="S34" s="3"/>
      <c r="T34" s="12">
        <f>SUM(T24:T33)</f>
        <v>567.48579999999993</v>
      </c>
      <c r="U34" s="13">
        <f>SUM(U24:U33)</f>
        <v>1</v>
      </c>
    </row>
    <row r="35" spans="1:48" ht="16" x14ac:dyDescent="0.2">
      <c r="A35" s="4" t="s">
        <v>41</v>
      </c>
      <c r="B35" s="64">
        <f>B39-SUM(B31:B34,B36:B38)</f>
        <v>9446</v>
      </c>
      <c r="C35" s="55">
        <f>O35-N35-B35</f>
        <v>1047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21098</v>
      </c>
      <c r="O35" s="8">
        <v>31591</v>
      </c>
      <c r="P35" s="17">
        <f>O35/O$39</f>
        <v>5.7933672720870868E-2</v>
      </c>
      <c r="Q35" s="18" t="s">
        <v>42</v>
      </c>
      <c r="R35" s="18"/>
    </row>
    <row r="36" spans="1:48" ht="16" x14ac:dyDescent="0.2">
      <c r="A36" s="4" t="s">
        <v>43</v>
      </c>
      <c r="B36" s="64">
        <v>8065</v>
      </c>
      <c r="C36" s="8">
        <v>545</v>
      </c>
      <c r="D36" s="8">
        <v>0</v>
      </c>
      <c r="E36" s="8">
        <v>0</v>
      </c>
      <c r="F36" s="8">
        <v>0</v>
      </c>
      <c r="G36" s="55">
        <v>40300</v>
      </c>
      <c r="H36" s="8">
        <v>0</v>
      </c>
      <c r="I36" s="8"/>
      <c r="J36" s="8"/>
      <c r="K36" s="8"/>
      <c r="L36" s="8"/>
      <c r="M36" s="27"/>
      <c r="N36" s="8">
        <v>45341</v>
      </c>
      <c r="O36" s="63">
        <f>SUM(B36:N36)</f>
        <v>94251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8">
        <v>17037</v>
      </c>
      <c r="C37" s="8">
        <v>95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3399</v>
      </c>
      <c r="O37" s="8">
        <v>20531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14167</v>
      </c>
      <c r="O38" s="8">
        <v>14167</v>
      </c>
      <c r="P38" s="18">
        <f>SUM(P31:P35)</f>
        <v>0.76352476453155715</v>
      </c>
      <c r="Q38" s="18"/>
      <c r="R38" s="3"/>
      <c r="S38" s="7" t="s">
        <v>46</v>
      </c>
      <c r="T38" s="19">
        <f>O45/1000</f>
        <v>14.489800000000001</v>
      </c>
      <c r="U38" s="7"/>
    </row>
    <row r="39" spans="1:48" ht="16" x14ac:dyDescent="0.2">
      <c r="A39" s="4" t="s">
        <v>15</v>
      </c>
      <c r="B39" s="8">
        <v>44521</v>
      </c>
      <c r="C39" s="55">
        <f>SUM(C31:C38)</f>
        <v>183329</v>
      </c>
      <c r="D39" s="67">
        <f>D32</f>
        <v>117312</v>
      </c>
      <c r="E39" s="55">
        <f>E32</f>
        <v>13273</v>
      </c>
      <c r="F39" s="8">
        <v>8921</v>
      </c>
      <c r="G39" s="52">
        <f>SUM(G31:G37)</f>
        <v>40305</v>
      </c>
      <c r="H39" s="8">
        <v>0</v>
      </c>
      <c r="I39" s="8"/>
      <c r="J39" s="8"/>
      <c r="K39" s="8"/>
      <c r="L39" s="8"/>
      <c r="M39" s="27"/>
      <c r="N39" s="8">
        <v>137635</v>
      </c>
      <c r="O39" s="58">
        <f>SUM(O31:O38)</f>
        <v>545296</v>
      </c>
      <c r="P39" s="3"/>
      <c r="Q39" s="3"/>
      <c r="R39" s="3"/>
      <c r="S39" s="7" t="s">
        <v>47</v>
      </c>
      <c r="T39" s="20">
        <f>O41/1000</f>
        <v>128.94900000000001</v>
      </c>
      <c r="U39" s="13">
        <f>P41</f>
        <v>0.23647523546844282</v>
      </c>
    </row>
    <row r="40" spans="1:48" x14ac:dyDescent="0.2">
      <c r="B40" s="75"/>
      <c r="C40" s="75"/>
      <c r="D40" s="79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S40" s="7" t="s">
        <v>48</v>
      </c>
      <c r="T40" s="20">
        <f>O35/1000</f>
        <v>31.591000000000001</v>
      </c>
      <c r="U40" s="14">
        <f>P35</f>
        <v>5.7933672720870868E-2</v>
      </c>
    </row>
    <row r="41" spans="1:48" ht="16" x14ac:dyDescent="0.2">
      <c r="A41" s="21" t="s">
        <v>49</v>
      </c>
      <c r="B41" s="22">
        <f>B38+B37+B36</f>
        <v>25102</v>
      </c>
      <c r="C41" s="22">
        <f t="shared" ref="C41:O41" si="0">C38+C37+C36</f>
        <v>640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40300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62907</v>
      </c>
      <c r="O41" s="22">
        <f t="shared" si="0"/>
        <v>128949</v>
      </c>
      <c r="P41" s="17">
        <f>O41/O$39</f>
        <v>0.23647523546844282</v>
      </c>
      <c r="Q41" s="17" t="s">
        <v>50</v>
      </c>
      <c r="R41" s="7"/>
      <c r="S41" s="7" t="s">
        <v>51</v>
      </c>
      <c r="T41" s="20">
        <f>O33/1000</f>
        <v>27.86</v>
      </c>
      <c r="U41" s="13">
        <f>P33</f>
        <v>5.1091517267685807E-2</v>
      </c>
    </row>
    <row r="42" spans="1:48" ht="16" x14ac:dyDescent="0.2">
      <c r="A42" s="23" t="s">
        <v>52</v>
      </c>
      <c r="B42" s="22"/>
      <c r="C42" s="24">
        <f>C39+C23+C10</f>
        <v>183829</v>
      </c>
      <c r="D42" s="24">
        <f t="shared" ref="D42:M42" si="1">D39+D23+D10</f>
        <v>117312</v>
      </c>
      <c r="E42" s="24">
        <f t="shared" si="1"/>
        <v>13273</v>
      </c>
      <c r="F42" s="24">
        <f t="shared" si="1"/>
        <v>8921</v>
      </c>
      <c r="G42" s="24">
        <f t="shared" si="1"/>
        <v>95505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148645.79999999999</v>
      </c>
      <c r="O42" s="25">
        <f>SUM(C42:N42)</f>
        <v>567485.80000000005</v>
      </c>
      <c r="P42" s="7"/>
      <c r="Q42" s="7"/>
      <c r="R42" s="7"/>
      <c r="S42" s="7" t="s">
        <v>33</v>
      </c>
      <c r="T42" s="20">
        <f>O31/1000</f>
        <v>6.2889999999999997</v>
      </c>
      <c r="U42" s="13">
        <f>P31</f>
        <v>1.1533185645961093E-2</v>
      </c>
    </row>
    <row r="43" spans="1:48" ht="16" x14ac:dyDescent="0.2">
      <c r="A43" s="23" t="s">
        <v>53</v>
      </c>
      <c r="B43" s="22"/>
      <c r="C43" s="17">
        <f t="shared" ref="C43:N43" si="2">C42/$O42</f>
        <v>0.32393585883558668</v>
      </c>
      <c r="D43" s="17">
        <f t="shared" si="2"/>
        <v>0.2067223532289266</v>
      </c>
      <c r="E43" s="17">
        <f t="shared" si="2"/>
        <v>2.338913149897319E-2</v>
      </c>
      <c r="F43" s="17">
        <f t="shared" si="2"/>
        <v>1.5720217140235051E-2</v>
      </c>
      <c r="G43" s="17">
        <f t="shared" si="2"/>
        <v>0.16829495997961533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0.26193747931666306</v>
      </c>
      <c r="O43" s="17">
        <f>SUM(C43:N43)</f>
        <v>0.99999999999999978</v>
      </c>
      <c r="P43" s="7"/>
      <c r="Q43" s="7"/>
      <c r="R43" s="7"/>
      <c r="S43" s="7" t="s">
        <v>54</v>
      </c>
      <c r="T43" s="20">
        <f>O32/1000</f>
        <v>230.965</v>
      </c>
      <c r="U43" s="14">
        <f>P32</f>
        <v>0.42355894780082742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119.642</v>
      </c>
      <c r="U44" s="14">
        <f>P34</f>
        <v>0.21940744109621196</v>
      </c>
    </row>
    <row r="45" spans="1:48" ht="16" x14ac:dyDescent="0.2">
      <c r="A45" s="6" t="s">
        <v>56</v>
      </c>
      <c r="B45" s="6">
        <f>B23-B39</f>
        <v>3479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11010.800000000001</v>
      </c>
      <c r="O45" s="25">
        <f>B45+N45</f>
        <v>14489.800000000001</v>
      </c>
      <c r="P45" s="7"/>
      <c r="Q45" s="7"/>
      <c r="R45" s="7"/>
      <c r="S45" s="7" t="s">
        <v>57</v>
      </c>
      <c r="T45" s="20">
        <f>SUM(T39:T44)</f>
        <v>545.29600000000005</v>
      </c>
      <c r="U45" s="13">
        <f>SUM(U39:U44)</f>
        <v>1</v>
      </c>
    </row>
    <row r="46" spans="1:48" ht="16" x14ac:dyDescent="0.2">
      <c r="A46" s="6"/>
      <c r="B46" s="53">
        <f>B45/B23</f>
        <v>7.2479166666666664E-2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1"/>
      <c r="E48" s="40"/>
      <c r="F48" s="40"/>
      <c r="G48" s="40"/>
      <c r="H48" s="41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38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7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1"/>
      <c r="E52" s="40"/>
      <c r="F52" s="40"/>
      <c r="G52" s="40"/>
      <c r="H52" s="41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1"/>
      <c r="E55" s="40"/>
      <c r="F55" s="40"/>
      <c r="G55" s="40"/>
      <c r="H55" s="41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1"/>
      <c r="E56" s="40"/>
      <c r="F56" s="40"/>
      <c r="G56" s="40"/>
      <c r="H56" s="41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7" enableFormatConditionsCalculation="0"/>
  <dimension ref="A1:AV70"/>
  <sheetViews>
    <sheetView topLeftCell="D8" workbookViewId="0">
      <selection activeCell="U35" sqref="U35"/>
    </sheetView>
  </sheetViews>
  <sheetFormatPr baseColWidth="10" defaultColWidth="8.83203125" defaultRowHeight="15" x14ac:dyDescent="0.2"/>
  <cols>
    <col min="1" max="1" width="22.5" style="2" customWidth="1"/>
    <col min="2" max="11" width="10" style="2" customWidth="1"/>
    <col min="12" max="13" width="5.3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65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5.75" x14ac:dyDescent="0.25">
      <c r="A4" s="4" t="s">
        <v>78</v>
      </c>
      <c r="B4" s="74">
        <v>117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5.75" x14ac:dyDescent="0.25">
      <c r="A8" s="4" t="s">
        <v>13</v>
      </c>
      <c r="B8" s="8">
        <v>124443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5.75" x14ac:dyDescent="0.25">
      <c r="A9" s="4" t="s">
        <v>14</v>
      </c>
      <c r="B9" s="8">
        <v>65103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15</v>
      </c>
      <c r="B10" s="8">
        <f>SUM(B4:B9)</f>
        <v>189663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27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6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6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6" x14ac:dyDescent="0.2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6" x14ac:dyDescent="0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8">
        <v>28376</v>
      </c>
      <c r="C18" s="8">
        <v>109</v>
      </c>
      <c r="D18" s="8">
        <v>0</v>
      </c>
      <c r="E18" s="8">
        <v>0</v>
      </c>
      <c r="F18" s="8">
        <v>0</v>
      </c>
      <c r="G18" s="8">
        <v>27711</v>
      </c>
      <c r="H18" s="8">
        <v>0</v>
      </c>
      <c r="I18" s="8"/>
      <c r="J18" s="8"/>
      <c r="K18" s="8"/>
      <c r="L18" s="8"/>
      <c r="M18" s="8"/>
      <c r="N18" s="8"/>
      <c r="O18" s="8">
        <v>27821</v>
      </c>
      <c r="P18" s="3"/>
      <c r="Q18" s="3"/>
      <c r="R18" s="3"/>
      <c r="S18" s="3"/>
      <c r="T18" s="3"/>
      <c r="U18" s="3"/>
    </row>
    <row r="19" spans="1:21" ht="16" x14ac:dyDescent="0.2">
      <c r="A19" s="4" t="s">
        <v>21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/>
      <c r="T19" s="3"/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 t="s">
        <v>25</v>
      </c>
      <c r="T21" s="11">
        <f>O42/1000</f>
        <v>196.49412000000001</v>
      </c>
      <c r="U21" s="3"/>
    </row>
    <row r="22" spans="1:21" ht="16" x14ac:dyDescent="0.2">
      <c r="A22" s="4" t="s">
        <v>24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3"/>
      <c r="T22" s="3"/>
      <c r="U22" s="3"/>
    </row>
    <row r="23" spans="1:21" ht="16" x14ac:dyDescent="0.2">
      <c r="A23" s="4" t="s">
        <v>15</v>
      </c>
      <c r="B23" s="8">
        <v>28376</v>
      </c>
      <c r="C23" s="8">
        <v>109</v>
      </c>
      <c r="D23" s="8">
        <v>0</v>
      </c>
      <c r="E23" s="8">
        <v>0</v>
      </c>
      <c r="F23" s="8">
        <v>0</v>
      </c>
      <c r="G23" s="8">
        <v>27711</v>
      </c>
      <c r="H23" s="8">
        <v>0</v>
      </c>
      <c r="I23" s="8"/>
      <c r="J23" s="8"/>
      <c r="K23" s="8"/>
      <c r="L23" s="8"/>
      <c r="M23" s="8"/>
      <c r="N23" s="8"/>
      <c r="O23" s="8">
        <v>27821</v>
      </c>
      <c r="P23" s="3"/>
      <c r="Q23" s="3"/>
      <c r="R23" s="3"/>
      <c r="S23" s="3"/>
      <c r="T23" s="3" t="s">
        <v>26</v>
      </c>
      <c r="U23" s="3" t="s">
        <v>27</v>
      </c>
    </row>
    <row r="24" spans="1:21" ht="16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9</v>
      </c>
      <c r="T24" s="12">
        <f>N42/1000</f>
        <v>73.806119999999993</v>
      </c>
      <c r="U24" s="13">
        <f>N43</f>
        <v>0.37561490389636087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58</v>
      </c>
      <c r="T25" s="12">
        <f>G42/1000</f>
        <v>47.564999999999998</v>
      </c>
      <c r="U25" s="14">
        <f>G43</f>
        <v>0.24206831227316117</v>
      </c>
    </row>
    <row r="26" spans="1:21" ht="16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6</v>
      </c>
      <c r="T26" s="12">
        <f>J42/1000</f>
        <v>0</v>
      </c>
      <c r="U26" s="13">
        <f>J43</f>
        <v>0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30</v>
      </c>
      <c r="T27" s="12">
        <f>F42/1000</f>
        <v>5.375</v>
      </c>
      <c r="U27" s="13">
        <f>F43</f>
        <v>2.7354508114543073E-2</v>
      </c>
    </row>
    <row r="28" spans="1:21" ht="16" x14ac:dyDescent="0.2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3</v>
      </c>
      <c r="T28" s="11">
        <f>E42/1000</f>
        <v>0</v>
      </c>
      <c r="U28" s="13">
        <f>E43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2" t="s">
        <v>2</v>
      </c>
      <c r="T29" s="2">
        <f>D42/1000</f>
        <v>0</v>
      </c>
      <c r="U29" s="46">
        <f>D43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7</v>
      </c>
      <c r="T30" s="2">
        <f>K42/1000</f>
        <v>0</v>
      </c>
      <c r="U30" s="46">
        <f>K43</f>
        <v>0</v>
      </c>
    </row>
    <row r="31" spans="1:21" ht="16" x14ac:dyDescent="0.2">
      <c r="A31" s="4" t="s">
        <v>32</v>
      </c>
      <c r="B31" s="8">
        <v>0</v>
      </c>
      <c r="C31" s="8">
        <v>1163</v>
      </c>
      <c r="D31" s="8">
        <v>0</v>
      </c>
      <c r="E31" s="8">
        <v>0</v>
      </c>
      <c r="F31" s="8">
        <v>110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2034</v>
      </c>
      <c r="O31" s="8">
        <v>3307</v>
      </c>
      <c r="P31" s="17">
        <f>O31/O$39</f>
        <v>1.7743891315312222E-2</v>
      </c>
      <c r="Q31" s="18" t="s">
        <v>33</v>
      </c>
      <c r="R31" s="3"/>
      <c r="S31" s="3" t="s">
        <v>4</v>
      </c>
      <c r="T31" s="12">
        <f>I42/1000</f>
        <v>0</v>
      </c>
      <c r="U31" s="13">
        <f>I43</f>
        <v>0</v>
      </c>
    </row>
    <row r="32" spans="1:21" ht="16" x14ac:dyDescent="0.2">
      <c r="A32" s="4" t="s">
        <v>35</v>
      </c>
      <c r="B32" s="8">
        <v>1197</v>
      </c>
      <c r="C32" s="8">
        <v>457</v>
      </c>
      <c r="D32" s="8">
        <v>0</v>
      </c>
      <c r="E32" s="8">
        <v>0</v>
      </c>
      <c r="F32" s="8">
        <v>0</v>
      </c>
      <c r="G32" s="8">
        <v>598</v>
      </c>
      <c r="H32" s="8">
        <v>0</v>
      </c>
      <c r="I32" s="8"/>
      <c r="J32" s="8"/>
      <c r="K32" s="8"/>
      <c r="L32" s="8"/>
      <c r="M32" s="27"/>
      <c r="N32" s="8">
        <v>3940</v>
      </c>
      <c r="O32" s="8">
        <v>6192</v>
      </c>
      <c r="P32" s="17">
        <f>O32/O$39</f>
        <v>3.3223518301909068E-2</v>
      </c>
      <c r="Q32" s="18" t="s">
        <v>36</v>
      </c>
      <c r="R32" s="3"/>
      <c r="S32" s="3" t="s">
        <v>5</v>
      </c>
      <c r="T32" s="12">
        <f>H42/1000</f>
        <v>0</v>
      </c>
      <c r="U32" s="13">
        <f>H43</f>
        <v>0</v>
      </c>
    </row>
    <row r="33" spans="1:48" ht="16" x14ac:dyDescent="0.2">
      <c r="A33" s="4" t="s">
        <v>37</v>
      </c>
      <c r="B33" s="8">
        <v>4462</v>
      </c>
      <c r="C33" s="8">
        <v>91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3162</v>
      </c>
      <c r="O33" s="8">
        <v>7714</v>
      </c>
      <c r="P33" s="17">
        <f>O33/O$39</f>
        <v>4.1389893440072115E-2</v>
      </c>
      <c r="Q33" s="18" t="s">
        <v>38</v>
      </c>
      <c r="R33" s="3"/>
      <c r="S33" s="3" t="s">
        <v>34</v>
      </c>
      <c r="T33" s="12">
        <f>C42/1000</f>
        <v>69.748000000000005</v>
      </c>
      <c r="U33" s="14">
        <f>C43</f>
        <v>0.35496227571593492</v>
      </c>
    </row>
    <row r="34" spans="1:48" ht="16" x14ac:dyDescent="0.2">
      <c r="A34" s="4" t="s">
        <v>39</v>
      </c>
      <c r="B34" s="8">
        <v>0</v>
      </c>
      <c r="C34" s="8">
        <v>66918</v>
      </c>
      <c r="D34" s="8">
        <v>0</v>
      </c>
      <c r="E34" s="8">
        <v>0</v>
      </c>
      <c r="F34" s="8">
        <v>5265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130</v>
      </c>
      <c r="O34" s="8">
        <v>72313</v>
      </c>
      <c r="P34" s="17">
        <f>O34/O$39</f>
        <v>0.3879993990578085</v>
      </c>
      <c r="Q34" s="18" t="s">
        <v>40</v>
      </c>
      <c r="R34" s="3"/>
      <c r="S34" s="3"/>
      <c r="T34" s="12">
        <f>SUM(T24:T33)</f>
        <v>196.49412000000001</v>
      </c>
      <c r="U34" s="13">
        <f>SUM(U24:U33)</f>
        <v>1</v>
      </c>
    </row>
    <row r="35" spans="1:48" ht="16" x14ac:dyDescent="0.2">
      <c r="A35" s="4" t="s">
        <v>41</v>
      </c>
      <c r="B35" s="8">
        <v>2204</v>
      </c>
      <c r="C35" s="8">
        <v>692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16966</v>
      </c>
      <c r="O35" s="8">
        <v>19861</v>
      </c>
      <c r="P35" s="17">
        <f>O35/O$39</f>
        <v>0.10656529344221834</v>
      </c>
      <c r="Q35" s="18" t="s">
        <v>42</v>
      </c>
      <c r="R35" s="18"/>
    </row>
    <row r="36" spans="1:48" ht="16" x14ac:dyDescent="0.2">
      <c r="A36" s="4" t="s">
        <v>43</v>
      </c>
      <c r="B36" s="8">
        <v>2652</v>
      </c>
      <c r="C36" s="8">
        <v>318</v>
      </c>
      <c r="D36" s="8">
        <v>0</v>
      </c>
      <c r="E36" s="8">
        <v>0</v>
      </c>
      <c r="F36" s="8">
        <v>0</v>
      </c>
      <c r="G36" s="8">
        <v>19256</v>
      </c>
      <c r="H36" s="8">
        <v>0</v>
      </c>
      <c r="I36" s="8"/>
      <c r="J36" s="8"/>
      <c r="K36" s="8"/>
      <c r="L36" s="8"/>
      <c r="M36" s="27"/>
      <c r="N36" s="8">
        <v>34307</v>
      </c>
      <c r="O36" s="8">
        <v>56534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8">
        <v>12652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2526</v>
      </c>
      <c r="O37" s="8">
        <v>15178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5274</v>
      </c>
      <c r="O38" s="8">
        <v>5274</v>
      </c>
      <c r="P38" s="18">
        <f>SUM(P31:P35)</f>
        <v>0.58692199555732028</v>
      </c>
      <c r="Q38" s="18"/>
      <c r="R38" s="3"/>
      <c r="S38" s="7" t="s">
        <v>46</v>
      </c>
      <c r="T38" s="19">
        <f>O45/1000</f>
        <v>10.676119999999999</v>
      </c>
      <c r="U38" s="7"/>
    </row>
    <row r="39" spans="1:48" ht="16" x14ac:dyDescent="0.2">
      <c r="A39" s="4" t="s">
        <v>15</v>
      </c>
      <c r="B39" s="8">
        <v>23167</v>
      </c>
      <c r="C39" s="8">
        <v>69639</v>
      </c>
      <c r="D39" s="8">
        <v>0</v>
      </c>
      <c r="E39" s="8">
        <v>0</v>
      </c>
      <c r="F39" s="8">
        <v>5375</v>
      </c>
      <c r="G39" s="8">
        <v>19854</v>
      </c>
      <c r="H39" s="8">
        <v>0</v>
      </c>
      <c r="I39" s="8"/>
      <c r="J39" s="8"/>
      <c r="K39" s="8"/>
      <c r="L39" s="8"/>
      <c r="M39" s="27"/>
      <c r="N39" s="8">
        <v>68339</v>
      </c>
      <c r="O39" s="8">
        <v>186374</v>
      </c>
      <c r="P39" s="3"/>
      <c r="Q39" s="3"/>
      <c r="R39" s="3"/>
      <c r="S39" s="7" t="s">
        <v>47</v>
      </c>
      <c r="T39" s="20">
        <f>O41/1000</f>
        <v>76.986000000000004</v>
      </c>
      <c r="U39" s="13">
        <f>P41</f>
        <v>0.41307263888739848</v>
      </c>
    </row>
    <row r="40" spans="1:48" x14ac:dyDescent="0.2"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S40" s="7" t="s">
        <v>48</v>
      </c>
      <c r="T40" s="20">
        <f>O35/1000</f>
        <v>19.861000000000001</v>
      </c>
      <c r="U40" s="14">
        <f>P35</f>
        <v>0.10656529344221834</v>
      </c>
    </row>
    <row r="41" spans="1:48" ht="16" x14ac:dyDescent="0.2">
      <c r="A41" s="21" t="s">
        <v>49</v>
      </c>
      <c r="B41" s="22">
        <f>B38+B37+B36</f>
        <v>15304</v>
      </c>
      <c r="C41" s="22">
        <f t="shared" ref="C41:O41" si="0">C38+C37+C36</f>
        <v>318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19256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42107</v>
      </c>
      <c r="O41" s="22">
        <f t="shared" si="0"/>
        <v>76986</v>
      </c>
      <c r="P41" s="17">
        <f>O41/O$39</f>
        <v>0.41307263888739848</v>
      </c>
      <c r="Q41" s="17" t="s">
        <v>50</v>
      </c>
      <c r="R41" s="7"/>
      <c r="S41" s="7" t="s">
        <v>51</v>
      </c>
      <c r="T41" s="20">
        <f>O33/1000</f>
        <v>7.7140000000000004</v>
      </c>
      <c r="U41" s="13">
        <f>P33</f>
        <v>4.1389893440072115E-2</v>
      </c>
    </row>
    <row r="42" spans="1:48" ht="16" x14ac:dyDescent="0.2">
      <c r="A42" s="23" t="s">
        <v>52</v>
      </c>
      <c r="B42" s="22"/>
      <c r="C42" s="24">
        <f>C39+C23+C10</f>
        <v>69748</v>
      </c>
      <c r="D42" s="24">
        <f t="shared" ref="D42:M42" si="1">D39+D23+D10</f>
        <v>0</v>
      </c>
      <c r="E42" s="24">
        <f t="shared" si="1"/>
        <v>0</v>
      </c>
      <c r="F42" s="24">
        <f t="shared" si="1"/>
        <v>5375</v>
      </c>
      <c r="G42" s="24">
        <f t="shared" si="1"/>
        <v>47565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73806.12</v>
      </c>
      <c r="O42" s="25">
        <f>SUM(C42:N42)</f>
        <v>196494.12</v>
      </c>
      <c r="P42" s="7"/>
      <c r="Q42" s="7"/>
      <c r="R42" s="7"/>
      <c r="S42" s="7" t="s">
        <v>33</v>
      </c>
      <c r="T42" s="20">
        <f>O31/1000</f>
        <v>3.3069999999999999</v>
      </c>
      <c r="U42" s="13">
        <f>P31</f>
        <v>1.7743891315312222E-2</v>
      </c>
    </row>
    <row r="43" spans="1:48" ht="16" x14ac:dyDescent="0.2">
      <c r="A43" s="23" t="s">
        <v>53</v>
      </c>
      <c r="B43" s="22"/>
      <c r="C43" s="17">
        <f t="shared" ref="C43:N43" si="2">C42/$O42</f>
        <v>0.35496227571593492</v>
      </c>
      <c r="D43" s="17">
        <f t="shared" si="2"/>
        <v>0</v>
      </c>
      <c r="E43" s="17">
        <f t="shared" si="2"/>
        <v>0</v>
      </c>
      <c r="F43" s="17">
        <f t="shared" si="2"/>
        <v>2.7354508114543073E-2</v>
      </c>
      <c r="G43" s="17">
        <f t="shared" si="2"/>
        <v>0.24206831227316117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0.37561490389636087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6.1920000000000002</v>
      </c>
      <c r="U43" s="14">
        <f>P32</f>
        <v>3.3223518301909068E-2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72.313000000000002</v>
      </c>
      <c r="U44" s="14">
        <f>P34</f>
        <v>0.3879993990578085</v>
      </c>
    </row>
    <row r="45" spans="1:48" ht="16" x14ac:dyDescent="0.2">
      <c r="A45" s="6" t="s">
        <v>56</v>
      </c>
      <c r="B45" s="6">
        <f>B23-B39</f>
        <v>5209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5467.12</v>
      </c>
      <c r="O45" s="25">
        <f>B45+N45</f>
        <v>10676.119999999999</v>
      </c>
      <c r="P45" s="7"/>
      <c r="Q45" s="7"/>
      <c r="R45" s="7"/>
      <c r="S45" s="7" t="s">
        <v>57</v>
      </c>
      <c r="T45" s="20">
        <f>SUM(T39:T44)</f>
        <v>186.37299999999999</v>
      </c>
      <c r="U45" s="13">
        <f>SUM(U39:U44)</f>
        <v>0.99999463444471881</v>
      </c>
    </row>
    <row r="46" spans="1:48" ht="16" x14ac:dyDescent="0.2">
      <c r="A46" s="6"/>
      <c r="B46" s="53">
        <f>B45/B23</f>
        <v>0.18357062306174232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1"/>
      <c r="E47" s="40"/>
      <c r="F47" s="40"/>
      <c r="G47" s="41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1"/>
      <c r="E48" s="40"/>
      <c r="F48" s="40"/>
      <c r="G48" s="41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7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8" enableFormatConditionsCalculation="0"/>
  <dimension ref="A1:AV70"/>
  <sheetViews>
    <sheetView topLeftCell="D8" workbookViewId="0">
      <selection activeCell="U35" sqref="U35"/>
    </sheetView>
  </sheetViews>
  <sheetFormatPr baseColWidth="10" defaultColWidth="8.83203125" defaultRowHeight="15" x14ac:dyDescent="0.2"/>
  <cols>
    <col min="1" max="1" width="22.5" style="2" customWidth="1"/>
    <col min="2" max="11" width="10" style="2" customWidth="1"/>
    <col min="12" max="13" width="5.3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4" t="s">
        <v>66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5.75" x14ac:dyDescent="0.25">
      <c r="A4" s="4" t="s">
        <v>78</v>
      </c>
      <c r="B4" s="64">
        <v>32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5.75" x14ac:dyDescent="0.25">
      <c r="A8" s="4" t="s">
        <v>13</v>
      </c>
      <c r="B8" s="55">
        <v>1116757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5.75" x14ac:dyDescent="0.25">
      <c r="A9" s="4" t="s">
        <v>14</v>
      </c>
      <c r="B9" s="63">
        <v>36015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15</v>
      </c>
      <c r="B10" s="64">
        <f>SUM(B4:B9)</f>
        <v>1152804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27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6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6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6" x14ac:dyDescent="0.2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6" x14ac:dyDescent="0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58">
        <v>11100</v>
      </c>
      <c r="C18" s="58">
        <v>300</v>
      </c>
      <c r="D18" s="8">
        <v>0</v>
      </c>
      <c r="E18" s="8">
        <v>0</v>
      </c>
      <c r="F18" s="8">
        <v>0</v>
      </c>
      <c r="G18" s="58">
        <v>14700</v>
      </c>
      <c r="H18" s="8">
        <v>0</v>
      </c>
      <c r="I18" s="8"/>
      <c r="J18" s="8"/>
      <c r="K18" s="8"/>
      <c r="L18" s="8"/>
      <c r="M18" s="8"/>
      <c r="N18" s="8"/>
      <c r="O18" s="58">
        <f>SUM(C18:H18)</f>
        <v>15000</v>
      </c>
      <c r="P18" s="3"/>
      <c r="Q18" s="3"/>
      <c r="R18" s="3"/>
      <c r="S18" s="3"/>
      <c r="T18" s="3"/>
      <c r="U18" s="3"/>
    </row>
    <row r="19" spans="1:21" ht="16" x14ac:dyDescent="0.2">
      <c r="A19" s="4" t="s">
        <v>21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/>
      <c r="T19" s="3"/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 t="s">
        <v>25</v>
      </c>
      <c r="T21" s="11">
        <f>O42/1000</f>
        <v>401.72188</v>
      </c>
      <c r="U21" s="3"/>
    </row>
    <row r="22" spans="1:21" ht="16" x14ac:dyDescent="0.2">
      <c r="A22" s="4" t="s">
        <v>24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3"/>
      <c r="T22" s="3"/>
      <c r="U22" s="3"/>
    </row>
    <row r="23" spans="1:21" ht="16" x14ac:dyDescent="0.2">
      <c r="A23" s="4" t="s">
        <v>15</v>
      </c>
      <c r="B23" s="58">
        <f>B18</f>
        <v>11100</v>
      </c>
      <c r="C23" s="58">
        <f>C18</f>
        <v>300</v>
      </c>
      <c r="D23" s="8">
        <v>0</v>
      </c>
      <c r="E23" s="8">
        <v>0</v>
      </c>
      <c r="F23" s="8">
        <v>0</v>
      </c>
      <c r="G23" s="58">
        <f>G18</f>
        <v>14700</v>
      </c>
      <c r="H23" s="8">
        <v>0</v>
      </c>
      <c r="I23" s="8"/>
      <c r="J23" s="8"/>
      <c r="K23" s="8"/>
      <c r="L23" s="8"/>
      <c r="M23" s="8"/>
      <c r="N23" s="8"/>
      <c r="O23" s="58">
        <f>O18</f>
        <v>15000</v>
      </c>
      <c r="P23" s="3"/>
      <c r="Q23" s="3"/>
      <c r="R23" s="3"/>
      <c r="S23" s="3"/>
      <c r="T23" s="3" t="s">
        <v>26</v>
      </c>
      <c r="U23" s="3" t="s">
        <v>27</v>
      </c>
    </row>
    <row r="24" spans="1:21" ht="16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9</v>
      </c>
      <c r="T24" s="12">
        <f>N42/1000</f>
        <v>165.06288000000001</v>
      </c>
      <c r="U24" s="13">
        <f>N43</f>
        <v>0.41088844849576028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58</v>
      </c>
      <c r="T25" s="12">
        <f>G42/1000</f>
        <v>149.124</v>
      </c>
      <c r="U25" s="14">
        <f>G43</f>
        <v>0.37121204351627546</v>
      </c>
    </row>
    <row r="26" spans="1:21" ht="16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6</v>
      </c>
      <c r="T26" s="12">
        <f>J42/1000</f>
        <v>0</v>
      </c>
      <c r="U26" s="13">
        <f>J43</f>
        <v>0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30</v>
      </c>
      <c r="T27" s="12">
        <f>F42/1000</f>
        <v>6.3680000000000003</v>
      </c>
      <c r="U27" s="13">
        <f>F43</f>
        <v>1.5851762916174742E-2</v>
      </c>
    </row>
    <row r="28" spans="1:21" ht="16" x14ac:dyDescent="0.2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3</v>
      </c>
      <c r="T28" s="11">
        <f>E42/1000</f>
        <v>5.0000000000000001E-3</v>
      </c>
      <c r="U28" s="13">
        <f>E43</f>
        <v>1.2446421887700018E-5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2" t="s">
        <v>2</v>
      </c>
      <c r="T29" s="2">
        <f>D42/1000</f>
        <v>0</v>
      </c>
      <c r="U29" s="46">
        <f>D43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7</v>
      </c>
      <c r="T30" s="2">
        <f>K42/1000</f>
        <v>0</v>
      </c>
      <c r="U30" s="46">
        <f>K43</f>
        <v>0</v>
      </c>
    </row>
    <row r="31" spans="1:21" ht="16" x14ac:dyDescent="0.2">
      <c r="A31" s="4" t="s">
        <v>32</v>
      </c>
      <c r="B31" s="8">
        <v>0</v>
      </c>
      <c r="C31" s="8">
        <v>886</v>
      </c>
      <c r="D31" s="8">
        <v>0</v>
      </c>
      <c r="E31" s="8">
        <v>0</v>
      </c>
      <c r="F31" s="8">
        <v>87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1918</v>
      </c>
      <c r="O31" s="8">
        <v>2891</v>
      </c>
      <c r="P31" s="17">
        <f>O31/O$39</f>
        <v>7.518953432424349E-3</v>
      </c>
      <c r="Q31" s="18" t="s">
        <v>33</v>
      </c>
      <c r="R31" s="3"/>
      <c r="S31" s="3" t="s">
        <v>4</v>
      </c>
      <c r="T31" s="12">
        <f>I42/1000</f>
        <v>0</v>
      </c>
      <c r="U31" s="13">
        <f>I43</f>
        <v>0</v>
      </c>
    </row>
    <row r="32" spans="1:21" ht="16" x14ac:dyDescent="0.2">
      <c r="A32" s="4" t="s">
        <v>35</v>
      </c>
      <c r="B32" s="8">
        <v>0</v>
      </c>
      <c r="C32" s="55">
        <v>1150</v>
      </c>
      <c r="D32" s="8">
        <v>0</v>
      </c>
      <c r="E32" s="55">
        <v>5</v>
      </c>
      <c r="F32" s="8">
        <v>0</v>
      </c>
      <c r="G32" s="55">
        <f>G39-G36</f>
        <v>109124</v>
      </c>
      <c r="H32" s="8">
        <v>0</v>
      </c>
      <c r="I32" s="8"/>
      <c r="J32" s="8"/>
      <c r="K32" s="8"/>
      <c r="L32" s="8"/>
      <c r="M32" s="27"/>
      <c r="N32" s="8">
        <v>27484</v>
      </c>
      <c r="O32" s="55">
        <f>SUM(C32:N32)</f>
        <v>137763</v>
      </c>
      <c r="P32" s="17">
        <f>O32/O$39</f>
        <v>0.3582959466312956</v>
      </c>
      <c r="Q32" s="18" t="s">
        <v>36</v>
      </c>
      <c r="R32" s="3"/>
      <c r="S32" s="3" t="s">
        <v>5</v>
      </c>
      <c r="T32" s="12">
        <f>H42/1000</f>
        <v>0</v>
      </c>
      <c r="U32" s="13">
        <f>H43</f>
        <v>0</v>
      </c>
    </row>
    <row r="33" spans="1:48" ht="16" x14ac:dyDescent="0.2">
      <c r="A33" s="4" t="s">
        <v>37</v>
      </c>
      <c r="B33" s="70">
        <v>2257</v>
      </c>
      <c r="C33" s="8">
        <v>30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55">
        <f>N39-SUM(N34:N38,N31:N32)</f>
        <v>9949</v>
      </c>
      <c r="O33" s="55">
        <f>SUM(B33:N33)</f>
        <v>12236</v>
      </c>
      <c r="P33" s="17">
        <f>O33/O$39</f>
        <v>3.1823560774522426E-2</v>
      </c>
      <c r="Q33" s="18" t="s">
        <v>38</v>
      </c>
      <c r="R33" s="3"/>
      <c r="S33" s="3" t="s">
        <v>34</v>
      </c>
      <c r="T33" s="12">
        <f>C42/1000</f>
        <v>81.162000000000006</v>
      </c>
      <c r="U33" s="14">
        <f>C43</f>
        <v>0.20203529864990177</v>
      </c>
    </row>
    <row r="34" spans="1:48" ht="16" x14ac:dyDescent="0.2">
      <c r="A34" s="4" t="s">
        <v>39</v>
      </c>
      <c r="B34" s="8">
        <v>0</v>
      </c>
      <c r="C34" s="8">
        <v>75614</v>
      </c>
      <c r="D34" s="8">
        <v>0</v>
      </c>
      <c r="E34" s="8">
        <v>0</v>
      </c>
      <c r="F34" s="8">
        <v>6281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119</v>
      </c>
      <c r="O34" s="8">
        <v>82014</v>
      </c>
      <c r="P34" s="17">
        <f>O34/O$39</f>
        <v>0.21330316389029766</v>
      </c>
      <c r="Q34" s="18" t="s">
        <v>40</v>
      </c>
      <c r="R34" s="3"/>
      <c r="S34" s="3"/>
      <c r="T34" s="12">
        <f>SUM(T24:T33)</f>
        <v>401.72187999999994</v>
      </c>
      <c r="U34" s="13">
        <f>SUM(U24:U33)</f>
        <v>1</v>
      </c>
    </row>
    <row r="35" spans="1:48" ht="16" x14ac:dyDescent="0.2">
      <c r="A35" s="4" t="s">
        <v>41</v>
      </c>
      <c r="B35" s="70">
        <v>4891</v>
      </c>
      <c r="C35" s="8">
        <v>2670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43710</v>
      </c>
      <c r="O35" s="70">
        <f>SUM(B35:N35)</f>
        <v>51271</v>
      </c>
      <c r="P35" s="17">
        <f>O35/O$39</f>
        <v>0.13334633740360732</v>
      </c>
      <c r="Q35" s="18" t="s">
        <v>42</v>
      </c>
      <c r="R35" s="18"/>
    </row>
    <row r="36" spans="1:48" ht="16" x14ac:dyDescent="0.2">
      <c r="A36" s="4" t="s">
        <v>43</v>
      </c>
      <c r="B36" s="70">
        <v>152</v>
      </c>
      <c r="C36" s="8">
        <v>512</v>
      </c>
      <c r="D36" s="8">
        <v>0</v>
      </c>
      <c r="E36" s="8">
        <v>0</v>
      </c>
      <c r="F36" s="8">
        <v>0</v>
      </c>
      <c r="G36" s="55">
        <v>25300</v>
      </c>
      <c r="H36" s="8">
        <v>0</v>
      </c>
      <c r="I36" s="56"/>
      <c r="J36" s="8"/>
      <c r="K36" s="8"/>
      <c r="L36" s="8"/>
      <c r="M36" s="27"/>
      <c r="N36" s="55">
        <f>173+42299</f>
        <v>42472</v>
      </c>
      <c r="O36" s="70">
        <f>SUM(B36:N36)</f>
        <v>68436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58">
        <v>2700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2576</v>
      </c>
      <c r="O37" s="70">
        <f>SUM(B37:N37)</f>
        <v>5276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60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55">
        <f>233+24375</f>
        <v>24608</v>
      </c>
      <c r="O38" s="55">
        <f>SUM(B38:N38)</f>
        <v>24608</v>
      </c>
      <c r="P38" s="18">
        <f>SUM(P31:P35)</f>
        <v>0.74428796213214743</v>
      </c>
      <c r="Q38" s="18"/>
      <c r="R38" s="3"/>
      <c r="S38" s="7" t="s">
        <v>46</v>
      </c>
      <c r="T38" s="19">
        <f>O45/1000</f>
        <v>13.326880000000001</v>
      </c>
      <c r="U38" s="7"/>
    </row>
    <row r="39" spans="1:48" ht="16" x14ac:dyDescent="0.2">
      <c r="A39" s="4" t="s">
        <v>15</v>
      </c>
      <c r="B39" s="58">
        <v>10000</v>
      </c>
      <c r="C39" s="55">
        <f>SUM(C31:C36)</f>
        <v>80862</v>
      </c>
      <c r="D39" s="8">
        <v>0</v>
      </c>
      <c r="E39" s="55">
        <v>5</v>
      </c>
      <c r="F39" s="8">
        <v>6368</v>
      </c>
      <c r="G39" s="8">
        <v>134424</v>
      </c>
      <c r="H39" s="8">
        <v>0</v>
      </c>
      <c r="I39" s="8"/>
      <c r="J39" s="8"/>
      <c r="K39" s="8"/>
      <c r="L39" s="8"/>
      <c r="M39" s="27"/>
      <c r="N39" s="8">
        <v>152836</v>
      </c>
      <c r="O39" s="70">
        <f>SUM(B39:N39)</f>
        <v>384495</v>
      </c>
      <c r="P39" s="3"/>
      <c r="Q39" s="3"/>
      <c r="R39" s="3"/>
      <c r="S39" s="7" t="s">
        <v>47</v>
      </c>
      <c r="T39" s="20">
        <f>O41/1000</f>
        <v>98.32</v>
      </c>
      <c r="U39" s="13">
        <f>P41</f>
        <v>0.25571203786785263</v>
      </c>
    </row>
    <row r="40" spans="1:48" x14ac:dyDescent="0.2"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S40" s="7" t="s">
        <v>48</v>
      </c>
      <c r="T40" s="20">
        <f>O35/1000</f>
        <v>51.271000000000001</v>
      </c>
      <c r="U40" s="14">
        <f>P35</f>
        <v>0.13334633740360732</v>
      </c>
    </row>
    <row r="41" spans="1:48" ht="16" x14ac:dyDescent="0.2">
      <c r="A41" s="21" t="s">
        <v>49</v>
      </c>
      <c r="B41" s="22">
        <f>B38+B37+B36</f>
        <v>2852</v>
      </c>
      <c r="C41" s="22">
        <f t="shared" ref="C41:O41" si="0">C38+C37+C36</f>
        <v>512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25300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69656</v>
      </c>
      <c r="O41" s="22">
        <f t="shared" si="0"/>
        <v>98320</v>
      </c>
      <c r="P41" s="17">
        <f>O41/O$39</f>
        <v>0.25571203786785263</v>
      </c>
      <c r="Q41" s="17" t="s">
        <v>50</v>
      </c>
      <c r="R41" s="7"/>
      <c r="S41" s="7" t="s">
        <v>51</v>
      </c>
      <c r="T41" s="20">
        <f>O33/1000</f>
        <v>12.236000000000001</v>
      </c>
      <c r="U41" s="13">
        <f>P33</f>
        <v>3.1823560774522426E-2</v>
      </c>
    </row>
    <row r="42" spans="1:48" ht="16" x14ac:dyDescent="0.2">
      <c r="A42" s="23" t="s">
        <v>52</v>
      </c>
      <c r="B42" s="22"/>
      <c r="C42" s="24">
        <f>C39+C23+C10</f>
        <v>81162</v>
      </c>
      <c r="D42" s="24">
        <f t="shared" ref="D42:M42" si="1">D39+D23+D10</f>
        <v>0</v>
      </c>
      <c r="E42" s="24">
        <f t="shared" si="1"/>
        <v>5</v>
      </c>
      <c r="F42" s="24">
        <f t="shared" si="1"/>
        <v>6368</v>
      </c>
      <c r="G42" s="24">
        <f t="shared" si="1"/>
        <v>149124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165062.88</v>
      </c>
      <c r="O42" s="25">
        <f>SUM(C42:N42)</f>
        <v>401721.88</v>
      </c>
      <c r="P42" s="7"/>
      <c r="Q42" s="7"/>
      <c r="R42" s="7"/>
      <c r="S42" s="7" t="s">
        <v>33</v>
      </c>
      <c r="T42" s="20">
        <f>O31/1000</f>
        <v>2.891</v>
      </c>
      <c r="U42" s="13">
        <f>P31</f>
        <v>7.518953432424349E-3</v>
      </c>
    </row>
    <row r="43" spans="1:48" ht="16" x14ac:dyDescent="0.2">
      <c r="A43" s="23" t="s">
        <v>53</v>
      </c>
      <c r="B43" s="22"/>
      <c r="C43" s="17">
        <f t="shared" ref="C43:N43" si="2">C42/$O42</f>
        <v>0.20203529864990177</v>
      </c>
      <c r="D43" s="17">
        <f t="shared" si="2"/>
        <v>0</v>
      </c>
      <c r="E43" s="17">
        <f t="shared" si="2"/>
        <v>1.2446421887700018E-5</v>
      </c>
      <c r="F43" s="17">
        <f t="shared" si="2"/>
        <v>1.5851762916174742E-2</v>
      </c>
      <c r="G43" s="17">
        <f t="shared" si="2"/>
        <v>0.37121204351627546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0.41088844849576028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137.76300000000001</v>
      </c>
      <c r="U43" s="14">
        <f>P32</f>
        <v>0.3582959466312956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82.013999999999996</v>
      </c>
      <c r="U44" s="14">
        <f>P34</f>
        <v>0.21330316389029766</v>
      </c>
    </row>
    <row r="45" spans="1:48" ht="16" x14ac:dyDescent="0.2">
      <c r="A45" s="6" t="s">
        <v>56</v>
      </c>
      <c r="B45" s="6">
        <f>B23-B39</f>
        <v>1100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12226.880000000001</v>
      </c>
      <c r="O45" s="25">
        <f>B45+N45</f>
        <v>13326.880000000001</v>
      </c>
      <c r="P45" s="7"/>
      <c r="Q45" s="7"/>
      <c r="R45" s="7"/>
      <c r="S45" s="7" t="s">
        <v>57</v>
      </c>
      <c r="T45" s="20">
        <f>SUM(T39:T44)</f>
        <v>384.495</v>
      </c>
      <c r="U45" s="13">
        <f>SUM(U39:U44)</f>
        <v>1</v>
      </c>
    </row>
    <row r="46" spans="1:48" ht="16" x14ac:dyDescent="0.2">
      <c r="A46" s="6"/>
      <c r="B46" s="53">
        <f>B45/B23</f>
        <v>9.90990990990991E-2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1"/>
      <c r="E48" s="40"/>
      <c r="F48" s="41"/>
      <c r="G48" s="40"/>
      <c r="H48" s="41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7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1"/>
      <c r="E52" s="40"/>
      <c r="F52" s="40"/>
      <c r="G52" s="40"/>
      <c r="H52" s="41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1"/>
      <c r="E55" s="40"/>
      <c r="F55" s="41"/>
      <c r="G55" s="40"/>
      <c r="H55" s="41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1"/>
      <c r="E56" s="40"/>
      <c r="F56" s="41"/>
      <c r="G56" s="40"/>
      <c r="H56" s="41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9" enableFormatConditionsCalculation="0"/>
  <dimension ref="A1:AV70"/>
  <sheetViews>
    <sheetView topLeftCell="D14" workbookViewId="0">
      <selection activeCell="U35" sqref="U35"/>
    </sheetView>
  </sheetViews>
  <sheetFormatPr baseColWidth="10" defaultColWidth="8.83203125" defaultRowHeight="15" x14ac:dyDescent="0.2"/>
  <cols>
    <col min="1" max="1" width="22.5" style="2" customWidth="1"/>
    <col min="2" max="11" width="10" style="2" customWidth="1"/>
    <col min="12" max="13" width="5.33203125" style="2" customWidth="1"/>
    <col min="14" max="14" width="8.83203125" style="2" customWidth="1"/>
    <col min="15" max="15" width="10" style="2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67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58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27"/>
      <c r="R3" s="27"/>
      <c r="AH3" s="27"/>
      <c r="AI3" s="27"/>
    </row>
    <row r="4" spans="1:35" ht="15.75" x14ac:dyDescent="0.25">
      <c r="A4" s="4" t="s">
        <v>78</v>
      </c>
      <c r="B4" s="74">
        <v>109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11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AH6" s="27"/>
      <c r="AI6" s="27"/>
    </row>
    <row r="7" spans="1:35" ht="16" x14ac:dyDescent="0.2">
      <c r="A7" s="4" t="s">
        <v>12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27"/>
      <c r="AH7" s="27"/>
      <c r="AI7" s="27"/>
    </row>
    <row r="8" spans="1:35" ht="15.75" x14ac:dyDescent="0.25">
      <c r="A8" s="4" t="s">
        <v>13</v>
      </c>
      <c r="B8" s="8">
        <v>43870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27"/>
      <c r="AH8" s="27"/>
      <c r="AI8" s="27"/>
    </row>
    <row r="9" spans="1:35" ht="15.75" x14ac:dyDescent="0.25">
      <c r="A9" s="4" t="s">
        <v>14</v>
      </c>
      <c r="B9" s="63">
        <v>6123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27"/>
      <c r="S9" s="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15</v>
      </c>
      <c r="B10" s="55">
        <f>SUM(B4:B9)</f>
        <v>50102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27"/>
      <c r="S10" s="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3"/>
      <c r="S11" s="3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35" ht="15.75" x14ac:dyDescent="0.25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58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9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</row>
    <row r="17" spans="1:21" ht="16" x14ac:dyDescent="0.2">
      <c r="A17" s="4" t="s">
        <v>19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3"/>
      <c r="Q17" s="3"/>
      <c r="R17" s="3"/>
      <c r="S17" s="3"/>
      <c r="T17" s="3"/>
      <c r="U17" s="3"/>
    </row>
    <row r="18" spans="1:21" ht="16" x14ac:dyDescent="0.2">
      <c r="A18" s="4" t="s">
        <v>20</v>
      </c>
      <c r="B18" s="8">
        <f>18389+4547</f>
        <v>22936</v>
      </c>
      <c r="C18" s="8">
        <v>1005</v>
      </c>
      <c r="D18" s="8">
        <v>0</v>
      </c>
      <c r="E18" s="8">
        <v>0</v>
      </c>
      <c r="F18" s="8">
        <v>0</v>
      </c>
      <c r="G18" s="8">
        <v>18876</v>
      </c>
      <c r="H18" s="8">
        <v>0</v>
      </c>
      <c r="I18" s="8"/>
      <c r="J18" s="8"/>
      <c r="K18" s="8"/>
      <c r="L18" s="8"/>
      <c r="M18" s="8"/>
      <c r="N18" s="58">
        <f>4500</f>
        <v>4500</v>
      </c>
      <c r="O18" s="58">
        <f>SUM(C18:N18)</f>
        <v>24381</v>
      </c>
      <c r="P18" s="3"/>
      <c r="Q18" s="3"/>
      <c r="R18" s="3"/>
      <c r="S18" s="3"/>
      <c r="T18" s="3"/>
      <c r="U18" s="3"/>
    </row>
    <row r="19" spans="1:21" ht="16" x14ac:dyDescent="0.2">
      <c r="A19" s="4" t="s">
        <v>21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3"/>
      <c r="Q19" s="3"/>
      <c r="R19" s="3"/>
      <c r="S19" s="3"/>
      <c r="T19" s="3"/>
      <c r="U19" s="3"/>
    </row>
    <row r="20" spans="1:21" ht="16" x14ac:dyDescent="0.2">
      <c r="A20" s="4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3"/>
      <c r="Q20" s="3"/>
      <c r="R20" s="3"/>
      <c r="S20" s="3"/>
      <c r="T20" s="3"/>
      <c r="U20" s="3"/>
    </row>
    <row r="21" spans="1:21" ht="16" x14ac:dyDescent="0.2">
      <c r="A21" s="4" t="s">
        <v>23</v>
      </c>
      <c r="B21" s="8">
        <v>25018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3"/>
      <c r="Q21" s="3"/>
      <c r="R21" s="3"/>
      <c r="S21" s="3" t="s">
        <v>25</v>
      </c>
      <c r="T21" s="11">
        <f>O42/1000</f>
        <v>538.06095999999991</v>
      </c>
      <c r="U21" s="3"/>
    </row>
    <row r="22" spans="1:21" ht="16" x14ac:dyDescent="0.2">
      <c r="A22" s="4" t="s">
        <v>24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3"/>
      <c r="Q22" s="3"/>
      <c r="R22" s="3"/>
      <c r="S22" s="3"/>
      <c r="T22" s="3"/>
      <c r="U22" s="3"/>
    </row>
    <row r="23" spans="1:21" ht="16" x14ac:dyDescent="0.2">
      <c r="A23" s="4" t="s">
        <v>15</v>
      </c>
      <c r="B23" s="8">
        <v>47954</v>
      </c>
      <c r="C23" s="8">
        <v>1005</v>
      </c>
      <c r="D23" s="8">
        <v>0</v>
      </c>
      <c r="E23" s="8">
        <v>0</v>
      </c>
      <c r="F23" s="8">
        <v>0</v>
      </c>
      <c r="G23" s="8">
        <v>18876</v>
      </c>
      <c r="H23" s="8">
        <v>0</v>
      </c>
      <c r="I23" s="8"/>
      <c r="J23" s="8"/>
      <c r="K23" s="8"/>
      <c r="L23" s="8"/>
      <c r="M23" s="8"/>
      <c r="N23" s="58">
        <f>N18</f>
        <v>4500</v>
      </c>
      <c r="O23" s="58">
        <f>O18</f>
        <v>24381</v>
      </c>
      <c r="P23" s="3"/>
      <c r="Q23" s="3"/>
      <c r="R23" s="3"/>
      <c r="S23" s="3"/>
      <c r="T23" s="3" t="s">
        <v>26</v>
      </c>
      <c r="U23" s="3" t="s">
        <v>27</v>
      </c>
    </row>
    <row r="24" spans="1:21" ht="16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9</v>
      </c>
      <c r="T24" s="12">
        <f>N42/1000</f>
        <v>361.93896000000001</v>
      </c>
      <c r="U24" s="13">
        <f>N43</f>
        <v>0.67267277670545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58</v>
      </c>
      <c r="T25" s="12">
        <f>G42/1000</f>
        <v>47.62</v>
      </c>
      <c r="U25" s="14">
        <f>G43</f>
        <v>8.8502983007724634E-2</v>
      </c>
    </row>
    <row r="26" spans="1:21" ht="16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6</v>
      </c>
      <c r="T26" s="12">
        <f>J42/1000</f>
        <v>0</v>
      </c>
      <c r="U26" s="13">
        <f>J43</f>
        <v>0</v>
      </c>
    </row>
    <row r="27" spans="1:21" ht="19" x14ac:dyDescent="0.25">
      <c r="A27" s="1" t="s">
        <v>28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30</v>
      </c>
      <c r="T27" s="12">
        <f>F42/1000</f>
        <v>2.9510000000000001</v>
      </c>
      <c r="U27" s="13">
        <f>F43</f>
        <v>5.484508669798307E-3</v>
      </c>
    </row>
    <row r="28" spans="1:21" ht="16" x14ac:dyDescent="0.2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3</v>
      </c>
      <c r="T28" s="11">
        <f>E42/1000</f>
        <v>72.61</v>
      </c>
      <c r="U28" s="13">
        <f>E43</f>
        <v>0.13494753456931721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58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2" t="s">
        <v>2</v>
      </c>
      <c r="T29" s="2">
        <f>D42/1000</f>
        <v>0</v>
      </c>
      <c r="U29" s="46">
        <f>D43</f>
        <v>0</v>
      </c>
    </row>
    <row r="30" spans="1:21" ht="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7</v>
      </c>
      <c r="T30" s="2">
        <f>K42/1000</f>
        <v>0</v>
      </c>
      <c r="U30" s="46">
        <f>K43</f>
        <v>0</v>
      </c>
    </row>
    <row r="31" spans="1:21" ht="16" x14ac:dyDescent="0.2">
      <c r="A31" s="4" t="s">
        <v>32</v>
      </c>
      <c r="B31" s="8">
        <v>0</v>
      </c>
      <c r="C31" s="8">
        <v>927</v>
      </c>
      <c r="D31" s="8">
        <v>0</v>
      </c>
      <c r="E31" s="8">
        <v>0</v>
      </c>
      <c r="F31" s="8">
        <v>94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1010</v>
      </c>
      <c r="O31" s="8">
        <v>2031</v>
      </c>
      <c r="P31" s="17">
        <f>O31/O$39</f>
        <v>3.825694502000437E-3</v>
      </c>
      <c r="Q31" s="18" t="s">
        <v>33</v>
      </c>
      <c r="R31" s="3"/>
      <c r="S31" s="3" t="s">
        <v>4</v>
      </c>
      <c r="T31" s="12">
        <f>I42/1000</f>
        <v>0</v>
      </c>
      <c r="U31" s="13">
        <f>I43</f>
        <v>0</v>
      </c>
    </row>
    <row r="32" spans="1:21" ht="16" x14ac:dyDescent="0.2">
      <c r="A32" s="4" t="s">
        <v>35</v>
      </c>
      <c r="B32" s="8">
        <v>14416</v>
      </c>
      <c r="C32" s="55">
        <f>C39-SUM(C33:C38,C31)</f>
        <v>9078.35383</v>
      </c>
      <c r="D32" s="8">
        <v>0</v>
      </c>
      <c r="E32" s="67">
        <v>72610</v>
      </c>
      <c r="F32" s="8">
        <v>0</v>
      </c>
      <c r="G32" s="8">
        <v>278</v>
      </c>
      <c r="H32" s="8">
        <v>0</v>
      </c>
      <c r="I32" s="8"/>
      <c r="J32" s="8"/>
      <c r="K32" s="8"/>
      <c r="L32" s="8"/>
      <c r="M32" s="27"/>
      <c r="N32" s="55">
        <v>241744</v>
      </c>
      <c r="O32" s="8">
        <v>338126</v>
      </c>
      <c r="P32" s="17">
        <f>O32/O$39</f>
        <v>0.63691126498444106</v>
      </c>
      <c r="Q32" s="18" t="s">
        <v>36</v>
      </c>
      <c r="R32" s="3"/>
      <c r="S32" s="3" t="s">
        <v>5</v>
      </c>
      <c r="T32" s="12">
        <f>H42/1000</f>
        <v>0</v>
      </c>
      <c r="U32" s="13">
        <f>H43</f>
        <v>0</v>
      </c>
    </row>
    <row r="33" spans="1:48" ht="16" x14ac:dyDescent="0.2">
      <c r="A33" s="4" t="s">
        <v>37</v>
      </c>
      <c r="B33" s="8">
        <v>8743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55">
        <v>10061</v>
      </c>
      <c r="O33" s="55">
        <f>SUM(B33:N33)</f>
        <v>18804</v>
      </c>
      <c r="P33" s="17">
        <f>O33/O$39</f>
        <v>3.5420167117487057E-2</v>
      </c>
      <c r="Q33" s="18" t="s">
        <v>38</v>
      </c>
      <c r="R33" s="3"/>
      <c r="S33" s="3" t="s">
        <v>34</v>
      </c>
      <c r="T33" s="12">
        <f>C42/1000</f>
        <v>52.941000000000003</v>
      </c>
      <c r="U33" s="14">
        <f>C43</f>
        <v>9.8392197047709989E-2</v>
      </c>
    </row>
    <row r="34" spans="1:48" ht="16" x14ac:dyDescent="0.2">
      <c r="A34" s="4" t="s">
        <v>39</v>
      </c>
      <c r="B34" s="8">
        <v>0</v>
      </c>
      <c r="C34" s="55">
        <f>O34-N34-F34</f>
        <v>40234.64617</v>
      </c>
      <c r="D34" s="8">
        <v>0</v>
      </c>
      <c r="E34" s="8">
        <v>0</v>
      </c>
      <c r="F34" s="8">
        <v>2857</v>
      </c>
      <c r="G34" s="8">
        <v>0</v>
      </c>
      <c r="H34" s="8">
        <v>0</v>
      </c>
      <c r="I34" s="8"/>
      <c r="J34" s="8"/>
      <c r="K34" s="8"/>
      <c r="L34" s="8"/>
      <c r="M34" s="27"/>
      <c r="N34" s="55">
        <f>O34*0.008795</f>
        <v>382.35383000000002</v>
      </c>
      <c r="O34" s="8">
        <v>43474</v>
      </c>
      <c r="P34" s="17">
        <f>O34/O$39</f>
        <v>8.188982903986558E-2</v>
      </c>
      <c r="Q34" s="18" t="s">
        <v>40</v>
      </c>
      <c r="R34" s="3"/>
      <c r="S34" s="3"/>
      <c r="T34" s="12">
        <f>SUM(T24:T33)</f>
        <v>538.06096000000002</v>
      </c>
      <c r="U34" s="13">
        <f>SUM(U24:U33)</f>
        <v>1.0000000000000002</v>
      </c>
    </row>
    <row r="35" spans="1:48" ht="16" x14ac:dyDescent="0.2">
      <c r="A35" s="4" t="s">
        <v>41</v>
      </c>
      <c r="B35" s="8">
        <v>2225</v>
      </c>
      <c r="C35" s="8">
        <v>989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17478</v>
      </c>
      <c r="O35" s="8">
        <v>20691</v>
      </c>
      <c r="P35" s="17">
        <f>O35/O$39</f>
        <v>3.8974615923629267E-2</v>
      </c>
      <c r="Q35" s="18" t="s">
        <v>42</v>
      </c>
      <c r="R35" s="18"/>
    </row>
    <row r="36" spans="1:48" ht="16" x14ac:dyDescent="0.2">
      <c r="A36" s="4" t="s">
        <v>43</v>
      </c>
      <c r="B36" s="8">
        <v>3899</v>
      </c>
      <c r="C36" s="8">
        <v>692</v>
      </c>
      <c r="D36" s="8">
        <v>0</v>
      </c>
      <c r="E36" s="8">
        <v>0</v>
      </c>
      <c r="F36" s="8">
        <v>0</v>
      </c>
      <c r="G36" s="8">
        <v>28466</v>
      </c>
      <c r="H36" s="8">
        <v>0</v>
      </c>
      <c r="I36" s="8"/>
      <c r="J36" s="8"/>
      <c r="K36" s="8"/>
      <c r="L36" s="8"/>
      <c r="M36" s="27"/>
      <c r="N36" s="55">
        <f>N39-SUM(N38,N37,N31:N35)</f>
        <v>48131.646170000022</v>
      </c>
      <c r="O36" s="55">
        <f>SUM(B36:N36)</f>
        <v>81188.646170000022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44</v>
      </c>
      <c r="B37" s="8">
        <v>14398</v>
      </c>
      <c r="C37" s="8">
        <v>15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3180</v>
      </c>
      <c r="O37" s="8">
        <v>17593</v>
      </c>
      <c r="P37" s="18"/>
      <c r="Q37" s="18"/>
      <c r="R37" s="3"/>
      <c r="S37" s="7"/>
      <c r="T37" s="7" t="s">
        <v>26</v>
      </c>
      <c r="U37" s="7" t="s">
        <v>27</v>
      </c>
    </row>
    <row r="38" spans="1:48" ht="16" x14ac:dyDescent="0.2">
      <c r="A38" s="4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55">
        <v>8975</v>
      </c>
      <c r="O38" s="55">
        <f>SUM(B38:N38)</f>
        <v>8975</v>
      </c>
      <c r="P38" s="18">
        <f>SUM(P31:P35)</f>
        <v>0.79702157156742337</v>
      </c>
      <c r="Q38" s="18"/>
      <c r="R38" s="3"/>
      <c r="S38" s="7" t="s">
        <v>46</v>
      </c>
      <c r="T38" s="19">
        <f>O45/1000</f>
        <v>30.749959999999998</v>
      </c>
      <c r="U38" s="7"/>
    </row>
    <row r="39" spans="1:48" ht="16" x14ac:dyDescent="0.2">
      <c r="A39" s="4" t="s">
        <v>15</v>
      </c>
      <c r="B39" s="8">
        <v>43681</v>
      </c>
      <c r="C39" s="8">
        <v>51936</v>
      </c>
      <c r="D39" s="8">
        <v>0</v>
      </c>
      <c r="E39" s="67">
        <f>E32</f>
        <v>72610</v>
      </c>
      <c r="F39" s="8">
        <v>2951</v>
      </c>
      <c r="G39" s="8">
        <v>28744</v>
      </c>
      <c r="H39" s="8">
        <v>0</v>
      </c>
      <c r="I39" s="8"/>
      <c r="J39" s="8"/>
      <c r="K39" s="8"/>
      <c r="L39" s="8"/>
      <c r="M39" s="27"/>
      <c r="N39" s="55">
        <f>O39-SUM(B39:H39)</f>
        <v>330962</v>
      </c>
      <c r="O39" s="8">
        <v>530884</v>
      </c>
      <c r="P39" s="3"/>
      <c r="Q39" s="3"/>
      <c r="R39" s="3"/>
      <c r="S39" s="7" t="s">
        <v>47</v>
      </c>
      <c r="T39" s="20">
        <f>O41/1000</f>
        <v>107.75664617000002</v>
      </c>
      <c r="U39" s="13">
        <f>P41</f>
        <v>0.20297587828979594</v>
      </c>
    </row>
    <row r="40" spans="1:48" x14ac:dyDescent="0.2"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S40" s="7" t="s">
        <v>48</v>
      </c>
      <c r="T40" s="20">
        <f>O35/1000</f>
        <v>20.690999999999999</v>
      </c>
      <c r="U40" s="14">
        <f>P35</f>
        <v>3.8974615923629267E-2</v>
      </c>
    </row>
    <row r="41" spans="1:48" ht="16" x14ac:dyDescent="0.2">
      <c r="A41" s="21" t="s">
        <v>49</v>
      </c>
      <c r="B41" s="22">
        <f>B38+B37+B36</f>
        <v>18297</v>
      </c>
      <c r="C41" s="22">
        <f t="shared" ref="C41:O41" si="0">C38+C37+C36</f>
        <v>707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28466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60286.646170000022</v>
      </c>
      <c r="O41" s="22">
        <f t="shared" si="0"/>
        <v>107756.64617000002</v>
      </c>
      <c r="P41" s="17">
        <f>O41/O$39</f>
        <v>0.20297587828979594</v>
      </c>
      <c r="Q41" s="17" t="s">
        <v>50</v>
      </c>
      <c r="R41" s="7"/>
      <c r="S41" s="7" t="s">
        <v>51</v>
      </c>
      <c r="T41" s="20">
        <f>O33/1000</f>
        <v>18.803999999999998</v>
      </c>
      <c r="U41" s="13">
        <f>P33</f>
        <v>3.5420167117487057E-2</v>
      </c>
    </row>
    <row r="42" spans="1:48" ht="16" x14ac:dyDescent="0.2">
      <c r="A42" s="23" t="s">
        <v>52</v>
      </c>
      <c r="B42" s="22"/>
      <c r="C42" s="24">
        <f>C39+C23+C10</f>
        <v>52941</v>
      </c>
      <c r="D42" s="24">
        <f t="shared" ref="D42:M42" si="1">D39+D23+D10</f>
        <v>0</v>
      </c>
      <c r="E42" s="24">
        <f t="shared" si="1"/>
        <v>72610</v>
      </c>
      <c r="F42" s="24">
        <f t="shared" si="1"/>
        <v>2951</v>
      </c>
      <c r="G42" s="24">
        <f t="shared" si="1"/>
        <v>47620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361938.96</v>
      </c>
      <c r="O42" s="25">
        <f>SUM(C42:N42)</f>
        <v>538060.96</v>
      </c>
      <c r="P42" s="7"/>
      <c r="Q42" s="7"/>
      <c r="R42" s="7"/>
      <c r="S42" s="7" t="s">
        <v>33</v>
      </c>
      <c r="T42" s="20">
        <f>O31/1000</f>
        <v>2.0310000000000001</v>
      </c>
      <c r="U42" s="13">
        <f>P31</f>
        <v>3.825694502000437E-3</v>
      </c>
    </row>
    <row r="43" spans="1:48" ht="16" x14ac:dyDescent="0.2">
      <c r="A43" s="23" t="s">
        <v>53</v>
      </c>
      <c r="B43" s="22"/>
      <c r="C43" s="17">
        <f t="shared" ref="C43:N43" si="2">C42/$O42</f>
        <v>9.8392197047709989E-2</v>
      </c>
      <c r="D43" s="17">
        <f t="shared" si="2"/>
        <v>0</v>
      </c>
      <c r="E43" s="17">
        <f t="shared" si="2"/>
        <v>0.13494753456931721</v>
      </c>
      <c r="F43" s="17">
        <f t="shared" si="2"/>
        <v>5.484508669798307E-3</v>
      </c>
      <c r="G43" s="17">
        <f t="shared" si="2"/>
        <v>8.8502983007724634E-2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0.67267277670545</v>
      </c>
      <c r="O43" s="17">
        <f>SUM(C43:N43)</f>
        <v>1</v>
      </c>
      <c r="P43" s="7"/>
      <c r="Q43" s="7"/>
      <c r="R43" s="7"/>
      <c r="S43" s="7" t="s">
        <v>54</v>
      </c>
      <c r="T43" s="20">
        <f>O32/1000</f>
        <v>338.12599999999998</v>
      </c>
      <c r="U43" s="14">
        <f>P32</f>
        <v>0.63691126498444106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O34/1000</f>
        <v>43.473999999999997</v>
      </c>
      <c r="U44" s="14">
        <f>P34</f>
        <v>8.188982903986558E-2</v>
      </c>
    </row>
    <row r="45" spans="1:48" ht="16" x14ac:dyDescent="0.2">
      <c r="A45" s="6" t="s">
        <v>56</v>
      </c>
      <c r="B45" s="6">
        <f>B23-B39</f>
        <v>4273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26476.959999999999</v>
      </c>
      <c r="O45" s="25">
        <f>B45+N45</f>
        <v>30749.96</v>
      </c>
      <c r="P45" s="7"/>
      <c r="Q45" s="7"/>
      <c r="R45" s="7"/>
      <c r="S45" s="7" t="s">
        <v>57</v>
      </c>
      <c r="T45" s="20">
        <f>SUM(T39:T44)</f>
        <v>530.88264617000004</v>
      </c>
      <c r="U45" s="13">
        <f>SUM(U39:U44)</f>
        <v>0.99999744985721928</v>
      </c>
    </row>
    <row r="46" spans="1:48" ht="16" x14ac:dyDescent="0.2">
      <c r="A46" s="6"/>
      <c r="B46" s="53">
        <f>B45/B23</f>
        <v>8.9106226800683988E-2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38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1"/>
      <c r="E48" s="40"/>
      <c r="F48" s="41"/>
      <c r="G48" s="40"/>
      <c r="H48" s="38"/>
      <c r="I48" s="38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7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1"/>
      <c r="E55" s="40"/>
      <c r="F55" s="41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1"/>
      <c r="E56" s="40"/>
      <c r="F56" s="41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ildresurs" ma:contentTypeID="0x0101009148F5A04DDD49CBA7127AADA5FB792B00AADE34325A8B49CDA8BB4DB53328F21400B1422EAB8DF0294E85CCB7CF19F0629E" ma:contentTypeVersion="1" ma:contentTypeDescription="Ladda upp en bild." ma:contentTypeScope="" ma:versionID="89db0ba08def9c0c99553822dc9a3775">
  <xsd:schema xmlns:xsd="http://www.w3.org/2001/XMLSchema" xmlns:xs="http://www.w3.org/2001/XMLSchema" xmlns:p="http://schemas.microsoft.com/office/2006/metadata/properties" xmlns:ns1="http://schemas.microsoft.com/sharepoint/v3" xmlns:ns2="B2487248-3291-4FB7-A798-DA4F8D952CAD" xmlns:ns3="http://schemas.microsoft.com/sharepoint/v3/fields" targetNamespace="http://schemas.microsoft.com/office/2006/metadata/properties" ma:root="true" ma:fieldsID="f88401ac58d331235390f5b8f93600ac" ns1:_="" ns2:_="" ns3:_="">
    <xsd:import namespace="http://schemas.microsoft.com/sharepoint/v3"/>
    <xsd:import namespace="B2487248-3291-4FB7-A798-DA4F8D952CA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-sökväg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typ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-filtyp" ma:hidden="true" ma:internalName="HTML_x0020_File_x0020_Type" ma:readOnly="true">
      <xsd:simpleType>
        <xsd:restriction base="dms:Text"/>
      </xsd:simpleType>
    </xsd:element>
    <xsd:element name="FSObjType" ma:index="11" nillable="true" ma:displayName="Objekttyp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malagt startdatum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malagt slut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87248-3291-4FB7-A798-DA4F8D952CA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Miniatyr finn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Förhandsgranskning finn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Bredd" ma:internalName="ImageWidth" ma:readOnly="true">
      <xsd:simpleType>
        <xsd:restriction base="dms:Unknown"/>
      </xsd:simpleType>
    </xsd:element>
    <xsd:element name="ImageHeight" ma:index="22" nillable="true" ma:displayName="Höjd" ma:internalName="ImageHeight" ma:readOnly="true">
      <xsd:simpleType>
        <xsd:restriction base="dms:Unknown"/>
      </xsd:simpleType>
    </xsd:element>
    <xsd:element name="ImageCreateDate" ma:index="25" nillable="true" ma:displayName="Datum då bilden togs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Författare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 ma:index="23" ma:displayName="Kommentarer"/>
        <xsd:element name="keywords" minOccurs="0" maxOccurs="1" type="xsd:string" ma:index="14" ma:displayName="Nyckel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ImageCreateDate xmlns="B2487248-3291-4FB7-A798-DA4F8D952CAD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9D3A4B25-5E96-41F4-8FF5-A987F516E166}"/>
</file>

<file path=customXml/itemProps2.xml><?xml version="1.0" encoding="utf-8"?>
<ds:datastoreItem xmlns:ds="http://schemas.openxmlformats.org/officeDocument/2006/customXml" ds:itemID="{A83BC8BC-94C5-41DE-AC3C-5DC78F6A1E4F}"/>
</file>

<file path=customXml/itemProps3.xml><?xml version="1.0" encoding="utf-8"?>
<ds:datastoreItem xmlns:ds="http://schemas.openxmlformats.org/officeDocument/2006/customXml" ds:itemID="{1D3EDADD-C0B8-4E0C-8542-11C8F59709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16</vt:i4>
      </vt:variant>
    </vt:vector>
  </HeadingPairs>
  <TitlesOfParts>
    <vt:vector size="16" baseType="lpstr">
      <vt:lpstr>Dalarna</vt:lpstr>
      <vt:lpstr>Vansbro</vt:lpstr>
      <vt:lpstr>Malung-Sälen</vt:lpstr>
      <vt:lpstr>Gagnef</vt:lpstr>
      <vt:lpstr>Leksand</vt:lpstr>
      <vt:lpstr>Rättvik</vt:lpstr>
      <vt:lpstr>Orsa</vt:lpstr>
      <vt:lpstr>Älvdalen</vt:lpstr>
      <vt:lpstr>Smedjebacken</vt:lpstr>
      <vt:lpstr>Mora</vt:lpstr>
      <vt:lpstr>Falun</vt:lpstr>
      <vt:lpstr>Borlänge</vt:lpstr>
      <vt:lpstr>Säter</vt:lpstr>
      <vt:lpstr>Hedemora</vt:lpstr>
      <vt:lpstr>Avesta</vt:lpstr>
      <vt:lpstr>Ludvika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Kaj</dc:creator>
  <cp:keywords/>
  <dc:description/>
  <cp:lastModifiedBy>Kaj</cp:lastModifiedBy>
  <dcterms:created xsi:type="dcterms:W3CDTF">2016-02-15T22:09:51Z</dcterms:created>
  <dcterms:modified xsi:type="dcterms:W3CDTF">2017-10-15T22:42:33Z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0x0101009148F5A04DDD49CBA7127AADA5FB792B00AADE34325A8B49CDA8BB4DB53328F21400B1422EAB8DF0294E85CCB7CF19F0629E</vt:lpwstr>
  </property>
</Properties>
</file>