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2.xml" ContentType="application/vnd.openxmlformats-officedocument.spreadsheetml.comments+xml"/>
  <Override PartName="/xl/comments11.xml" ContentType="application/vnd.openxmlformats-officedocument.spreadsheetml.comments+xml"/>
  <Override PartName="/xl/comments10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6520" tabRatio="701"/>
  </bookViews>
  <sheets>
    <sheet name="Gävleborg" sheetId="28" r:id="rId1"/>
    <sheet name="Ockelbo" sheetId="2" r:id="rId2"/>
    <sheet name="Hofors" sheetId="3" r:id="rId3"/>
    <sheet name="Ovanåker" sheetId="4" r:id="rId4"/>
    <sheet name="Nordanstig" sheetId="5" r:id="rId5"/>
    <sheet name="Ljusdal" sheetId="6" r:id="rId6"/>
    <sheet name="Gävle" sheetId="7" r:id="rId7"/>
    <sheet name="Sandviken" sheetId="8" r:id="rId8"/>
    <sheet name="Söderhamn" sheetId="9" r:id="rId9"/>
    <sheet name="Bollnäs" sheetId="10" r:id="rId10"/>
    <sheet name="Hudiksvall" sheetId="11" r:id="rId1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11" l="1"/>
  <c r="F41" i="11"/>
  <c r="G41" i="11"/>
  <c r="K42" i="10"/>
  <c r="J42" i="8"/>
  <c r="U34" i="3"/>
  <c r="U34" i="4"/>
  <c r="U34" i="5"/>
  <c r="U34" i="6"/>
  <c r="U34" i="7"/>
  <c r="O42" i="8"/>
  <c r="N43" i="8"/>
  <c r="U22" i="8"/>
  <c r="G43" i="8"/>
  <c r="U23" i="8"/>
  <c r="J43" i="8"/>
  <c r="U24" i="8"/>
  <c r="F43" i="8"/>
  <c r="U25" i="8"/>
  <c r="E43" i="8"/>
  <c r="U26" i="8"/>
  <c r="D43" i="8"/>
  <c r="U27" i="8"/>
  <c r="K43" i="8"/>
  <c r="U28" i="8"/>
  <c r="I43" i="8"/>
  <c r="U29" i="8"/>
  <c r="H43" i="8"/>
  <c r="U30" i="8"/>
  <c r="L43" i="8"/>
  <c r="U31" i="8"/>
  <c r="M43" i="8"/>
  <c r="U32" i="8"/>
  <c r="C43" i="8"/>
  <c r="U33" i="8"/>
  <c r="U34" i="8"/>
  <c r="U34" i="9"/>
  <c r="O42" i="10"/>
  <c r="N43" i="10"/>
  <c r="U22" i="10"/>
  <c r="G43" i="10"/>
  <c r="U23" i="10"/>
  <c r="J43" i="10"/>
  <c r="U24" i="10"/>
  <c r="F43" i="10"/>
  <c r="U25" i="10"/>
  <c r="E43" i="10"/>
  <c r="U26" i="10"/>
  <c r="D43" i="10"/>
  <c r="U27" i="10"/>
  <c r="K43" i="10"/>
  <c r="U28" i="10"/>
  <c r="I43" i="10"/>
  <c r="U29" i="10"/>
  <c r="H43" i="10"/>
  <c r="U30" i="10"/>
  <c r="L43" i="10"/>
  <c r="U31" i="10"/>
  <c r="M43" i="10"/>
  <c r="U32" i="10"/>
  <c r="C43" i="10"/>
  <c r="U33" i="10"/>
  <c r="U34" i="10"/>
  <c r="O42" i="11"/>
  <c r="N43" i="11"/>
  <c r="U22" i="11"/>
  <c r="G43" i="11"/>
  <c r="U23" i="11"/>
  <c r="J43" i="11"/>
  <c r="U24" i="11"/>
  <c r="F43" i="11"/>
  <c r="U25" i="11"/>
  <c r="E43" i="11"/>
  <c r="U26" i="11"/>
  <c r="D43" i="11"/>
  <c r="U27" i="11"/>
  <c r="K43" i="11"/>
  <c r="U28" i="11"/>
  <c r="I43" i="11"/>
  <c r="U29" i="11"/>
  <c r="H43" i="11"/>
  <c r="U30" i="11"/>
  <c r="L43" i="11"/>
  <c r="U31" i="11"/>
  <c r="M43" i="11"/>
  <c r="U32" i="11"/>
  <c r="C43" i="11"/>
  <c r="U33" i="11"/>
  <c r="U34" i="11"/>
  <c r="U34" i="2"/>
  <c r="T34" i="3"/>
  <c r="T34" i="4"/>
  <c r="T34" i="5"/>
  <c r="T34" i="6"/>
  <c r="T34" i="7"/>
  <c r="T24" i="8"/>
  <c r="T34" i="8"/>
  <c r="T34" i="9"/>
  <c r="T28" i="10"/>
  <c r="T34" i="10"/>
  <c r="T31" i="11"/>
  <c r="T34" i="11"/>
  <c r="T34" i="2"/>
  <c r="U31" i="28"/>
  <c r="U30" i="28"/>
  <c r="T31" i="28"/>
  <c r="T30" i="28"/>
  <c r="S31" i="28"/>
  <c r="S30" i="28"/>
  <c r="U34" i="28"/>
  <c r="T34" i="28"/>
  <c r="G32" i="2"/>
  <c r="B32" i="2"/>
  <c r="B32" i="3"/>
  <c r="B32" i="28"/>
  <c r="C32" i="2"/>
  <c r="C32" i="9"/>
  <c r="C32" i="28"/>
  <c r="N32" i="3"/>
  <c r="D32" i="3"/>
  <c r="D32" i="28"/>
  <c r="E32" i="28"/>
  <c r="F32" i="28"/>
  <c r="G32" i="5"/>
  <c r="G32" i="6"/>
  <c r="O32" i="7"/>
  <c r="B37" i="7"/>
  <c r="N37" i="7"/>
  <c r="N32" i="7"/>
  <c r="G32" i="7"/>
  <c r="G32" i="8"/>
  <c r="N32" i="9"/>
  <c r="G32" i="9"/>
  <c r="G32" i="28"/>
  <c r="H32" i="28"/>
  <c r="I32" i="28"/>
  <c r="J32" i="28"/>
  <c r="K32" i="28"/>
  <c r="L32" i="28"/>
  <c r="M32" i="28"/>
  <c r="N32" i="8"/>
  <c r="N32" i="11"/>
  <c r="N32" i="28"/>
  <c r="O32" i="28"/>
  <c r="O37" i="2"/>
  <c r="C35" i="2"/>
  <c r="O35" i="2"/>
  <c r="O33" i="2"/>
  <c r="B33" i="2"/>
  <c r="B37" i="3"/>
  <c r="O37" i="3"/>
  <c r="B36" i="3"/>
  <c r="O36" i="3"/>
  <c r="O33" i="3"/>
  <c r="B33" i="3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B34" i="28"/>
  <c r="C34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B39" i="3"/>
  <c r="B35" i="3"/>
  <c r="B35" i="28"/>
  <c r="C35" i="28"/>
  <c r="D35" i="28"/>
  <c r="E35" i="28"/>
  <c r="F35" i="28"/>
  <c r="G35" i="28"/>
  <c r="H35" i="28"/>
  <c r="I35" i="28"/>
  <c r="J35" i="28"/>
  <c r="K35" i="28"/>
  <c r="L35" i="28"/>
  <c r="M35" i="28"/>
  <c r="N35" i="3"/>
  <c r="N35" i="28"/>
  <c r="O35" i="28"/>
  <c r="B36" i="2"/>
  <c r="B36" i="7"/>
  <c r="B36" i="28"/>
  <c r="C36" i="8"/>
  <c r="C36" i="28"/>
  <c r="D36" i="28"/>
  <c r="E36" i="28"/>
  <c r="F36" i="28"/>
  <c r="G36" i="7"/>
  <c r="G36" i="11"/>
  <c r="G36" i="28"/>
  <c r="H36" i="28"/>
  <c r="I36" i="28"/>
  <c r="J36" i="28"/>
  <c r="K36" i="28"/>
  <c r="L36" i="28"/>
  <c r="M36" i="28"/>
  <c r="N36" i="28"/>
  <c r="O36" i="28"/>
  <c r="B37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B31" i="28"/>
  <c r="C31" i="8"/>
  <c r="C31" i="28"/>
  <c r="D31" i="28"/>
  <c r="E31" i="28"/>
  <c r="F31" i="28"/>
  <c r="G31" i="28"/>
  <c r="H31" i="28"/>
  <c r="I31" i="28"/>
  <c r="J31" i="28"/>
  <c r="K31" i="28"/>
  <c r="L31" i="28"/>
  <c r="M31" i="28"/>
  <c r="N31" i="8"/>
  <c r="N31" i="28"/>
  <c r="O31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B39" i="28"/>
  <c r="C18" i="28"/>
  <c r="D18" i="28"/>
  <c r="E18" i="28"/>
  <c r="F18" i="28"/>
  <c r="G18" i="11"/>
  <c r="G18" i="28"/>
  <c r="H18" i="28"/>
  <c r="I18" i="28"/>
  <c r="J18" i="28"/>
  <c r="K18" i="28"/>
  <c r="L18" i="28"/>
  <c r="M18" i="28"/>
  <c r="N18" i="28"/>
  <c r="O18" i="28"/>
  <c r="C17" i="7"/>
  <c r="C17" i="8"/>
  <c r="C17" i="10"/>
  <c r="C17" i="28"/>
  <c r="D17" i="28"/>
  <c r="E17" i="28"/>
  <c r="F17" i="28"/>
  <c r="G17" i="3"/>
  <c r="G17" i="7"/>
  <c r="G17" i="8"/>
  <c r="G17" i="9"/>
  <c r="G17" i="10"/>
  <c r="G17" i="11"/>
  <c r="G17" i="28"/>
  <c r="H17" i="28"/>
  <c r="I17" i="28"/>
  <c r="J17" i="8"/>
  <c r="J17" i="28"/>
  <c r="K17" i="10"/>
  <c r="K17" i="28"/>
  <c r="L17" i="28"/>
  <c r="M17" i="28"/>
  <c r="N17" i="28"/>
  <c r="O17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B17" i="9"/>
  <c r="B17" i="11"/>
  <c r="B17" i="28"/>
  <c r="B18" i="2"/>
  <c r="B18" i="4"/>
  <c r="B18" i="6"/>
  <c r="B18" i="28"/>
  <c r="B19" i="28"/>
  <c r="B20" i="28"/>
  <c r="B21" i="28"/>
  <c r="B22" i="28"/>
  <c r="B23" i="28"/>
  <c r="D6" i="28"/>
  <c r="D7" i="28"/>
  <c r="D10" i="28"/>
  <c r="E6" i="28"/>
  <c r="E7" i="28"/>
  <c r="E10" i="28"/>
  <c r="F6" i="28"/>
  <c r="F7" i="28"/>
  <c r="F10" i="28"/>
  <c r="G6" i="28"/>
  <c r="G7" i="28"/>
  <c r="G10" i="28"/>
  <c r="H6" i="28"/>
  <c r="H7" i="28"/>
  <c r="H10" i="28"/>
  <c r="I6" i="28"/>
  <c r="I7" i="28"/>
  <c r="I10" i="28"/>
  <c r="J6" i="28"/>
  <c r="J7" i="28"/>
  <c r="J10" i="28"/>
  <c r="K6" i="28"/>
  <c r="K7" i="28"/>
  <c r="K10" i="28"/>
  <c r="L6" i="28"/>
  <c r="L7" i="28"/>
  <c r="L10" i="28"/>
  <c r="M6" i="28"/>
  <c r="M7" i="28"/>
  <c r="M10" i="28"/>
  <c r="N6" i="28"/>
  <c r="N7" i="28"/>
  <c r="N10" i="28"/>
  <c r="O10" i="28"/>
  <c r="C6" i="28"/>
  <c r="C7" i="28"/>
  <c r="C10" i="28"/>
  <c r="B4" i="2"/>
  <c r="B4" i="4"/>
  <c r="B4" i="5"/>
  <c r="B4" i="6"/>
  <c r="B4" i="7"/>
  <c r="B4" i="8"/>
  <c r="B4" i="9"/>
  <c r="B4" i="10"/>
  <c r="B4" i="11"/>
  <c r="B4" i="3"/>
  <c r="B4" i="28"/>
  <c r="B6" i="28"/>
  <c r="B7" i="28"/>
  <c r="B10" i="8"/>
  <c r="B8" i="8"/>
  <c r="B10" i="9"/>
  <c r="B8" i="9"/>
  <c r="B10" i="11"/>
  <c r="B8" i="11"/>
  <c r="B8" i="10"/>
  <c r="B8" i="28"/>
  <c r="B9" i="28"/>
  <c r="B10" i="28"/>
  <c r="G23" i="11"/>
  <c r="C23" i="10"/>
  <c r="O17" i="10"/>
  <c r="O23" i="10"/>
  <c r="O17" i="9"/>
  <c r="O23" i="9"/>
  <c r="G23" i="9"/>
  <c r="O33" i="7"/>
  <c r="O35" i="7"/>
  <c r="O36" i="7"/>
  <c r="O39" i="7"/>
  <c r="O36" i="11"/>
  <c r="O32" i="11"/>
  <c r="O39" i="11"/>
  <c r="O39" i="5"/>
  <c r="N23" i="2"/>
  <c r="N23" i="3"/>
  <c r="N23" i="8"/>
  <c r="N23" i="11"/>
  <c r="I39" i="7"/>
  <c r="I39" i="9"/>
  <c r="I39" i="11"/>
  <c r="L39" i="7"/>
  <c r="L39" i="9"/>
  <c r="L39" i="11"/>
  <c r="M39" i="7"/>
  <c r="M39" i="9"/>
  <c r="F39" i="6"/>
  <c r="F39" i="10"/>
  <c r="D23" i="8"/>
  <c r="D23" i="10"/>
  <c r="E23" i="7"/>
  <c r="E23" i="8"/>
  <c r="F23" i="7"/>
  <c r="K23" i="10"/>
  <c r="F10" i="9"/>
  <c r="B10" i="10"/>
  <c r="E39" i="3"/>
  <c r="E39" i="5"/>
  <c r="E39" i="7"/>
  <c r="E39" i="8"/>
  <c r="E39" i="9"/>
  <c r="E39" i="10"/>
  <c r="E39" i="11"/>
  <c r="G39" i="5"/>
  <c r="O40" i="5"/>
  <c r="C39" i="10"/>
  <c r="B10" i="7"/>
  <c r="C39" i="11"/>
  <c r="G39" i="11"/>
  <c r="F39" i="11"/>
  <c r="N39" i="11"/>
  <c r="O17" i="11"/>
  <c r="O23" i="11"/>
  <c r="G39" i="9"/>
  <c r="C39" i="9"/>
  <c r="F39" i="9"/>
  <c r="N39" i="9"/>
  <c r="C10" i="9"/>
  <c r="G10" i="9"/>
  <c r="O6" i="9"/>
  <c r="O10" i="9"/>
  <c r="C10" i="8"/>
  <c r="G10" i="8"/>
  <c r="O6" i="8"/>
  <c r="G39" i="6"/>
  <c r="N39" i="6"/>
  <c r="N39" i="8"/>
  <c r="G39" i="7"/>
  <c r="F39" i="7"/>
  <c r="B10" i="5"/>
  <c r="B10" i="4"/>
  <c r="B10" i="3"/>
  <c r="G10" i="3"/>
  <c r="O6" i="3"/>
  <c r="O10" i="3"/>
  <c r="B23" i="3"/>
  <c r="D39" i="3"/>
  <c r="C39" i="3"/>
  <c r="N39" i="3"/>
  <c r="O17" i="3"/>
  <c r="O23" i="3"/>
  <c r="C23" i="3"/>
  <c r="C23" i="7"/>
  <c r="C23" i="8"/>
  <c r="G23" i="7"/>
  <c r="G23" i="2"/>
  <c r="G23" i="3"/>
  <c r="G23" i="4"/>
  <c r="G23" i="8"/>
  <c r="G23" i="10"/>
  <c r="O17" i="7"/>
  <c r="O18" i="7"/>
  <c r="O19" i="7"/>
  <c r="O23" i="7"/>
  <c r="N45" i="11"/>
  <c r="B45" i="11"/>
  <c r="O17" i="8"/>
  <c r="O23" i="8"/>
  <c r="J23" i="8"/>
  <c r="B23" i="8"/>
  <c r="B45" i="8"/>
  <c r="B23" i="4"/>
  <c r="O18" i="4"/>
  <c r="O23" i="4"/>
  <c r="C30" i="2"/>
  <c r="B30" i="2"/>
  <c r="O18" i="2"/>
  <c r="O23" i="2"/>
  <c r="N45" i="2"/>
  <c r="N42" i="2"/>
  <c r="T22" i="2"/>
  <c r="B23" i="2"/>
  <c r="O6" i="7"/>
  <c r="O10" i="7"/>
  <c r="G10" i="7"/>
  <c r="C42" i="7"/>
  <c r="T33" i="7"/>
  <c r="F42" i="7"/>
  <c r="T25" i="7"/>
  <c r="E42" i="7"/>
  <c r="T26" i="7"/>
  <c r="B45" i="4"/>
  <c r="G42" i="2"/>
  <c r="T23" i="2"/>
  <c r="P34" i="2"/>
  <c r="U44" i="2"/>
  <c r="T44" i="2"/>
  <c r="P32" i="2"/>
  <c r="U43" i="2"/>
  <c r="T43" i="2"/>
  <c r="P31" i="2"/>
  <c r="T42" i="2"/>
  <c r="C42" i="2"/>
  <c r="T33" i="2"/>
  <c r="M42" i="2"/>
  <c r="T32" i="2"/>
  <c r="S32" i="2"/>
  <c r="L42" i="2"/>
  <c r="S31" i="2"/>
  <c r="H42" i="2"/>
  <c r="T30" i="2"/>
  <c r="S30" i="2"/>
  <c r="I42" i="2"/>
  <c r="T29" i="2"/>
  <c r="S29" i="2"/>
  <c r="K42" i="2"/>
  <c r="T28" i="2"/>
  <c r="S28" i="2"/>
  <c r="D42" i="2"/>
  <c r="S27" i="2"/>
  <c r="E42" i="2"/>
  <c r="T26" i="2"/>
  <c r="F42" i="2"/>
  <c r="T25" i="2"/>
  <c r="J42" i="2"/>
  <c r="T24" i="2"/>
  <c r="S24" i="2"/>
  <c r="P34" i="3"/>
  <c r="U44" i="3"/>
  <c r="T44" i="3"/>
  <c r="P32" i="3"/>
  <c r="U43" i="3"/>
  <c r="T43" i="3"/>
  <c r="P31" i="3"/>
  <c r="U42" i="3"/>
  <c r="T42" i="3"/>
  <c r="P35" i="3"/>
  <c r="U40" i="3"/>
  <c r="T40" i="3"/>
  <c r="B45" i="3"/>
  <c r="N45" i="3"/>
  <c r="N42" i="3"/>
  <c r="T22" i="3"/>
  <c r="G42" i="3"/>
  <c r="T23" i="3"/>
  <c r="J42" i="3"/>
  <c r="T24" i="3"/>
  <c r="F42" i="3"/>
  <c r="T25" i="3"/>
  <c r="E42" i="3"/>
  <c r="T26" i="3"/>
  <c r="D42" i="3"/>
  <c r="T27" i="3"/>
  <c r="K42" i="3"/>
  <c r="T28" i="3"/>
  <c r="I42" i="3"/>
  <c r="T29" i="3"/>
  <c r="H42" i="3"/>
  <c r="T30" i="3"/>
  <c r="O45" i="3"/>
  <c r="T38" i="3"/>
  <c r="C42" i="3"/>
  <c r="M42" i="3"/>
  <c r="T32" i="3"/>
  <c r="S32" i="3"/>
  <c r="L42" i="3"/>
  <c r="T31" i="3"/>
  <c r="S31" i="3"/>
  <c r="S30" i="3"/>
  <c r="S29" i="3"/>
  <c r="S28" i="3"/>
  <c r="S27" i="3"/>
  <c r="S24" i="3"/>
  <c r="O41" i="4"/>
  <c r="P41" i="4"/>
  <c r="U39" i="4"/>
  <c r="P35" i="4"/>
  <c r="U40" i="4"/>
  <c r="P33" i="4"/>
  <c r="U41" i="4"/>
  <c r="P31" i="4"/>
  <c r="U42" i="4"/>
  <c r="P32" i="4"/>
  <c r="U43" i="4"/>
  <c r="P34" i="4"/>
  <c r="U44" i="4"/>
  <c r="T40" i="4"/>
  <c r="T41" i="4"/>
  <c r="T42" i="4"/>
  <c r="T43" i="4"/>
  <c r="T44" i="4"/>
  <c r="N45" i="4"/>
  <c r="N42" i="4"/>
  <c r="T22" i="4"/>
  <c r="C42" i="4"/>
  <c r="D42" i="4"/>
  <c r="T27" i="4"/>
  <c r="E42" i="4"/>
  <c r="F42" i="4"/>
  <c r="G42" i="4"/>
  <c r="T23" i="4"/>
  <c r="J42" i="4"/>
  <c r="T24" i="4"/>
  <c r="T25" i="4"/>
  <c r="T26" i="4"/>
  <c r="K42" i="4"/>
  <c r="T28" i="4"/>
  <c r="I42" i="4"/>
  <c r="T29" i="4"/>
  <c r="H42" i="4"/>
  <c r="T30" i="4"/>
  <c r="L42" i="4"/>
  <c r="M42" i="4"/>
  <c r="T32" i="4"/>
  <c r="S32" i="4"/>
  <c r="T31" i="4"/>
  <c r="S31" i="4"/>
  <c r="S30" i="4"/>
  <c r="S29" i="4"/>
  <c r="S28" i="4"/>
  <c r="S27" i="4"/>
  <c r="S24" i="4"/>
  <c r="O41" i="5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3" i="5"/>
  <c r="T40" i="5"/>
  <c r="T41" i="5"/>
  <c r="T42" i="5"/>
  <c r="T44" i="5"/>
  <c r="T45" i="5"/>
  <c r="B45" i="5"/>
  <c r="N45" i="5"/>
  <c r="O45" i="5"/>
  <c r="T38" i="5"/>
  <c r="N42" i="5"/>
  <c r="T22" i="5"/>
  <c r="C42" i="5"/>
  <c r="T33" i="5"/>
  <c r="D42" i="5"/>
  <c r="E42" i="5"/>
  <c r="G42" i="5"/>
  <c r="T23" i="5"/>
  <c r="M42" i="5"/>
  <c r="T32" i="5"/>
  <c r="S32" i="5"/>
  <c r="L42" i="5"/>
  <c r="T31" i="5"/>
  <c r="S31" i="5"/>
  <c r="H42" i="5"/>
  <c r="T30" i="5"/>
  <c r="S30" i="5"/>
  <c r="I42" i="5"/>
  <c r="T29" i="5"/>
  <c r="S29" i="5"/>
  <c r="K42" i="5"/>
  <c r="S28" i="5"/>
  <c r="T27" i="5"/>
  <c r="S27" i="5"/>
  <c r="F42" i="5"/>
  <c r="J42" i="5"/>
  <c r="S24" i="5"/>
  <c r="O41" i="6"/>
  <c r="P35" i="6"/>
  <c r="U40" i="6"/>
  <c r="P33" i="6"/>
  <c r="U41" i="6"/>
  <c r="P31" i="6"/>
  <c r="U42" i="6"/>
  <c r="P32" i="6"/>
  <c r="U43" i="6"/>
  <c r="P34" i="6"/>
  <c r="U44" i="6"/>
  <c r="T40" i="6"/>
  <c r="T41" i="6"/>
  <c r="T42" i="6"/>
  <c r="T43" i="6"/>
  <c r="T44" i="6"/>
  <c r="B45" i="6"/>
  <c r="N45" i="6"/>
  <c r="N42" i="6"/>
  <c r="T22" i="6"/>
  <c r="G42" i="6"/>
  <c r="T23" i="6"/>
  <c r="F42" i="6"/>
  <c r="T25" i="6"/>
  <c r="J42" i="6"/>
  <c r="T24" i="6"/>
  <c r="E42" i="6"/>
  <c r="T26" i="6"/>
  <c r="D42" i="6"/>
  <c r="T27" i="6"/>
  <c r="K42" i="6"/>
  <c r="T28" i="6"/>
  <c r="I42" i="6"/>
  <c r="T29" i="6"/>
  <c r="H42" i="6"/>
  <c r="T30" i="6"/>
  <c r="P38" i="6"/>
  <c r="C42" i="6"/>
  <c r="T33" i="6"/>
  <c r="M42" i="6"/>
  <c r="T32" i="6"/>
  <c r="S32" i="6"/>
  <c r="L42" i="6"/>
  <c r="S31" i="6"/>
  <c r="S30" i="6"/>
  <c r="S29" i="6"/>
  <c r="S28" i="6"/>
  <c r="S27" i="6"/>
  <c r="S24" i="6"/>
  <c r="P34" i="7"/>
  <c r="U44" i="7"/>
  <c r="T44" i="7"/>
  <c r="P31" i="7"/>
  <c r="U42" i="7"/>
  <c r="T42" i="7"/>
  <c r="P33" i="7"/>
  <c r="U41" i="7"/>
  <c r="T41" i="7"/>
  <c r="P35" i="7"/>
  <c r="U40" i="7"/>
  <c r="T40" i="7"/>
  <c r="N45" i="7"/>
  <c r="N42" i="7"/>
  <c r="T22" i="7"/>
  <c r="M42" i="7"/>
  <c r="T32" i="7"/>
  <c r="S32" i="7"/>
  <c r="L42" i="7"/>
  <c r="T31" i="7"/>
  <c r="S31" i="7"/>
  <c r="H42" i="7"/>
  <c r="T30" i="7"/>
  <c r="S30" i="7"/>
  <c r="I42" i="7"/>
  <c r="T29" i="7"/>
  <c r="S29" i="7"/>
  <c r="K42" i="7"/>
  <c r="T28" i="7"/>
  <c r="S28" i="7"/>
  <c r="D42" i="7"/>
  <c r="T27" i="7"/>
  <c r="S27" i="7"/>
  <c r="J42" i="7"/>
  <c r="S24" i="7"/>
  <c r="O41" i="8"/>
  <c r="T39" i="8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P38" i="8"/>
  <c r="T40" i="8"/>
  <c r="T41" i="8"/>
  <c r="T42" i="8"/>
  <c r="T43" i="8"/>
  <c r="T44" i="8"/>
  <c r="N45" i="8"/>
  <c r="M42" i="8"/>
  <c r="T32" i="8"/>
  <c r="S32" i="8"/>
  <c r="L42" i="8"/>
  <c r="T31" i="8"/>
  <c r="S31" i="8"/>
  <c r="H42" i="8"/>
  <c r="T30" i="8"/>
  <c r="S30" i="8"/>
  <c r="I42" i="8"/>
  <c r="T29" i="8"/>
  <c r="S29" i="8"/>
  <c r="K42" i="8"/>
  <c r="T28" i="8"/>
  <c r="S28" i="8"/>
  <c r="D42" i="8"/>
  <c r="T27" i="8"/>
  <c r="S27" i="8"/>
  <c r="E42" i="8"/>
  <c r="T26" i="8"/>
  <c r="F42" i="8"/>
  <c r="T25" i="8"/>
  <c r="S24" i="8"/>
  <c r="G42" i="8"/>
  <c r="T23" i="8"/>
  <c r="O41" i="9"/>
  <c r="T39" i="9"/>
  <c r="P41" i="9"/>
  <c r="U39" i="9"/>
  <c r="P35" i="9"/>
  <c r="U40" i="9"/>
  <c r="P33" i="9"/>
  <c r="U41" i="9"/>
  <c r="P31" i="9"/>
  <c r="U42" i="9"/>
  <c r="P32" i="9"/>
  <c r="U43" i="9"/>
  <c r="P34" i="9"/>
  <c r="U44" i="9"/>
  <c r="T40" i="9"/>
  <c r="T41" i="9"/>
  <c r="T42" i="9"/>
  <c r="T43" i="9"/>
  <c r="T44" i="9"/>
  <c r="B45" i="9"/>
  <c r="N45" i="9"/>
  <c r="N42" i="9"/>
  <c r="T22" i="9"/>
  <c r="G42" i="9"/>
  <c r="C42" i="9"/>
  <c r="D42" i="9"/>
  <c r="E42" i="9"/>
  <c r="F42" i="9"/>
  <c r="H42" i="9"/>
  <c r="I42" i="9"/>
  <c r="J42" i="9"/>
  <c r="K42" i="9"/>
  <c r="L42" i="9"/>
  <c r="M42" i="9"/>
  <c r="O42" i="9"/>
  <c r="T29" i="9"/>
  <c r="T33" i="9"/>
  <c r="T32" i="9"/>
  <c r="S32" i="9"/>
  <c r="T31" i="9"/>
  <c r="S31" i="9"/>
  <c r="S30" i="9"/>
  <c r="S29" i="9"/>
  <c r="T28" i="9"/>
  <c r="S28" i="9"/>
  <c r="S27" i="9"/>
  <c r="T25" i="9"/>
  <c r="T24" i="9"/>
  <c r="S24" i="9"/>
  <c r="O41" i="10"/>
  <c r="P35" i="10"/>
  <c r="U40" i="10"/>
  <c r="P33" i="10"/>
  <c r="U41" i="10"/>
  <c r="P31" i="10"/>
  <c r="P32" i="10"/>
  <c r="U43" i="10"/>
  <c r="P34" i="10"/>
  <c r="U44" i="10"/>
  <c r="T40" i="10"/>
  <c r="T41" i="10"/>
  <c r="T39" i="10"/>
  <c r="T42" i="10"/>
  <c r="T43" i="10"/>
  <c r="T44" i="10"/>
  <c r="T45" i="10"/>
  <c r="B45" i="10"/>
  <c r="N45" i="10"/>
  <c r="O45" i="10"/>
  <c r="T38" i="10"/>
  <c r="N42" i="10"/>
  <c r="C42" i="10"/>
  <c r="T33" i="10"/>
  <c r="T22" i="10"/>
  <c r="G42" i="10"/>
  <c r="T23" i="10"/>
  <c r="J42" i="10"/>
  <c r="T24" i="10"/>
  <c r="F42" i="10"/>
  <c r="T25" i="10"/>
  <c r="E42" i="10"/>
  <c r="T26" i="10"/>
  <c r="D42" i="10"/>
  <c r="T27" i="10"/>
  <c r="I42" i="10"/>
  <c r="T29" i="10"/>
  <c r="H42" i="10"/>
  <c r="T30" i="10"/>
  <c r="M42" i="10"/>
  <c r="T32" i="10"/>
  <c r="S32" i="10"/>
  <c r="L42" i="10"/>
  <c r="T31" i="10"/>
  <c r="S31" i="10"/>
  <c r="S30" i="10"/>
  <c r="S29" i="10"/>
  <c r="S28" i="10"/>
  <c r="S27" i="10"/>
  <c r="S24" i="10"/>
  <c r="O41" i="11"/>
  <c r="P41" i="11"/>
  <c r="U39" i="11"/>
  <c r="P34" i="11"/>
  <c r="T44" i="11"/>
  <c r="P32" i="11"/>
  <c r="U43" i="11"/>
  <c r="T43" i="11"/>
  <c r="P31" i="11"/>
  <c r="U42" i="11"/>
  <c r="T42" i="11"/>
  <c r="P33" i="11"/>
  <c r="U41" i="11"/>
  <c r="T41" i="11"/>
  <c r="P35" i="11"/>
  <c r="U40" i="11"/>
  <c r="T40" i="11"/>
  <c r="C42" i="11"/>
  <c r="D42" i="11"/>
  <c r="E42" i="11"/>
  <c r="G42" i="11"/>
  <c r="F42" i="11"/>
  <c r="H42" i="11"/>
  <c r="I42" i="11"/>
  <c r="J42" i="11"/>
  <c r="K42" i="11"/>
  <c r="M42" i="11"/>
  <c r="N42" i="11"/>
  <c r="T27" i="11"/>
  <c r="T32" i="11"/>
  <c r="S32" i="11"/>
  <c r="S31" i="11"/>
  <c r="S30" i="11"/>
  <c r="T29" i="11"/>
  <c r="S29" i="11"/>
  <c r="S28" i="11"/>
  <c r="S27" i="11"/>
  <c r="T26" i="11"/>
  <c r="T25" i="11"/>
  <c r="T24" i="11"/>
  <c r="S24" i="11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M41" i="7"/>
  <c r="L41" i="7"/>
  <c r="K41" i="7"/>
  <c r="J41" i="7"/>
  <c r="I41" i="7"/>
  <c r="H41" i="7"/>
  <c r="G41" i="7"/>
  <c r="F41" i="7"/>
  <c r="E41" i="7"/>
  <c r="D41" i="7"/>
  <c r="C41" i="7"/>
  <c r="B41" i="7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N41" i="11"/>
  <c r="M41" i="11"/>
  <c r="L41" i="11"/>
  <c r="K41" i="11"/>
  <c r="J41" i="11"/>
  <c r="I41" i="11"/>
  <c r="H41" i="11"/>
  <c r="E41" i="11"/>
  <c r="D41" i="11"/>
  <c r="C41" i="11"/>
  <c r="B41" i="11"/>
  <c r="D42" i="28"/>
  <c r="E42" i="28"/>
  <c r="H42" i="28"/>
  <c r="T32" i="28"/>
  <c r="I42" i="28"/>
  <c r="T29" i="28"/>
  <c r="L42" i="28"/>
  <c r="M42" i="28"/>
  <c r="C41" i="28"/>
  <c r="E41" i="28"/>
  <c r="F41" i="28"/>
  <c r="G41" i="28"/>
  <c r="I41" i="28"/>
  <c r="J41" i="28"/>
  <c r="M41" i="28"/>
  <c r="P31" i="28"/>
  <c r="U42" i="28"/>
  <c r="P34" i="28"/>
  <c r="U44" i="28"/>
  <c r="T42" i="28"/>
  <c r="T44" i="28"/>
  <c r="L41" i="28"/>
  <c r="T39" i="11"/>
  <c r="T45" i="11"/>
  <c r="O42" i="2"/>
  <c r="T24" i="7"/>
  <c r="O45" i="9"/>
  <c r="T38" i="9"/>
  <c r="T45" i="9"/>
  <c r="N42" i="8"/>
  <c r="T22" i="8"/>
  <c r="U42" i="2"/>
  <c r="T26" i="28"/>
  <c r="P41" i="10"/>
  <c r="U39" i="10"/>
  <c r="O42" i="5"/>
  <c r="N43" i="5"/>
  <c r="U22" i="5"/>
  <c r="G43" i="5"/>
  <c r="U23" i="5"/>
  <c r="J43" i="5"/>
  <c r="U24" i="5"/>
  <c r="F43" i="5"/>
  <c r="U25" i="5"/>
  <c r="E43" i="5"/>
  <c r="U26" i="5"/>
  <c r="D43" i="5"/>
  <c r="U27" i="5"/>
  <c r="K43" i="5"/>
  <c r="U28" i="5"/>
  <c r="I43" i="5"/>
  <c r="U29" i="5"/>
  <c r="H43" i="5"/>
  <c r="U30" i="5"/>
  <c r="T26" i="5"/>
  <c r="T33" i="11"/>
  <c r="N45" i="28"/>
  <c r="T30" i="11"/>
  <c r="T23" i="11"/>
  <c r="T22" i="11"/>
  <c r="T28" i="11"/>
  <c r="T30" i="9"/>
  <c r="T26" i="9"/>
  <c r="T24" i="5"/>
  <c r="O42" i="6"/>
  <c r="D43" i="6"/>
  <c r="U27" i="6"/>
  <c r="T25" i="5"/>
  <c r="T28" i="5"/>
  <c r="U45" i="4"/>
  <c r="O42" i="3"/>
  <c r="T19" i="3"/>
  <c r="T33" i="3"/>
  <c r="P41" i="6"/>
  <c r="U39" i="6"/>
  <c r="U45" i="6"/>
  <c r="T39" i="6"/>
  <c r="T45" i="6"/>
  <c r="T27" i="2"/>
  <c r="T27" i="9"/>
  <c r="T45" i="8"/>
  <c r="T31" i="6"/>
  <c r="T31" i="2"/>
  <c r="P38" i="4"/>
  <c r="M43" i="5"/>
  <c r="U32" i="5"/>
  <c r="G43" i="2"/>
  <c r="U23" i="2"/>
  <c r="C43" i="2"/>
  <c r="U33" i="2"/>
  <c r="I43" i="2"/>
  <c r="U29" i="2"/>
  <c r="L43" i="2"/>
  <c r="U31" i="2"/>
  <c r="H43" i="2"/>
  <c r="U30" i="2"/>
  <c r="K43" i="2"/>
  <c r="U28" i="2"/>
  <c r="E43" i="2"/>
  <c r="U26" i="2"/>
  <c r="T19" i="2"/>
  <c r="F43" i="2"/>
  <c r="U25" i="2"/>
  <c r="T19" i="6"/>
  <c r="K43" i="6"/>
  <c r="U28" i="6"/>
  <c r="F43" i="6"/>
  <c r="U25" i="6"/>
  <c r="H43" i="6"/>
  <c r="U30" i="6"/>
  <c r="K43" i="3"/>
  <c r="U28" i="3"/>
  <c r="G43" i="6"/>
  <c r="U23" i="6"/>
  <c r="I43" i="6"/>
  <c r="U29" i="6"/>
  <c r="B45" i="2"/>
  <c r="P33" i="2"/>
  <c r="T41" i="2"/>
  <c r="P35" i="2"/>
  <c r="U40" i="2"/>
  <c r="P35" i="28"/>
  <c r="U40" i="28"/>
  <c r="T40" i="2"/>
  <c r="H41" i="28"/>
  <c r="D41" i="28"/>
  <c r="K41" i="28"/>
  <c r="T40" i="28"/>
  <c r="G42" i="7"/>
  <c r="T23" i="7"/>
  <c r="B41" i="28"/>
  <c r="U41" i="2"/>
  <c r="P38" i="2"/>
  <c r="T19" i="5"/>
  <c r="M43" i="6"/>
  <c r="U32" i="6"/>
  <c r="C43" i="6"/>
  <c r="P38" i="9"/>
  <c r="N42" i="28"/>
  <c r="P38" i="10"/>
  <c r="U42" i="10"/>
  <c r="U45" i="10"/>
  <c r="U45" i="9"/>
  <c r="O45" i="6"/>
  <c r="T38" i="6"/>
  <c r="L43" i="5"/>
  <c r="U31" i="5"/>
  <c r="O45" i="2"/>
  <c r="T38" i="2"/>
  <c r="C43" i="5"/>
  <c r="E43" i="6"/>
  <c r="U26" i="6"/>
  <c r="T27" i="28"/>
  <c r="O45" i="11"/>
  <c r="T38" i="11"/>
  <c r="U44" i="11"/>
  <c r="P38" i="11"/>
  <c r="N43" i="6"/>
  <c r="U22" i="6"/>
  <c r="J43" i="6"/>
  <c r="U24" i="6"/>
  <c r="L43" i="6"/>
  <c r="U31" i="6"/>
  <c r="M43" i="2"/>
  <c r="U32" i="2"/>
  <c r="D43" i="2"/>
  <c r="N43" i="2"/>
  <c r="U22" i="2"/>
  <c r="J43" i="2"/>
  <c r="U24" i="2"/>
  <c r="U45" i="11"/>
  <c r="P38" i="5"/>
  <c r="O42" i="4"/>
  <c r="G43" i="4"/>
  <c r="U23" i="4"/>
  <c r="T33" i="4"/>
  <c r="O45" i="4"/>
  <c r="T38" i="4"/>
  <c r="T39" i="4"/>
  <c r="T45" i="4"/>
  <c r="O41" i="2"/>
  <c r="O43" i="2"/>
  <c r="U27" i="2"/>
  <c r="U33" i="6"/>
  <c r="O43" i="6"/>
  <c r="O41" i="3"/>
  <c r="E43" i="4"/>
  <c r="U26" i="4"/>
  <c r="H43" i="4"/>
  <c r="U30" i="4"/>
  <c r="L43" i="4"/>
  <c r="U31" i="4"/>
  <c r="D43" i="4"/>
  <c r="U27" i="4"/>
  <c r="J43" i="4"/>
  <c r="U24" i="4"/>
  <c r="K43" i="4"/>
  <c r="U28" i="4"/>
  <c r="I43" i="4"/>
  <c r="U29" i="4"/>
  <c r="F43" i="4"/>
  <c r="U25" i="4"/>
  <c r="C43" i="4"/>
  <c r="M43" i="4"/>
  <c r="U32" i="4"/>
  <c r="T19" i="4"/>
  <c r="N43" i="4"/>
  <c r="U22" i="4"/>
  <c r="U33" i="5"/>
  <c r="O43" i="5"/>
  <c r="T22" i="28"/>
  <c r="P41" i="2"/>
  <c r="U39" i="2"/>
  <c r="U45" i="2"/>
  <c r="T39" i="2"/>
  <c r="T45" i="2"/>
  <c r="T39" i="3"/>
  <c r="P41" i="3"/>
  <c r="U39" i="3"/>
  <c r="U33" i="4"/>
  <c r="O43" i="4"/>
  <c r="T41" i="3"/>
  <c r="P33" i="3"/>
  <c r="T45" i="3"/>
  <c r="U41" i="3"/>
  <c r="U45" i="3"/>
  <c r="P38" i="3"/>
  <c r="P33" i="28"/>
  <c r="T41" i="28"/>
  <c r="U41" i="28"/>
  <c r="B23" i="7"/>
  <c r="B45" i="7"/>
  <c r="O45" i="7"/>
  <c r="T38" i="7"/>
  <c r="B10" i="6"/>
  <c r="B10" i="2"/>
  <c r="O41" i="28"/>
  <c r="T39" i="28"/>
  <c r="T43" i="28"/>
  <c r="T45" i="28"/>
  <c r="P32" i="28"/>
  <c r="P38" i="28"/>
  <c r="P41" i="28"/>
  <c r="U39" i="28"/>
  <c r="U43" i="28"/>
  <c r="U45" i="28"/>
  <c r="P32" i="7"/>
  <c r="P38" i="7"/>
  <c r="O41" i="7"/>
  <c r="T39" i="7"/>
  <c r="T43" i="7"/>
  <c r="T45" i="7"/>
  <c r="P41" i="7"/>
  <c r="U39" i="7"/>
  <c r="U43" i="7"/>
  <c r="U45" i="7"/>
  <c r="N41" i="28"/>
  <c r="N41" i="7"/>
  <c r="N43" i="3"/>
  <c r="U22" i="3"/>
  <c r="E43" i="3"/>
  <c r="U26" i="3"/>
  <c r="D43" i="3"/>
  <c r="U27" i="3"/>
  <c r="H43" i="3"/>
  <c r="U30" i="3"/>
  <c r="F43" i="3"/>
  <c r="U25" i="3"/>
  <c r="I43" i="3"/>
  <c r="U29" i="3"/>
  <c r="L43" i="3"/>
  <c r="U31" i="3"/>
  <c r="M43" i="3"/>
  <c r="U32" i="3"/>
  <c r="J43" i="3"/>
  <c r="U24" i="3"/>
  <c r="C43" i="3"/>
  <c r="G43" i="3"/>
  <c r="U23" i="3"/>
  <c r="T19" i="11"/>
  <c r="O43" i="10"/>
  <c r="T19" i="10"/>
  <c r="K42" i="28"/>
  <c r="T28" i="28"/>
  <c r="T23" i="9"/>
  <c r="N43" i="9"/>
  <c r="U22" i="9"/>
  <c r="F43" i="9"/>
  <c r="U25" i="9"/>
  <c r="H43" i="9"/>
  <c r="U30" i="9"/>
  <c r="K43" i="9"/>
  <c r="U28" i="9"/>
  <c r="C43" i="9"/>
  <c r="M43" i="9"/>
  <c r="U32" i="9"/>
  <c r="D43" i="9"/>
  <c r="U27" i="9"/>
  <c r="T19" i="9"/>
  <c r="I43" i="9"/>
  <c r="U29" i="9"/>
  <c r="L43" i="9"/>
  <c r="U31" i="9"/>
  <c r="G43" i="9"/>
  <c r="U23" i="9"/>
  <c r="E43" i="9"/>
  <c r="U26" i="9"/>
  <c r="J43" i="9"/>
  <c r="U24" i="9"/>
  <c r="C42" i="8"/>
  <c r="T33" i="8"/>
  <c r="O10" i="8"/>
  <c r="J42" i="28"/>
  <c r="T24" i="28"/>
  <c r="O45" i="8"/>
  <c r="T38" i="8"/>
  <c r="B45" i="28"/>
  <c r="O45" i="28"/>
  <c r="T38" i="28"/>
  <c r="F42" i="28"/>
  <c r="T25" i="28"/>
  <c r="C42" i="28"/>
  <c r="T33" i="28"/>
  <c r="O42" i="7"/>
  <c r="C43" i="7"/>
  <c r="G42" i="28"/>
  <c r="O43" i="3"/>
  <c r="U33" i="3"/>
  <c r="O43" i="11"/>
  <c r="U33" i="9"/>
  <c r="O43" i="9"/>
  <c r="E43" i="7"/>
  <c r="U26" i="7"/>
  <c r="J43" i="7"/>
  <c r="U24" i="7"/>
  <c r="K43" i="7"/>
  <c r="U28" i="7"/>
  <c r="F43" i="7"/>
  <c r="U25" i="7"/>
  <c r="L43" i="7"/>
  <c r="U31" i="7"/>
  <c r="M43" i="7"/>
  <c r="U32" i="7"/>
  <c r="T19" i="7"/>
  <c r="G43" i="7"/>
  <c r="U23" i="7"/>
  <c r="D43" i="7"/>
  <c r="U27" i="7"/>
  <c r="N43" i="7"/>
  <c r="U22" i="7"/>
  <c r="I43" i="7"/>
  <c r="U29" i="7"/>
  <c r="H43" i="7"/>
  <c r="U30" i="7"/>
  <c r="T23" i="28"/>
  <c r="O42" i="28"/>
  <c r="G43" i="28"/>
  <c r="U23" i="28"/>
  <c r="U33" i="7"/>
  <c r="T19" i="8"/>
  <c r="O43" i="8"/>
  <c r="O43" i="7"/>
  <c r="H43" i="28"/>
  <c r="U32" i="28"/>
  <c r="I43" i="28"/>
  <c r="U29" i="28"/>
  <c r="E43" i="28"/>
  <c r="U26" i="28"/>
  <c r="D43" i="28"/>
  <c r="U27" i="28"/>
  <c r="J43" i="28"/>
  <c r="U24" i="28"/>
  <c r="F43" i="28"/>
  <c r="U25" i="28"/>
  <c r="C43" i="28"/>
  <c r="K43" i="28"/>
  <c r="U28" i="28"/>
  <c r="M43" i="28"/>
  <c r="N43" i="28"/>
  <c r="U22" i="28"/>
  <c r="L43" i="28"/>
  <c r="T19" i="28"/>
  <c r="U33" i="28"/>
  <c r="O43" i="28"/>
</calcChain>
</file>

<file path=xl/comments1.xml><?xml version="1.0" encoding="utf-8"?>
<comments xmlns="http://schemas.openxmlformats.org/spreadsheetml/2006/main">
  <authors>
    <author>Kaj</author>
    <author>www.statistikdatabasen.scb.se</author>
    <author>Rickard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9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Tallbecksolja, tallolja, beckolja</t>
        </r>
      </text>
    </comment>
    <comment ref="M29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Ejektorolja, metanol, metanolkondensat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71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Tallbecksolja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6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 hofors + torsåker.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 hofors + torsåker.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Rickard</author>
    <author>www.statistikdatabasen.scb.se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Gävle Energi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20 MWh reservaggregat KVV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Reservaggregat till KVV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Uppgifter från Gävle Energi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Ejektroolja och metanolkondensat</t>
        </r>
      </text>
    </comment>
  </commentList>
</comments>
</file>

<file path=xl/sharedStrings.xml><?xml version="1.0" encoding="utf-8"?>
<sst xmlns="http://schemas.openxmlformats.org/spreadsheetml/2006/main" count="1010" uniqueCount="75">
  <si>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</si>
  <si>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</si>
  <si>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</si>
  <si>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</si>
  <si>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</si>
  <si>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</si>
  <si>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</si>
  <si>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</si>
  <si>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</si>
  <si>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</si>
  <si>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</si>
  <si>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</si>
  <si>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</si>
  <si>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</si>
  <si>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</si>
  <si>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</si>
  <si>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</si>
  <si>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</si>
  <si>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</si>
  <si>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</si>
  <si>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</si>
  <si>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</si>
  <si>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</si>
  <si>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</si>
  <si>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</si>
  <si>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</si>
  <si>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</si>
  <si>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</si>
  <si>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</si>
  <si>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</si>
  <si>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</si>
  <si>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</si>
  <si>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</si>
  <si>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</si>
  <si>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</si>
  <si>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</si>
  <si>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</si>
  <si>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</si>
  <si>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</si>
  <si>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</si>
  <si>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</si>
  <si>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</si>
  <si>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</si>
  <si>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</si>
  <si>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</si>
  <si>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</si>
  <si>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</si>
  <si>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</si>
  <si>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</si>
  <si>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</si>
  <si>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</si>
  <si>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</si>
  <si>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</si>
  <si>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</si>
  <si>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</si>
  <si>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</si>
  <si>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</si>
  <si>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</si>
  <si>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Biobränslen</t>
  </si>
  <si>
    <t>Gävleborgs län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</si>
  <si>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</si>
  <si>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</si>
  <si>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</si>
  <si>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</si>
  <si>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</si>
  <si>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</si>
  <si>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</si>
  <si>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</si>
  <si>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</si>
  <si>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</si>
  <si>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Solceller</t>
  </si>
  <si>
    <t>Beckolja</t>
  </si>
  <si>
    <t>Metanol</t>
  </si>
  <si>
    <t>Tallbecksolja</t>
  </si>
  <si>
    <t>Tallbeckolja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</si>
</sst>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#,##0.000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89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 applyFill="1" applyProtection="1"/>
    <xf numFmtId="0" fontId="7" fillId="0" borderId="0" xfId="1" applyFont="1" applyFill="1" applyProtection="1"/>
    <xf numFmtId="3" fontId="4" fillId="0" borderId="0" xfId="1" applyNumberFormat="1"/>
    <xf numFmtId="0" fontId="4" fillId="0" borderId="0" xfId="1"/>
    <xf numFmtId="3" fontId="0" fillId="0" borderId="0" xfId="0" applyNumberFormat="1" applyFill="1" applyProtection="1"/>
    <xf numFmtId="3" fontId="4" fillId="0" borderId="0" xfId="1" applyNumberFormat="1" applyFill="1" applyProtection="1"/>
    <xf numFmtId="3" fontId="8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9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0" fillId="0" borderId="0" xfId="1" applyFont="1"/>
    <xf numFmtId="3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ill="1"/>
    <xf numFmtId="0" fontId="0" fillId="0" borderId="0" xfId="0" applyFill="1" applyProtection="1"/>
    <xf numFmtId="1" fontId="4" fillId="0" borderId="0" xfId="1" applyNumberFormat="1"/>
    <xf numFmtId="165" fontId="9" fillId="0" borderId="0" xfId="2" applyNumberFormat="1" applyFont="1"/>
    <xf numFmtId="165" fontId="3" fillId="0" borderId="0" xfId="2" applyNumberFormat="1" applyFont="1"/>
    <xf numFmtId="3" fontId="11" fillId="0" borderId="0" xfId="1" applyNumberFormat="1" applyFont="1"/>
    <xf numFmtId="9" fontId="11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1" fillId="0" borderId="0" xfId="2" applyNumberFormat="1" applyFont="1"/>
    <xf numFmtId="9" fontId="3" fillId="0" borderId="0" xfId="2" applyFont="1"/>
    <xf numFmtId="0" fontId="13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3" fontId="16" fillId="0" borderId="0" xfId="1" applyNumberFormat="1" applyFont="1"/>
    <xf numFmtId="3" fontId="17" fillId="0" borderId="0" xfId="1" applyNumberFormat="1" applyFont="1" applyFill="1" applyProtection="1"/>
    <xf numFmtId="0" fontId="17" fillId="0" borderId="0" xfId="1" applyFont="1" applyFill="1" applyProtection="1"/>
    <xf numFmtId="165" fontId="4" fillId="0" borderId="0" xfId="1" applyNumberFormat="1" applyFill="1" applyProtection="1"/>
    <xf numFmtId="3" fontId="15" fillId="0" borderId="0" xfId="0" applyNumberFormat="1" applyFont="1"/>
    <xf numFmtId="165" fontId="2" fillId="0" borderId="0" xfId="2" applyNumberFormat="1" applyFont="1"/>
    <xf numFmtId="3" fontId="0" fillId="0" borderId="0" xfId="1" applyNumberFormat="1" applyFont="1"/>
    <xf numFmtId="0" fontId="14" fillId="0" borderId="0" xfId="3" applyFont="1"/>
    <xf numFmtId="9" fontId="2" fillId="0" borderId="0" xfId="2" applyFont="1"/>
    <xf numFmtId="0" fontId="4" fillId="0" borderId="0" xfId="1" applyFont="1" applyFill="1" applyProtection="1"/>
    <xf numFmtId="3" fontId="0" fillId="0" borderId="0" xfId="0" applyNumberFormat="1" applyFill="1" applyAlignment="1" applyProtection="1">
      <alignment horizontal="right"/>
    </xf>
    <xf numFmtId="9" fontId="4" fillId="0" borderId="0" xfId="4" applyFont="1"/>
    <xf numFmtId="0" fontId="4" fillId="0" borderId="0" xfId="1" applyFont="1"/>
    <xf numFmtId="3" fontId="4" fillId="0" borderId="0" xfId="1" applyNumberFormat="1" applyFont="1"/>
    <xf numFmtId="3" fontId="4" fillId="0" borderId="0" xfId="1" applyNumberFormat="1" applyFont="1" applyFill="1" applyProtection="1"/>
    <xf numFmtId="164" fontId="4" fillId="0" borderId="0" xfId="1" applyNumberFormat="1" applyFill="1" applyProtection="1"/>
    <xf numFmtId="167" fontId="4" fillId="0" borderId="0" xfId="1" applyNumberFormat="1" applyFill="1" applyProtection="1"/>
    <xf numFmtId="4" fontId="4" fillId="0" borderId="0" xfId="1" applyNumberFormat="1" applyFill="1" applyProtection="1"/>
    <xf numFmtId="3" fontId="21" fillId="0" borderId="0" xfId="0" applyNumberFormat="1" applyFont="1" applyFill="1" applyAlignment="1" applyProtection="1">
      <alignment horizontal="right"/>
    </xf>
    <xf numFmtId="3" fontId="21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ill="1" applyBorder="1" applyProtection="1"/>
    <xf numFmtId="3" fontId="21" fillId="0" borderId="0" xfId="0" applyNumberFormat="1" applyFont="1" applyFill="1" applyProtection="1"/>
    <xf numFmtId="3" fontId="24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4" fontId="0" fillId="0" borderId="0" xfId="0" applyNumberFormat="1" applyFill="1" applyProtection="1"/>
    <xf numFmtId="167" fontId="0" fillId="0" borderId="0" xfId="0" applyNumberFormat="1" applyFill="1" applyProtection="1"/>
    <xf numFmtId="3" fontId="25" fillId="0" borderId="0" xfId="0" applyNumberFormat="1" applyFont="1" applyFill="1" applyProtection="1"/>
    <xf numFmtId="3" fontId="25" fillId="0" borderId="0" xfId="0" applyNumberFormat="1" applyFont="1" applyFill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Protection="1"/>
    <xf numFmtId="3" fontId="27" fillId="0" borderId="0" xfId="0" applyNumberFormat="1" applyFont="1" applyFill="1" applyProtection="1"/>
    <xf numFmtId="166" fontId="4" fillId="0" borderId="0" xfId="1" applyNumberFormat="1" applyFill="1" applyProtection="1"/>
    <xf numFmtId="0" fontId="4" fillId="0" borderId="0" xfId="0" applyFont="1" applyFill="1" applyProtection="1"/>
    <xf numFmtId="3" fontId="13" fillId="0" borderId="0" xfId="0" applyNumberFormat="1" applyFont="1"/>
    <xf numFmtId="0" fontId="7" fillId="0" borderId="0" xfId="1" applyFont="1"/>
    <xf numFmtId="3" fontId="28" fillId="0" borderId="0" xfId="0" applyNumberFormat="1" applyFont="1"/>
    <xf numFmtId="3" fontId="26" fillId="0" borderId="0" xfId="0" applyNumberFormat="1" applyFont="1" applyFill="1" applyProtection="1"/>
    <xf numFmtId="3" fontId="29" fillId="0" borderId="0" xfId="0" applyNumberFormat="1" applyFont="1" applyAlignment="1">
      <alignment horizontal="right"/>
    </xf>
    <xf numFmtId="3" fontId="31" fillId="0" borderId="0" xfId="0" applyNumberFormat="1" applyFont="1" applyFill="1" applyAlignment="1" applyProtection="1">
      <alignment horizontal="right"/>
    </xf>
    <xf numFmtId="3" fontId="30" fillId="0" borderId="0" xfId="0" applyNumberFormat="1" applyFont="1" applyFill="1" applyProtection="1"/>
    <xf numFmtId="3" fontId="31" fillId="0" borderId="0" xfId="0" applyNumberFormat="1" applyFont="1" applyFill="1" applyProtection="1"/>
    <xf numFmtId="0" fontId="4" fillId="0" borderId="0" xfId="1" applyNumberFormat="1" applyFill="1" applyProtection="1"/>
    <xf numFmtId="0" fontId="30" fillId="0" borderId="0" xfId="0" applyFont="1" applyFill="1" applyProtection="1"/>
    <xf numFmtId="3" fontId="30" fillId="0" borderId="0" xfId="0" applyNumberFormat="1" applyFont="1" applyFill="1" applyAlignment="1" applyProtection="1">
      <alignment horizontal="right"/>
    </xf>
    <xf numFmtId="3" fontId="32" fillId="0" borderId="0" xfId="0" applyNumberFormat="1" applyFont="1" applyFill="1" applyAlignment="1" applyProtection="1">
      <alignment horizontal="right"/>
    </xf>
    <xf numFmtId="3" fontId="24" fillId="0" borderId="0" xfId="0" applyNumberFormat="1" applyFont="1" applyFill="1" applyProtection="1"/>
  </cellXfs>
  <cellStyles count="6">
    <cellStyle name="Normal" xfId="0" builtinId="0"/>
    <cellStyle name="Normal 2" xfId="1"/>
    <cellStyle name="Normal 2 2" xfId="5"/>
    <cellStyle name="Normal 3" xfId="3"/>
    <cellStyle name="Percent 2" xfId="2"/>
    <cellStyle name="Pro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topLeftCell="A11" workbookViewId="0">
      <selection activeCell="V32" sqref="V32"/>
    </sheetView>
  </sheetViews>
  <sheetFormatPr baseColWidth="10" defaultColWidth="8.83203125" defaultRowHeight="15" x14ac:dyDescent="0.2"/>
  <cols>
    <col min="1" max="1" width="23.6640625" style="2" customWidth="1"/>
    <col min="2" max="2" width="8.33203125" style="2" customWidth="1"/>
    <col min="3" max="3" width="9.6640625" style="2" customWidth="1"/>
    <col min="4" max="6" width="8.33203125" style="2" customWidth="1"/>
    <col min="7" max="7" width="9.5" style="2" customWidth="1"/>
    <col min="8" max="8" width="8.33203125" style="2" customWidth="1"/>
    <col min="9" max="9" width="8.83203125" style="2" customWidth="1"/>
    <col min="10" max="13" width="8.33203125" style="2" customWidth="1"/>
    <col min="14" max="15" width="9.83203125" style="2" customWidth="1"/>
    <col min="16" max="21" width="8.33203125" style="2" customWidth="1"/>
    <col min="22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37" t="s">
        <v>59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 t="s">
        <v>8</v>
      </c>
      <c r="M3" s="6" t="s">
        <v>8</v>
      </c>
      <c r="N3" s="6"/>
      <c r="O3" s="7" t="s">
        <v>10</v>
      </c>
      <c r="P3" s="3"/>
      <c r="Q3" s="3"/>
      <c r="R3" s="3"/>
      <c r="S3" s="3"/>
      <c r="T3" s="3"/>
      <c r="U3" s="3"/>
    </row>
    <row r="4" spans="1:21" ht="15.75" x14ac:dyDescent="0.25">
      <c r="A4" s="79" t="s">
        <v>70</v>
      </c>
      <c r="B4" s="80">
        <f>SUM(Ockelbo:Hudiksvall!B4)</f>
        <v>1206.5</v>
      </c>
      <c r="C4" s="38"/>
      <c r="D4" s="9"/>
      <c r="P4" s="3"/>
      <c r="Q4" s="3"/>
      <c r="R4" s="3"/>
      <c r="S4" s="3"/>
      <c r="T4" s="3"/>
      <c r="U4" s="3"/>
    </row>
    <row r="5" spans="1:21" ht="15.75" x14ac:dyDescent="0.25">
      <c r="A5" s="5"/>
      <c r="B5" s="39"/>
      <c r="C5" s="27"/>
      <c r="D5" s="27"/>
      <c r="E5" s="27"/>
      <c r="F5" s="27"/>
      <c r="G5" s="27"/>
      <c r="P5" s="3"/>
      <c r="Q5" s="42"/>
      <c r="R5" s="3"/>
      <c r="S5" s="3"/>
      <c r="T5" s="3"/>
      <c r="U5" s="3"/>
    </row>
    <row r="6" spans="1:21" ht="16" x14ac:dyDescent="0.2">
      <c r="A6" s="4" t="s">
        <v>11</v>
      </c>
      <c r="B6" s="39">
        <f>SUM(Ockelbo:Hudiksvall!B6)</f>
        <v>153146</v>
      </c>
      <c r="C6" s="39">
        <f>SUM(Ockelbo:Hudiksvall!C6)</f>
        <v>0</v>
      </c>
      <c r="D6" s="39">
        <f>SUM(Ockelbo:Hudiksvall!D6)</f>
        <v>0</v>
      </c>
      <c r="E6" s="39">
        <f>SUM(Ockelbo:Hudiksvall!E6)</f>
        <v>0</v>
      </c>
      <c r="F6" s="39">
        <f>SUM(Ockelbo:Hudiksvall!F6)</f>
        <v>0</v>
      </c>
      <c r="G6" s="39">
        <f>SUM(Ockelbo:Hudiksvall!G6)</f>
        <v>0</v>
      </c>
      <c r="H6" s="39">
        <f>SUM(Ockelbo:Hudiksvall!H6)</f>
        <v>0</v>
      </c>
      <c r="I6" s="39">
        <f>SUM(Ockelbo:Hudiksvall!I6)</f>
        <v>0</v>
      </c>
      <c r="J6" s="39">
        <f>SUM(Ockelbo:Hudiksvall!J6)</f>
        <v>0</v>
      </c>
      <c r="K6" s="39">
        <f>SUM(Ockelbo:Hudiksvall!K6)</f>
        <v>0</v>
      </c>
      <c r="L6" s="39">
        <f>SUM(Ockelbo:Hudiksvall!L6)</f>
        <v>0</v>
      </c>
      <c r="M6" s="39">
        <f>SUM(Ockelbo:Hudiksvall!M6)</f>
        <v>0</v>
      </c>
      <c r="N6" s="39">
        <f>SUM(Ockelbo:Hudiksvall!N6)</f>
        <v>0</v>
      </c>
      <c r="O6" s="39">
        <v>0</v>
      </c>
      <c r="P6" s="3"/>
      <c r="Q6" s="43"/>
      <c r="R6" s="44"/>
      <c r="S6" s="3"/>
      <c r="T6" s="3"/>
      <c r="U6" s="3"/>
    </row>
    <row r="7" spans="1:21" ht="16" x14ac:dyDescent="0.2">
      <c r="A7" s="4" t="s">
        <v>12</v>
      </c>
      <c r="B7" s="39">
        <f>SUM(Ockelbo:Hudiksvall!B7)</f>
        <v>0</v>
      </c>
      <c r="C7" s="39">
        <f>SUM(Ockelbo:Hudiksvall!C7)</f>
        <v>0</v>
      </c>
      <c r="D7" s="39">
        <f>SUM(Ockelbo:Hudiksvall!D7)</f>
        <v>0</v>
      </c>
      <c r="E7" s="39">
        <f>SUM(Ockelbo:Hudiksvall!E7)</f>
        <v>0</v>
      </c>
      <c r="F7" s="39">
        <f>SUM(Ockelbo:Hudiksvall!F7)</f>
        <v>0</v>
      </c>
      <c r="G7" s="39">
        <f>SUM(Ockelbo:Hudiksvall!G7)</f>
        <v>0</v>
      </c>
      <c r="H7" s="39">
        <f>SUM(Ockelbo:Hudiksvall!H7)</f>
        <v>0</v>
      </c>
      <c r="I7" s="39">
        <f>SUM(Ockelbo:Hudiksvall!I7)</f>
        <v>0</v>
      </c>
      <c r="J7" s="39">
        <f>SUM(Ockelbo:Hudiksvall!J7)</f>
        <v>0</v>
      </c>
      <c r="K7" s="39">
        <f>SUM(Ockelbo:Hudiksvall!K7)</f>
        <v>0</v>
      </c>
      <c r="L7" s="39">
        <f>SUM(Ockelbo:Hudiksvall!L7)</f>
        <v>0</v>
      </c>
      <c r="M7" s="39">
        <f>SUM(Ockelbo:Hudiksvall!M7)</f>
        <v>0</v>
      </c>
      <c r="N7" s="39">
        <f>SUM(Ockelbo:Hudiksvall!N7)</f>
        <v>0</v>
      </c>
      <c r="O7" s="39">
        <v>0</v>
      </c>
      <c r="P7" s="3"/>
      <c r="Q7" s="43"/>
      <c r="R7" s="44"/>
      <c r="S7" s="3"/>
      <c r="T7" s="3"/>
      <c r="U7" s="3"/>
    </row>
    <row r="8" spans="1:21" ht="15.75" x14ac:dyDescent="0.25">
      <c r="A8" s="4" t="s">
        <v>13</v>
      </c>
      <c r="B8" s="39">
        <f>SUM(Ockelbo:Hudiksvall!B8)</f>
        <v>2733513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"/>
      <c r="Q8" s="3"/>
      <c r="R8" s="3"/>
      <c r="S8" s="3"/>
      <c r="T8" s="3"/>
      <c r="U8" s="3"/>
    </row>
    <row r="9" spans="1:21" ht="15.75" x14ac:dyDescent="0.25">
      <c r="A9" s="4" t="s">
        <v>14</v>
      </c>
      <c r="B9" s="39">
        <f>SUM(Ockelbo:Hudiksvall!B9)</f>
        <v>1069056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"/>
      <c r="Q9" s="3"/>
      <c r="R9" s="3"/>
      <c r="S9" s="3"/>
      <c r="T9" s="3"/>
      <c r="U9" s="3"/>
    </row>
    <row r="10" spans="1:21" ht="16" x14ac:dyDescent="0.2">
      <c r="A10" s="4" t="s">
        <v>15</v>
      </c>
      <c r="B10" s="39">
        <f>SUM(B4:B9)</f>
        <v>3956921.5</v>
      </c>
      <c r="C10" s="39">
        <f>SUM(C6:C9)</f>
        <v>0</v>
      </c>
      <c r="D10" s="39">
        <f t="shared" ref="D10:O10" si="0">SUM(D6:D9)</f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 t="shared" si="0"/>
        <v>0</v>
      </c>
      <c r="O10" s="39">
        <f t="shared" si="0"/>
        <v>0</v>
      </c>
      <c r="P10" s="3"/>
      <c r="Q10" s="3"/>
      <c r="R10" s="3"/>
      <c r="S10" s="3"/>
      <c r="T10" s="3"/>
      <c r="U10" s="3"/>
    </row>
    <row r="11" spans="1:21" ht="16" x14ac:dyDescent="0.2">
      <c r="A11" s="4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3"/>
      <c r="Q11" s="3"/>
      <c r="R11" s="3"/>
      <c r="S11" s="3"/>
      <c r="T11" s="3"/>
      <c r="U11" s="3"/>
    </row>
    <row r="12" spans="1:21" ht="16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"/>
      <c r="Q12" s="3"/>
      <c r="R12" s="3"/>
      <c r="S12" s="3"/>
      <c r="T12" s="3"/>
      <c r="U12" s="3"/>
    </row>
    <row r="13" spans="1:21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21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21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8</v>
      </c>
      <c r="M15" s="6" t="s">
        <v>8</v>
      </c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21" ht="16" x14ac:dyDescent="0.2">
      <c r="B16" s="9"/>
      <c r="C16" s="27"/>
      <c r="D16" s="27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3"/>
      <c r="Q16" s="42"/>
      <c r="R16" s="3"/>
      <c r="S16" s="3"/>
      <c r="T16" s="3"/>
      <c r="U16" s="3"/>
    </row>
    <row r="17" spans="1:24" ht="16" x14ac:dyDescent="0.2">
      <c r="A17" s="4" t="s">
        <v>19</v>
      </c>
      <c r="B17" s="39">
        <f>SUM(Ockelbo:Hudiksvall!B17)</f>
        <v>925405</v>
      </c>
      <c r="C17" s="39">
        <f>SUM(Ockelbo:Hudiksvall!C17)</f>
        <v>4554</v>
      </c>
      <c r="D17" s="39">
        <f>SUM(Ockelbo:Hudiksvall!D17)</f>
        <v>0</v>
      </c>
      <c r="E17" s="39">
        <f>SUM(Ockelbo:Hudiksvall!E17)</f>
        <v>1813</v>
      </c>
      <c r="F17" s="39">
        <f>SUM(Ockelbo:Hudiksvall!F17)</f>
        <v>265</v>
      </c>
      <c r="G17" s="39">
        <f>SUM(Ockelbo:Hudiksvall!G17)</f>
        <v>894467.88888888888</v>
      </c>
      <c r="H17" s="39">
        <f>SUM(Ockelbo:Hudiksvall!H17)</f>
        <v>5272</v>
      </c>
      <c r="I17" s="39">
        <f>SUM(Ockelbo:Hudiksvall!I17)</f>
        <v>0</v>
      </c>
      <c r="J17" s="39">
        <f>SUM(Ockelbo:Hudiksvall!J17)</f>
        <v>87005</v>
      </c>
      <c r="K17" s="39">
        <f>SUM(Ockelbo:Hudiksvall!K17)</f>
        <v>153656</v>
      </c>
      <c r="L17" s="39">
        <f>SUM(Ockelbo:Hudiksvall!L17)</f>
        <v>0</v>
      </c>
      <c r="M17" s="39">
        <f>SUM(Ockelbo:Hudiksvall!M17)</f>
        <v>0</v>
      </c>
      <c r="N17" s="39">
        <f>SUM(Ockelbo:Hudiksvall!N17)</f>
        <v>20308</v>
      </c>
      <c r="O17" s="39">
        <f>SUM(C17:N17)</f>
        <v>1167340.888888889</v>
      </c>
      <c r="P17" s="3"/>
      <c r="Q17" s="43"/>
      <c r="R17" s="44"/>
      <c r="S17" s="3"/>
      <c r="T17" s="3"/>
      <c r="U17" s="3"/>
    </row>
    <row r="18" spans="1:24" ht="16" x14ac:dyDescent="0.2">
      <c r="A18" s="4" t="s">
        <v>20</v>
      </c>
      <c r="B18" s="39">
        <f>SUM(Ockelbo:Hudiksvall!B18)</f>
        <v>271122</v>
      </c>
      <c r="C18" s="39">
        <f>SUM(Ockelbo:Hudiksvall!C18)</f>
        <v>6810</v>
      </c>
      <c r="D18" s="39">
        <f>SUM(Ockelbo:Hudiksvall!D18)</f>
        <v>0</v>
      </c>
      <c r="E18" s="39">
        <f>SUM(Ockelbo:Hudiksvall!E18)</f>
        <v>2750</v>
      </c>
      <c r="F18" s="39">
        <f>SUM(Ockelbo:Hudiksvall!F18)</f>
        <v>1470</v>
      </c>
      <c r="G18" s="39">
        <f>SUM(Ockelbo:Hudiksvall!G18)</f>
        <v>275160</v>
      </c>
      <c r="H18" s="39">
        <f>SUM(Ockelbo:Hudiksvall!H18)</f>
        <v>0</v>
      </c>
      <c r="I18" s="39">
        <f>SUM(Ockelbo:Hudiksvall!I18)</f>
        <v>0</v>
      </c>
      <c r="J18" s="39">
        <f>SUM(Ockelbo:Hudiksvall!J18)</f>
        <v>0</v>
      </c>
      <c r="K18" s="39">
        <f>SUM(Ockelbo:Hudiksvall!K18)</f>
        <v>0</v>
      </c>
      <c r="L18" s="39">
        <f>SUM(Ockelbo:Hudiksvall!L18)</f>
        <v>0</v>
      </c>
      <c r="M18" s="39">
        <f>SUM(Ockelbo:Hudiksvall!M18)</f>
        <v>0</v>
      </c>
      <c r="N18" s="39">
        <f>SUM(Ockelbo:Hudiksvall!N18)</f>
        <v>900</v>
      </c>
      <c r="O18" s="39">
        <f>SUM(C18:N18)</f>
        <v>287090</v>
      </c>
      <c r="P18" s="3"/>
      <c r="Q18" s="43"/>
      <c r="R18" s="44"/>
      <c r="S18" s="3"/>
      <c r="T18" s="3"/>
      <c r="U18" s="3"/>
    </row>
    <row r="19" spans="1:24" ht="16" x14ac:dyDescent="0.2">
      <c r="A19" s="4" t="s">
        <v>21</v>
      </c>
      <c r="B19" s="39">
        <f>SUM(Ockelbo:Hudiksvall!B19)</f>
        <v>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"/>
      <c r="Q19" s="3"/>
      <c r="R19" s="3"/>
      <c r="S19" s="3" t="s">
        <v>25</v>
      </c>
      <c r="T19" s="11">
        <f>O42/1000</f>
        <v>20090.207785555558</v>
      </c>
      <c r="U19" s="3"/>
    </row>
    <row r="20" spans="1:24" ht="16" x14ac:dyDescent="0.2">
      <c r="A20" s="4" t="s">
        <v>22</v>
      </c>
      <c r="B20" s="39">
        <f>SUM(Ockelbo:Hudiksvall!B20)</f>
        <v>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"/>
      <c r="Q20" s="3"/>
      <c r="R20" s="3"/>
      <c r="S20" s="3"/>
      <c r="T20" s="3"/>
      <c r="U20" s="3"/>
    </row>
    <row r="21" spans="1:24" ht="16" x14ac:dyDescent="0.2">
      <c r="A21" s="4" t="s">
        <v>23</v>
      </c>
      <c r="B21" s="39">
        <f>SUM(Ockelbo:Hudiksvall!B21)</f>
        <v>538245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"/>
      <c r="Q21" s="3"/>
      <c r="R21" s="3"/>
      <c r="S21" s="3"/>
      <c r="T21" s="3" t="s">
        <v>26</v>
      </c>
      <c r="U21" s="3" t="s">
        <v>27</v>
      </c>
    </row>
    <row r="22" spans="1:24" ht="16" x14ac:dyDescent="0.2">
      <c r="A22" s="4" t="s">
        <v>24</v>
      </c>
      <c r="B22" s="39">
        <f>SUM(Ockelbo:Hudiksvall!B22)</f>
        <v>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"/>
      <c r="Q22" s="3"/>
      <c r="R22" s="3"/>
      <c r="S22" s="3" t="s">
        <v>9</v>
      </c>
      <c r="T22" s="12">
        <f>N42/1000</f>
        <v>4788.3864800000001</v>
      </c>
      <c r="U22" s="13">
        <f>N43</f>
        <v>0.23834429843193317</v>
      </c>
    </row>
    <row r="23" spans="1:24" ht="16" x14ac:dyDescent="0.2">
      <c r="A23" s="4" t="s">
        <v>15</v>
      </c>
      <c r="B23" s="39">
        <f>SUM(B17:B22)</f>
        <v>1734772</v>
      </c>
      <c r="C23" s="39">
        <f t="shared" ref="C23:O23" si="1">SUM(C17:C22)</f>
        <v>11364</v>
      </c>
      <c r="D23" s="39">
        <f t="shared" si="1"/>
        <v>0</v>
      </c>
      <c r="E23" s="39">
        <f t="shared" si="1"/>
        <v>4563</v>
      </c>
      <c r="F23" s="39">
        <f t="shared" si="1"/>
        <v>1735</v>
      </c>
      <c r="G23" s="39">
        <f t="shared" si="1"/>
        <v>1169627.888888889</v>
      </c>
      <c r="H23" s="39">
        <f t="shared" si="1"/>
        <v>5272</v>
      </c>
      <c r="I23" s="39">
        <f t="shared" si="1"/>
        <v>0</v>
      </c>
      <c r="J23" s="39">
        <f t="shared" si="1"/>
        <v>87005</v>
      </c>
      <c r="K23" s="39">
        <f t="shared" si="1"/>
        <v>153656</v>
      </c>
      <c r="L23" s="39">
        <f t="shared" si="1"/>
        <v>0</v>
      </c>
      <c r="M23" s="39">
        <f t="shared" si="1"/>
        <v>0</v>
      </c>
      <c r="N23" s="39">
        <f t="shared" si="1"/>
        <v>21208</v>
      </c>
      <c r="O23" s="39">
        <f t="shared" si="1"/>
        <v>1454430.888888889</v>
      </c>
      <c r="P23" s="3"/>
      <c r="Q23" s="3"/>
      <c r="R23" s="3"/>
      <c r="S23" s="3" t="s">
        <v>58</v>
      </c>
      <c r="T23" s="12">
        <f>G42/1000</f>
        <v>3603.8428888888889</v>
      </c>
      <c r="U23" s="14">
        <f>G43</f>
        <v>0.179383057027413</v>
      </c>
    </row>
    <row r="24" spans="1:24" ht="16" x14ac:dyDescent="0.2">
      <c r="A24" s="4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3"/>
      <c r="Q24" s="3"/>
      <c r="R24" s="3"/>
      <c r="S24" s="3" t="s">
        <v>6</v>
      </c>
      <c r="T24" s="12">
        <f>J42/1000</f>
        <v>87.004999999999995</v>
      </c>
      <c r="U24" s="13">
        <f>J43</f>
        <v>4.3307167814637931E-3</v>
      </c>
    </row>
    <row r="25" spans="1:24" ht="16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3"/>
      <c r="Q25" s="3"/>
      <c r="R25" s="3"/>
      <c r="S25" s="3" t="s">
        <v>30</v>
      </c>
      <c r="T25" s="12">
        <f>F42/1000</f>
        <v>299.97800000000001</v>
      </c>
      <c r="U25" s="13">
        <f>F43</f>
        <v>1.4931552883971562E-2</v>
      </c>
    </row>
    <row r="26" spans="1:24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3</v>
      </c>
      <c r="T26" s="11">
        <f>E42/1000</f>
        <v>410.54108333333329</v>
      </c>
      <c r="U26" s="13">
        <f>E43</f>
        <v>2.0434884881006747E-2</v>
      </c>
    </row>
    <row r="27" spans="1:24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2" t="s">
        <v>2</v>
      </c>
      <c r="T27" s="2">
        <f>D42/1000</f>
        <v>13.585000000000001</v>
      </c>
      <c r="U27" s="46">
        <f>D43</f>
        <v>6.7620007443463745E-4</v>
      </c>
    </row>
    <row r="28" spans="1:24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2" t="s">
        <v>7</v>
      </c>
      <c r="T28" s="2">
        <f>K42/1000</f>
        <v>153.65600000000001</v>
      </c>
      <c r="U28" s="46">
        <f>K43</f>
        <v>7.6483031753646416E-3</v>
      </c>
    </row>
    <row r="29" spans="1:24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74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3" t="s">
        <v>4</v>
      </c>
      <c r="T29" s="12">
        <f>I42/1000</f>
        <v>5936.3609999999999</v>
      </c>
      <c r="U29" s="14">
        <f>I43</f>
        <v>0.29548529628788212</v>
      </c>
    </row>
    <row r="30" spans="1:24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9" t="str">
        <f>L29</f>
        <v>Tallbeckolja</v>
      </c>
      <c r="T30" s="12">
        <f>L42/1000</f>
        <v>634.53</v>
      </c>
      <c r="U30" s="13">
        <f>L43</f>
        <v>3.1584043668090575E-2</v>
      </c>
      <c r="W30" s="42"/>
    </row>
    <row r="31" spans="1:24" ht="16" x14ac:dyDescent="0.2">
      <c r="A31" s="5" t="s">
        <v>32</v>
      </c>
      <c r="B31" s="39">
        <f>SUM(Ockelbo:Hudiksvall!B31)</f>
        <v>0</v>
      </c>
      <c r="C31" s="39">
        <f>SUM(Ockelbo:Hudiksvall!C31)</f>
        <v>83608</v>
      </c>
      <c r="D31" s="39">
        <f>SUM(Ockelbo:Hudiksvall!D31)</f>
        <v>0</v>
      </c>
      <c r="E31" s="39">
        <f>SUM(Ockelbo:Hudiksvall!E31)</f>
        <v>0</v>
      </c>
      <c r="F31" s="39">
        <f>SUM(Ockelbo:Hudiksvall!F31)</f>
        <v>8270</v>
      </c>
      <c r="G31" s="39">
        <f>SUM(Ockelbo:Hudiksvall!G31)</f>
        <v>0</v>
      </c>
      <c r="H31" s="39">
        <f>SUM(Ockelbo:Hudiksvall!H31)</f>
        <v>0</v>
      </c>
      <c r="I31" s="39">
        <f>SUM(Ockelbo:Hudiksvall!I31)</f>
        <v>0</v>
      </c>
      <c r="J31" s="39">
        <f>SUM(Ockelbo:Hudiksvall!J31)</f>
        <v>0</v>
      </c>
      <c r="K31" s="39">
        <f>SUM(Ockelbo:Hudiksvall!K31)</f>
        <v>0</v>
      </c>
      <c r="L31" s="39">
        <f>SUM(Ockelbo:Hudiksvall!L31)</f>
        <v>0</v>
      </c>
      <c r="M31" s="39">
        <f>SUM(Ockelbo:Hudiksvall!M31)</f>
        <v>0</v>
      </c>
      <c r="N31" s="39">
        <f>SUM(Ockelbo:Hudiksvall!N31)</f>
        <v>103144</v>
      </c>
      <c r="O31" s="39">
        <f>SUM(B31:N31)</f>
        <v>195022</v>
      </c>
      <c r="P31" s="17">
        <f>O31/O$39</f>
        <v>9.7502057030077489E-3</v>
      </c>
      <c r="Q31" s="18" t="s">
        <v>33</v>
      </c>
      <c r="R31" s="3"/>
      <c r="S31" s="9" t="str">
        <f>M29</f>
        <v>Övrigt</v>
      </c>
      <c r="T31" s="12">
        <f>M42/1000</f>
        <v>85.003</v>
      </c>
      <c r="U31" s="13">
        <f>M43</f>
        <v>4.2310662441786889E-3</v>
      </c>
      <c r="V31" s="46"/>
      <c r="W31" s="44"/>
      <c r="X31" s="44"/>
    </row>
    <row r="32" spans="1:24" ht="16" x14ac:dyDescent="0.2">
      <c r="A32" s="5" t="s">
        <v>35</v>
      </c>
      <c r="B32" s="39">
        <f>SUM(Ockelbo:Hudiksvall!B32)</f>
        <v>158490.88454706926</v>
      </c>
      <c r="C32" s="39">
        <f>SUM(Ockelbo:Hudiksvall!C32)</f>
        <v>383413.11545293074</v>
      </c>
      <c r="D32" s="39">
        <f>SUM(Ockelbo:Hudiksvall!D32)</f>
        <v>13585</v>
      </c>
      <c r="E32" s="39">
        <f>SUM(Ockelbo:Hudiksvall!E32)</f>
        <v>402089</v>
      </c>
      <c r="F32" s="39">
        <f>SUM(Ockelbo:Hudiksvall!F32)</f>
        <v>1581</v>
      </c>
      <c r="G32" s="39">
        <f>SUM(Ockelbo:Hudiksvall!G32)</f>
        <v>1848965</v>
      </c>
      <c r="H32" s="39">
        <f>SUM(Ockelbo:Hudiksvall!H32)</f>
        <v>0</v>
      </c>
      <c r="I32" s="39">
        <f>SUM(Ockelbo:Hudiksvall!I32)</f>
        <v>5936361</v>
      </c>
      <c r="J32" s="39">
        <f>SUM(Ockelbo:Hudiksvall!J32)</f>
        <v>0</v>
      </c>
      <c r="K32" s="39">
        <f>SUM(Ockelbo:Hudiksvall!K32)</f>
        <v>0</v>
      </c>
      <c r="L32" s="39">
        <f>SUM(Ockelbo:Hudiksvall!L32)</f>
        <v>634530</v>
      </c>
      <c r="M32" s="39">
        <f>SUM(Ockelbo:Hudiksvall!M32)</f>
        <v>85003</v>
      </c>
      <c r="N32" s="39">
        <f>SUM(Ockelbo:Hudiksvall!N32)</f>
        <v>2258932</v>
      </c>
      <c r="O32" s="39">
        <f t="shared" ref="O32:O38" si="2">SUM(B32:N32)</f>
        <v>11722950</v>
      </c>
      <c r="P32" s="17">
        <f>O32/O$39</f>
        <v>0.58609374299348116</v>
      </c>
      <c r="Q32" s="18" t="s">
        <v>36</v>
      </c>
      <c r="R32" s="3"/>
      <c r="S32" s="3" t="s">
        <v>5</v>
      </c>
      <c r="T32" s="12">
        <f>H42/1000</f>
        <v>11.861333333333333</v>
      </c>
      <c r="U32" s="13">
        <f>H43</f>
        <v>5.9040371607611667E-4</v>
      </c>
      <c r="W32" s="44"/>
      <c r="X32" s="44"/>
    </row>
    <row r="33" spans="1:48" ht="16" x14ac:dyDescent="0.2">
      <c r="A33" s="5" t="s">
        <v>37</v>
      </c>
      <c r="B33" s="39">
        <f>SUM(Ockelbo:Hudiksvall!B33)</f>
        <v>246405.11545293074</v>
      </c>
      <c r="C33" s="39">
        <f>SUM(Ockelbo:Hudiksvall!C33)</f>
        <v>8323</v>
      </c>
      <c r="D33" s="39">
        <f>SUM(Ockelbo:Hudiksvall!D33)</f>
        <v>0</v>
      </c>
      <c r="E33" s="39">
        <f>SUM(Ockelbo:Hudiksvall!E33)</f>
        <v>0</v>
      </c>
      <c r="F33" s="39">
        <f>SUM(Ockelbo:Hudiksvall!F33)</f>
        <v>0</v>
      </c>
      <c r="G33" s="39">
        <f>SUM(Ockelbo:Hudiksvall!G33)</f>
        <v>0</v>
      </c>
      <c r="H33" s="39">
        <f>SUM(Ockelbo:Hudiksvall!H33)</f>
        <v>0</v>
      </c>
      <c r="I33" s="39">
        <f>SUM(Ockelbo:Hudiksvall!I33)</f>
        <v>0</v>
      </c>
      <c r="J33" s="39">
        <f>SUM(Ockelbo:Hudiksvall!J33)</f>
        <v>0</v>
      </c>
      <c r="K33" s="39">
        <f>SUM(Ockelbo:Hudiksvall!K33)</f>
        <v>0</v>
      </c>
      <c r="L33" s="39">
        <f>SUM(Ockelbo:Hudiksvall!L33)</f>
        <v>0</v>
      </c>
      <c r="M33" s="39">
        <f>SUM(Ockelbo:Hudiksvall!M33)</f>
        <v>0</v>
      </c>
      <c r="N33" s="39">
        <f>SUM(Ockelbo:Hudiksvall!N33)</f>
        <v>256627</v>
      </c>
      <c r="O33" s="39">
        <f t="shared" si="2"/>
        <v>511355.11545293074</v>
      </c>
      <c r="P33" s="17">
        <f>O33/O$39</f>
        <v>2.5565410891855024E-2</v>
      </c>
      <c r="Q33" s="18" t="s">
        <v>38</v>
      </c>
      <c r="R33" s="3"/>
      <c r="S33" s="3" t="s">
        <v>34</v>
      </c>
      <c r="T33" s="12">
        <f>C42/1000</f>
        <v>4065.4580000000001</v>
      </c>
      <c r="U33" s="14">
        <f>C43</f>
        <v>0.20236017682818494</v>
      </c>
      <c r="W33" s="44"/>
      <c r="X33" s="44"/>
    </row>
    <row r="34" spans="1:48" ht="16" x14ac:dyDescent="0.2">
      <c r="A34" s="5" t="s">
        <v>39</v>
      </c>
      <c r="B34" s="39">
        <f>SUM(Ockelbo:Hudiksvall!B34)</f>
        <v>0</v>
      </c>
      <c r="C34" s="39">
        <f>SUM(Ockelbo:Hudiksvall!C34)</f>
        <v>3418752</v>
      </c>
      <c r="D34" s="39">
        <f>SUM(Ockelbo:Hudiksvall!D34)</f>
        <v>0</v>
      </c>
      <c r="E34" s="80">
        <f>354*39.55/3.6</f>
        <v>3889.083333333333</v>
      </c>
      <c r="F34" s="39">
        <f>SUM(Ockelbo:Hudiksvall!F34)</f>
        <v>288392</v>
      </c>
      <c r="G34" s="39">
        <f>SUM(Ockelbo:Hudiksvall!G34)</f>
        <v>0</v>
      </c>
      <c r="H34" s="80">
        <f>672*35.3/3.6</f>
        <v>6589.333333333333</v>
      </c>
      <c r="I34" s="39">
        <f>SUM(Ockelbo:Hudiksvall!I34)</f>
        <v>0</v>
      </c>
      <c r="J34" s="39">
        <f>SUM(Ockelbo:Hudiksvall!J34)</f>
        <v>0</v>
      </c>
      <c r="K34" s="39">
        <f>SUM(Ockelbo:Hudiksvall!K34)</f>
        <v>0</v>
      </c>
      <c r="L34" s="39">
        <f>SUM(Ockelbo:Hudiksvall!L34)</f>
        <v>0</v>
      </c>
      <c r="M34" s="39">
        <f>SUM(Ockelbo:Hudiksvall!M34)</f>
        <v>0</v>
      </c>
      <c r="N34" s="39">
        <f>SUM(Ockelbo:Hudiksvall!N34)</f>
        <v>93564</v>
      </c>
      <c r="O34" s="39">
        <f t="shared" si="2"/>
        <v>3811186.416666667</v>
      </c>
      <c r="P34" s="17">
        <f>O34/O$39</f>
        <v>0.19054184417660058</v>
      </c>
      <c r="Q34" s="18" t="s">
        <v>40</v>
      </c>
      <c r="R34" s="3"/>
      <c r="S34" s="3"/>
      <c r="T34" s="12">
        <f>SUM(T22:T33)</f>
        <v>20090.207785555558</v>
      </c>
      <c r="U34" s="13">
        <f>SUM(U22:U33)</f>
        <v>1</v>
      </c>
      <c r="W34" s="44"/>
      <c r="X34" s="44"/>
    </row>
    <row r="35" spans="1:48" ht="16" x14ac:dyDescent="0.2">
      <c r="A35" s="5" t="s">
        <v>41</v>
      </c>
      <c r="B35" s="39">
        <f>SUM(Ockelbo:Hudiksvall!B35)</f>
        <v>175087</v>
      </c>
      <c r="C35" s="39">
        <f>SUM(Ockelbo:Hudiksvall!C35)</f>
        <v>153636.88454706926</v>
      </c>
      <c r="D35" s="39">
        <f>SUM(Ockelbo:Hudiksvall!D35)</f>
        <v>0</v>
      </c>
      <c r="E35" s="39">
        <f>SUM(Ockelbo:Hudiksvall!E35)</f>
        <v>0</v>
      </c>
      <c r="F35" s="39">
        <f>SUM(Ockelbo:Hudiksvall!F35)</f>
        <v>0</v>
      </c>
      <c r="G35" s="39">
        <f>SUM(Ockelbo:Hudiksvall!G35)</f>
        <v>0</v>
      </c>
      <c r="H35" s="39">
        <f>SUM(Ockelbo:Hudiksvall!H35)</f>
        <v>0</v>
      </c>
      <c r="I35" s="39">
        <f>SUM(Ockelbo:Hudiksvall!I35)</f>
        <v>0</v>
      </c>
      <c r="J35" s="39">
        <f>SUM(Ockelbo:Hudiksvall!J35)</f>
        <v>0</v>
      </c>
      <c r="K35" s="39">
        <f>SUM(Ockelbo:Hudiksvall!K35)</f>
        <v>0</v>
      </c>
      <c r="L35" s="39">
        <f>SUM(Ockelbo:Hudiksvall!L35)</f>
        <v>0</v>
      </c>
      <c r="M35" s="39">
        <f>SUM(Ockelbo:Hudiksvall!M35)</f>
        <v>0</v>
      </c>
      <c r="N35" s="39">
        <f>SUM(Ockelbo:Hudiksvall!N35)</f>
        <v>811312</v>
      </c>
      <c r="O35" s="39">
        <f t="shared" si="2"/>
        <v>1140035.8845470692</v>
      </c>
      <c r="P35" s="17">
        <f>O35/O$39</f>
        <v>5.6996566454781086E-2</v>
      </c>
      <c r="Q35" s="18" t="s">
        <v>42</v>
      </c>
      <c r="R35" s="18"/>
      <c r="W35" s="44"/>
      <c r="X35" s="44"/>
    </row>
    <row r="36" spans="1:48" ht="16" x14ac:dyDescent="0.2">
      <c r="A36" s="5" t="s">
        <v>43</v>
      </c>
      <c r="B36" s="39">
        <f>SUM(Ockelbo:Hudiksvall!B36)</f>
        <v>201577.06400000001</v>
      </c>
      <c r="C36" s="39">
        <f>SUM(Ockelbo:Hudiksvall!C36)</f>
        <v>5680</v>
      </c>
      <c r="D36" s="39">
        <f>SUM(Ockelbo:Hudiksvall!D36)</f>
        <v>0</v>
      </c>
      <c r="E36" s="39">
        <f>SUM(Ockelbo:Hudiksvall!E36)</f>
        <v>0</v>
      </c>
      <c r="F36" s="39">
        <f>SUM(Ockelbo:Hudiksvall!F36)</f>
        <v>0</v>
      </c>
      <c r="G36" s="39">
        <f>SUM(Ockelbo:Hudiksvall!G36)</f>
        <v>585250</v>
      </c>
      <c r="H36" s="39">
        <f>SUM(Ockelbo:Hudiksvall!H36)</f>
        <v>0</v>
      </c>
      <c r="I36" s="39">
        <f>SUM(Ockelbo:Hudiksvall!I36)</f>
        <v>0</v>
      </c>
      <c r="J36" s="39">
        <f>SUM(Ockelbo:Hudiksvall!J36)</f>
        <v>0</v>
      </c>
      <c r="K36" s="39">
        <f>SUM(Ockelbo:Hudiksvall!K36)</f>
        <v>0</v>
      </c>
      <c r="L36" s="39">
        <f>SUM(Ockelbo:Hudiksvall!L36)</f>
        <v>0</v>
      </c>
      <c r="M36" s="39">
        <f>SUM(Ockelbo:Hudiksvall!M36)</f>
        <v>0</v>
      </c>
      <c r="N36" s="39">
        <f>SUM(Ockelbo:Hudiksvall!N36)</f>
        <v>803831</v>
      </c>
      <c r="O36" s="39">
        <f t="shared" si="2"/>
        <v>1596338.064</v>
      </c>
      <c r="P36" s="18"/>
      <c r="Q36" s="18"/>
      <c r="R36" s="3"/>
      <c r="S36" s="7"/>
      <c r="T36" s="7"/>
      <c r="U36" s="7"/>
      <c r="W36" s="44"/>
      <c r="X36" s="44"/>
    </row>
    <row r="37" spans="1:48" ht="16" x14ac:dyDescent="0.2">
      <c r="A37" s="5" t="s">
        <v>44</v>
      </c>
      <c r="B37" s="39">
        <f>SUM(Ockelbo:Hudiksvall!B37)</f>
        <v>795819.93599999999</v>
      </c>
      <c r="C37" s="39">
        <f>SUM(Ockelbo:Hudiksvall!C37)</f>
        <v>681</v>
      </c>
      <c r="D37" s="39">
        <f>SUM(Ockelbo:Hudiksvall!D37)</f>
        <v>0</v>
      </c>
      <c r="E37" s="39">
        <f>SUM(Ockelbo:Hudiksvall!E37)</f>
        <v>0</v>
      </c>
      <c r="F37" s="39">
        <f>SUM(Ockelbo:Hudiksvall!F37)</f>
        <v>0</v>
      </c>
      <c r="G37" s="39">
        <f>SUM(Ockelbo:Hudiksvall!G37)</f>
        <v>0</v>
      </c>
      <c r="H37" s="39">
        <f>SUM(Ockelbo:Hudiksvall!H37)</f>
        <v>0</v>
      </c>
      <c r="I37" s="39">
        <f>SUM(Ockelbo:Hudiksvall!I37)</f>
        <v>0</v>
      </c>
      <c r="J37" s="39">
        <f>SUM(Ockelbo:Hudiksvall!J37)</f>
        <v>0</v>
      </c>
      <c r="K37" s="39">
        <f>SUM(Ockelbo:Hudiksvall!K37)</f>
        <v>0</v>
      </c>
      <c r="L37" s="39">
        <f>SUM(Ockelbo:Hudiksvall!L37)</f>
        <v>0</v>
      </c>
      <c r="M37" s="39">
        <f>SUM(Ockelbo:Hudiksvall!M37)</f>
        <v>0</v>
      </c>
      <c r="N37" s="39">
        <f>SUM(Ockelbo:Hudiksvall!N37)</f>
        <v>145932.06400000001</v>
      </c>
      <c r="O37" s="39">
        <f t="shared" si="2"/>
        <v>942433</v>
      </c>
      <c r="P37" s="18"/>
      <c r="Q37" s="18"/>
      <c r="R37" s="3"/>
      <c r="S37" s="7"/>
      <c r="T37" s="7" t="s">
        <v>26</v>
      </c>
      <c r="U37" s="7" t="s">
        <v>27</v>
      </c>
      <c r="W37" s="44"/>
      <c r="X37" s="44"/>
    </row>
    <row r="38" spans="1:48" ht="16" x14ac:dyDescent="0.2">
      <c r="A38" s="5" t="s">
        <v>45</v>
      </c>
      <c r="B38" s="39">
        <f>SUM(Ockelbo:Hudiksvall!B38)</f>
        <v>0</v>
      </c>
      <c r="C38" s="39">
        <f>SUM(Ockelbo:Hudiksvall!C38)</f>
        <v>0</v>
      </c>
      <c r="D38" s="39">
        <f>SUM(Ockelbo:Hudiksvall!D38)</f>
        <v>0</v>
      </c>
      <c r="E38" s="39">
        <f>SUM(Ockelbo:Hudiksvall!E38)</f>
        <v>0</v>
      </c>
      <c r="F38" s="39">
        <f>SUM(Ockelbo:Hudiksvall!F38)</f>
        <v>0</v>
      </c>
      <c r="G38" s="39">
        <f>SUM(Ockelbo:Hudiksvall!G38)</f>
        <v>0</v>
      </c>
      <c r="H38" s="39">
        <f>SUM(Ockelbo:Hudiksvall!H38)</f>
        <v>0</v>
      </c>
      <c r="I38" s="39">
        <f>SUM(Ockelbo:Hudiksvall!I38)</f>
        <v>0</v>
      </c>
      <c r="J38" s="39">
        <f>SUM(Ockelbo:Hudiksvall!J38)</f>
        <v>0</v>
      </c>
      <c r="K38" s="39">
        <f>SUM(Ockelbo:Hudiksvall!K38)</f>
        <v>0</v>
      </c>
      <c r="L38" s="39">
        <f>SUM(Ockelbo:Hudiksvall!L38)</f>
        <v>0</v>
      </c>
      <c r="M38" s="39">
        <f>SUM(Ockelbo:Hudiksvall!M38)</f>
        <v>0</v>
      </c>
      <c r="N38" s="39">
        <f>SUM(Ockelbo:Hudiksvall!N38)</f>
        <v>82513.935999999754</v>
      </c>
      <c r="O38" s="39">
        <f t="shared" si="2"/>
        <v>82513.935999999754</v>
      </c>
      <c r="P38" s="18">
        <f>SUM(P31:P35)</f>
        <v>0.86894777021972569</v>
      </c>
      <c r="Q38" s="18"/>
      <c r="R38" s="3"/>
      <c r="S38" s="7" t="s">
        <v>46</v>
      </c>
      <c r="T38" s="19">
        <f>O45/1000</f>
        <v>521.86047999999994</v>
      </c>
      <c r="U38" s="7"/>
      <c r="W38" s="44"/>
      <c r="X38" s="44"/>
    </row>
    <row r="39" spans="1:48" ht="16" x14ac:dyDescent="0.2">
      <c r="A39" s="5" t="s">
        <v>15</v>
      </c>
      <c r="B39" s="39">
        <f>SUM(B31:B38)</f>
        <v>1577380</v>
      </c>
      <c r="C39" s="39">
        <f t="shared" ref="C39:O39" si="3">SUM(C31:C38)</f>
        <v>4054094</v>
      </c>
      <c r="D39" s="39">
        <f t="shared" si="3"/>
        <v>13585</v>
      </c>
      <c r="E39" s="39">
        <f t="shared" si="3"/>
        <v>405978.08333333331</v>
      </c>
      <c r="F39" s="39">
        <f t="shared" si="3"/>
        <v>298243</v>
      </c>
      <c r="G39" s="39">
        <f t="shared" si="3"/>
        <v>2434215</v>
      </c>
      <c r="H39" s="39">
        <f t="shared" si="3"/>
        <v>6589.333333333333</v>
      </c>
      <c r="I39" s="39">
        <f t="shared" si="3"/>
        <v>5936361</v>
      </c>
      <c r="J39" s="39">
        <f t="shared" si="3"/>
        <v>0</v>
      </c>
      <c r="K39" s="39">
        <f t="shared" si="3"/>
        <v>0</v>
      </c>
      <c r="L39" s="39">
        <f t="shared" si="3"/>
        <v>634530</v>
      </c>
      <c r="M39" s="39">
        <f t="shared" si="3"/>
        <v>85003</v>
      </c>
      <c r="N39" s="39">
        <f t="shared" si="3"/>
        <v>4555856</v>
      </c>
      <c r="O39" s="39">
        <f t="shared" si="3"/>
        <v>20001834.416666668</v>
      </c>
      <c r="P39" s="3"/>
      <c r="Q39" s="3"/>
      <c r="R39" s="3"/>
      <c r="S39" s="7" t="s">
        <v>47</v>
      </c>
      <c r="T39" s="20">
        <f>O41/1000</f>
        <v>2621.2849999999999</v>
      </c>
      <c r="U39" s="13">
        <f>P41</f>
        <v>0.13105222978027437</v>
      </c>
    </row>
    <row r="40" spans="1:48" x14ac:dyDescent="0.2">
      <c r="S40" s="7" t="s">
        <v>48</v>
      </c>
      <c r="T40" s="20">
        <f>O35/1000</f>
        <v>1140.0358845470691</v>
      </c>
      <c r="U40" s="14">
        <f>P35</f>
        <v>5.6996566454781086E-2</v>
      </c>
    </row>
    <row r="41" spans="1:48" ht="16" x14ac:dyDescent="0.2">
      <c r="A41" s="21" t="s">
        <v>49</v>
      </c>
      <c r="B41" s="22">
        <f>B38+B37+B36</f>
        <v>997397</v>
      </c>
      <c r="C41" s="22">
        <f t="shared" ref="C41:O41" si="4">C38+C37+C36</f>
        <v>6361</v>
      </c>
      <c r="D41" s="22">
        <f t="shared" si="4"/>
        <v>0</v>
      </c>
      <c r="E41" s="22">
        <f t="shared" si="4"/>
        <v>0</v>
      </c>
      <c r="F41" s="22">
        <f t="shared" si="4"/>
        <v>0</v>
      </c>
      <c r="G41" s="22">
        <f t="shared" si="4"/>
        <v>585250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1032276.9999999998</v>
      </c>
      <c r="O41" s="22">
        <f t="shared" si="4"/>
        <v>2621285</v>
      </c>
      <c r="P41" s="17">
        <f>O41/O$39</f>
        <v>0.13105222978027437</v>
      </c>
      <c r="Q41" s="17" t="s">
        <v>50</v>
      </c>
      <c r="R41" s="7"/>
      <c r="S41" s="7" t="s">
        <v>51</v>
      </c>
      <c r="T41" s="20">
        <f>O33/1000</f>
        <v>511.35511545293076</v>
      </c>
      <c r="U41" s="13">
        <f>P33</f>
        <v>2.5565410891855024E-2</v>
      </c>
    </row>
    <row r="42" spans="1:48" ht="16" x14ac:dyDescent="0.2">
      <c r="A42" s="23" t="s">
        <v>52</v>
      </c>
      <c r="B42" s="22"/>
      <c r="C42" s="24">
        <f>C39+C23+C10</f>
        <v>4065458</v>
      </c>
      <c r="D42" s="24">
        <f t="shared" ref="D42:M42" si="5">D39+D23+D10</f>
        <v>13585</v>
      </c>
      <c r="E42" s="24">
        <f t="shared" si="5"/>
        <v>410541.08333333331</v>
      </c>
      <c r="F42" s="24">
        <f t="shared" si="5"/>
        <v>299978</v>
      </c>
      <c r="G42" s="24">
        <f t="shared" si="5"/>
        <v>3603842.888888889</v>
      </c>
      <c r="H42" s="24">
        <f t="shared" si="5"/>
        <v>11861.333333333332</v>
      </c>
      <c r="I42" s="24">
        <f t="shared" si="5"/>
        <v>5936361</v>
      </c>
      <c r="J42" s="24">
        <f t="shared" si="5"/>
        <v>87005</v>
      </c>
      <c r="K42" s="24">
        <f t="shared" si="5"/>
        <v>153656</v>
      </c>
      <c r="L42" s="24">
        <f t="shared" si="5"/>
        <v>634530</v>
      </c>
      <c r="M42" s="24">
        <f t="shared" si="5"/>
        <v>85003</v>
      </c>
      <c r="N42" s="24">
        <f>N39+N23-B6+N45</f>
        <v>4788386.4800000004</v>
      </c>
      <c r="O42" s="25">
        <f>SUM(C42:N42)</f>
        <v>20090207.785555556</v>
      </c>
      <c r="P42" s="7"/>
      <c r="Q42" s="7"/>
      <c r="R42" s="7"/>
      <c r="S42" s="7" t="s">
        <v>33</v>
      </c>
      <c r="T42" s="20">
        <f>O31/1000</f>
        <v>195.02199999999999</v>
      </c>
      <c r="U42" s="13">
        <f>P31</f>
        <v>9.7502057030077489E-3</v>
      </c>
    </row>
    <row r="43" spans="1:48" ht="16" x14ac:dyDescent="0.2">
      <c r="A43" s="23" t="s">
        <v>53</v>
      </c>
      <c r="B43" s="22"/>
      <c r="C43" s="17">
        <f t="shared" ref="C43:N43" si="6">C42/$O42</f>
        <v>0.20236017682818494</v>
      </c>
      <c r="D43" s="17">
        <f t="shared" si="6"/>
        <v>6.7620007443463745E-4</v>
      </c>
      <c r="E43" s="17">
        <f t="shared" si="6"/>
        <v>2.0434884881006747E-2</v>
      </c>
      <c r="F43" s="17">
        <f t="shared" si="6"/>
        <v>1.4931552883971562E-2</v>
      </c>
      <c r="G43" s="17">
        <f t="shared" si="6"/>
        <v>0.179383057027413</v>
      </c>
      <c r="H43" s="17">
        <f t="shared" si="6"/>
        <v>5.9040371607611667E-4</v>
      </c>
      <c r="I43" s="17">
        <f t="shared" si="6"/>
        <v>0.29548529628788212</v>
      </c>
      <c r="J43" s="17">
        <f t="shared" si="6"/>
        <v>4.3307167814637931E-3</v>
      </c>
      <c r="K43" s="17">
        <f t="shared" si="6"/>
        <v>7.6483031753646416E-3</v>
      </c>
      <c r="L43" s="17">
        <f t="shared" si="6"/>
        <v>3.1584043668090575E-2</v>
      </c>
      <c r="M43" s="17">
        <f t="shared" si="6"/>
        <v>4.2310662441786889E-3</v>
      </c>
      <c r="N43" s="17">
        <f t="shared" si="6"/>
        <v>0.23834429843193317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11722.95</v>
      </c>
      <c r="U43" s="14">
        <f>P32</f>
        <v>0.58609374299348116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3811.1864166666669</v>
      </c>
      <c r="U44" s="14">
        <f>P34</f>
        <v>0.19054184417660058</v>
      </c>
    </row>
    <row r="45" spans="1:48" ht="16" x14ac:dyDescent="0.2">
      <c r="A45" s="6" t="s">
        <v>56</v>
      </c>
      <c r="B45" s="6">
        <f>B23-B39</f>
        <v>157392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364468.47999999998</v>
      </c>
      <c r="O45" s="25">
        <f>B45+N45</f>
        <v>521860.48</v>
      </c>
      <c r="P45" s="7"/>
      <c r="Q45" s="7"/>
      <c r="R45" s="7"/>
      <c r="S45" s="7" t="s">
        <v>57</v>
      </c>
      <c r="T45" s="20">
        <f>SUM(T39:T44)</f>
        <v>20001.834416666668</v>
      </c>
      <c r="U45" s="13">
        <f>SUM(U39:U44)</f>
        <v>0.99999999999999989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2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38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1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2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8"/>
      <c r="C49" s="41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8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4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8"/>
      <c r="C52" s="4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8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40"/>
      <c r="C55" s="40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1"/>
      <c r="F56" s="41"/>
      <c r="G56" s="41"/>
      <c r="H56" s="41"/>
      <c r="I56" s="6"/>
      <c r="J56" s="41"/>
      <c r="K56" s="41"/>
      <c r="L56" s="41"/>
      <c r="M56" s="41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40"/>
      <c r="G57" s="40"/>
      <c r="H57" s="28"/>
      <c r="I57" s="38"/>
      <c r="J57" s="40"/>
      <c r="K57" s="28"/>
      <c r="L57" s="6"/>
      <c r="M57" s="6"/>
      <c r="N57" s="29"/>
      <c r="O57" s="7"/>
      <c r="P57" s="6"/>
      <c r="Q57" s="13"/>
      <c r="R57" s="7"/>
      <c r="S57" s="7"/>
      <c r="T57" s="6"/>
      <c r="U57" s="48"/>
    </row>
    <row r="58" spans="1:48" ht="16" x14ac:dyDescent="0.2">
      <c r="A58" s="7"/>
      <c r="B58" s="7"/>
      <c r="C58" s="28"/>
      <c r="D58" s="28"/>
      <c r="E58" s="28"/>
      <c r="F58" s="41"/>
      <c r="G58" s="40"/>
      <c r="H58" s="28"/>
      <c r="I58" s="38"/>
      <c r="J58" s="40"/>
      <c r="K58" s="28"/>
      <c r="L58" s="6"/>
      <c r="M58" s="6"/>
      <c r="N58" s="29"/>
      <c r="O58" s="7"/>
      <c r="P58" s="6"/>
      <c r="Q58" s="13"/>
      <c r="R58" s="7"/>
      <c r="S58" s="7"/>
      <c r="T58" s="6"/>
      <c r="U58" s="48"/>
    </row>
    <row r="59" spans="1:48" ht="16" x14ac:dyDescent="0.2">
      <c r="A59" s="7"/>
      <c r="B59" s="7"/>
      <c r="C59" s="28"/>
      <c r="D59" s="28"/>
      <c r="E59" s="28"/>
      <c r="F59" s="40"/>
      <c r="G59" s="40"/>
      <c r="H59" s="28"/>
      <c r="I59" s="38"/>
      <c r="J59" s="40"/>
      <c r="K59" s="28"/>
      <c r="L59" s="6"/>
      <c r="M59" s="6"/>
      <c r="N59" s="29"/>
      <c r="O59" s="7"/>
      <c r="P59" s="6"/>
      <c r="Q59" s="13"/>
      <c r="R59" s="7"/>
      <c r="S59" s="7"/>
      <c r="T59" s="6"/>
      <c r="U59" s="48"/>
    </row>
    <row r="60" spans="1:48" ht="16" x14ac:dyDescent="0.2">
      <c r="A60" s="23"/>
      <c r="B60" s="7"/>
      <c r="C60" s="28"/>
      <c r="D60" s="28"/>
      <c r="E60" s="28"/>
      <c r="F60" s="40"/>
      <c r="G60" s="40"/>
      <c r="H60" s="28"/>
      <c r="I60" s="38"/>
      <c r="J60" s="40"/>
      <c r="K60" s="28"/>
      <c r="L60" s="6"/>
      <c r="M60" s="6"/>
      <c r="N60" s="29"/>
      <c r="O60" s="7"/>
      <c r="P60" s="6"/>
      <c r="Q60" s="13"/>
      <c r="R60" s="7"/>
      <c r="S60" s="7"/>
      <c r="T60" s="6"/>
      <c r="U60" s="48"/>
    </row>
    <row r="61" spans="1:48" ht="16" x14ac:dyDescent="0.2">
      <c r="A61" s="7"/>
      <c r="B61" s="7"/>
      <c r="C61" s="7"/>
      <c r="D61" s="7"/>
      <c r="E61" s="7"/>
      <c r="F61" s="40"/>
      <c r="G61" s="40"/>
      <c r="H61" s="7"/>
      <c r="I61" s="38"/>
      <c r="J61" s="40"/>
      <c r="K61" s="6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40"/>
      <c r="G62" s="40"/>
      <c r="H62" s="7"/>
      <c r="I62" s="38"/>
      <c r="J62" s="40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48"/>
    </row>
    <row r="65" spans="1:21" ht="16" x14ac:dyDescent="0.2">
      <c r="A65" s="7"/>
      <c r="B65" s="6"/>
      <c r="C65" s="7"/>
      <c r="D65" s="6"/>
      <c r="E65" s="49"/>
      <c r="F65" s="49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4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48"/>
    </row>
    <row r="67" spans="1:21" ht="16" x14ac:dyDescent="0.2">
      <c r="A67" s="50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48"/>
    </row>
    <row r="68" spans="1:21" ht="16" x14ac:dyDescent="0.2">
      <c r="D68" s="9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48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48"/>
    </row>
    <row r="70" spans="1:21" ht="16" x14ac:dyDescent="0.2">
      <c r="A70" s="7"/>
      <c r="B70" s="31"/>
      <c r="C70" s="23"/>
      <c r="D70" s="23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51"/>
      <c r="T70" s="31"/>
      <c r="U70" s="35"/>
    </row>
    <row r="71" spans="1:21" x14ac:dyDescent="0.2">
      <c r="C71" s="52"/>
      <c r="D71" s="52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9"/>
      <c r="E74" s="9"/>
      <c r="F74" s="9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 enableFormatConditionsCalculation="0"/>
  <dimension ref="A1:AV70"/>
  <sheetViews>
    <sheetView workbookViewId="0">
      <selection activeCell="K43" sqref="K43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68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0.95*130</f>
        <v>123.5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27486</v>
      </c>
      <c r="C6" s="69">
        <v>0</v>
      </c>
      <c r="D6" s="69">
        <v>0</v>
      </c>
      <c r="E6" s="8">
        <v>0</v>
      </c>
      <c r="F6" s="8">
        <v>0</v>
      </c>
      <c r="G6" s="69">
        <v>0</v>
      </c>
      <c r="H6" s="8">
        <v>0</v>
      </c>
      <c r="I6" s="8"/>
      <c r="J6" s="8"/>
      <c r="K6" s="8"/>
      <c r="L6" s="8"/>
      <c r="M6" s="8"/>
      <c r="N6" s="8"/>
      <c r="O6" s="69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70">
        <f>2733513-SUM(Ockelbo:Söderhamn!B8)-SUM(Hudiksvall!B8)</f>
        <v>929291.56041164091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5">
        <v>18748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70">
        <f>SUM(B4:B9)</f>
        <v>975649.06041164091</v>
      </c>
      <c r="C10" s="69">
        <v>0</v>
      </c>
      <c r="D10" s="69">
        <v>0</v>
      </c>
      <c r="E10" s="8">
        <v>0</v>
      </c>
      <c r="F10" s="8">
        <v>0</v>
      </c>
      <c r="G10" s="69">
        <v>0</v>
      </c>
      <c r="H10" s="8">
        <v>0</v>
      </c>
      <c r="I10" s="8"/>
      <c r="J10" s="8"/>
      <c r="K10" s="8"/>
      <c r="L10" s="8"/>
      <c r="M10" s="8"/>
      <c r="N10" s="8"/>
      <c r="O10" s="69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69">
        <v>144501</v>
      </c>
      <c r="C17" s="69">
        <f>1837+174</f>
        <v>2011</v>
      </c>
      <c r="D17" s="69">
        <v>0</v>
      </c>
      <c r="E17" s="8">
        <v>0</v>
      </c>
      <c r="F17" s="8">
        <v>0</v>
      </c>
      <c r="G17" s="69">
        <f>75940-(138000-67278)+15691</f>
        <v>20909</v>
      </c>
      <c r="H17" s="8">
        <v>0</v>
      </c>
      <c r="I17" s="8"/>
      <c r="J17" s="8"/>
      <c r="K17" s="88">
        <f>138000+15656</f>
        <v>153656</v>
      </c>
      <c r="L17" s="8"/>
      <c r="M17" s="8"/>
      <c r="N17" s="8"/>
      <c r="O17" s="69">
        <f>SUM(C17:N17)</f>
        <v>176576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32599</v>
      </c>
      <c r="C18" s="8">
        <v>886</v>
      </c>
      <c r="D18" s="8">
        <v>0</v>
      </c>
      <c r="E18" s="8">
        <v>0</v>
      </c>
      <c r="F18" s="8">
        <v>0</v>
      </c>
      <c r="G18" s="8">
        <v>36542</v>
      </c>
      <c r="H18" s="8">
        <v>0</v>
      </c>
      <c r="I18" s="8"/>
      <c r="J18" s="8"/>
      <c r="K18" s="8"/>
      <c r="L18" s="8"/>
      <c r="M18" s="8"/>
      <c r="N18" s="8"/>
      <c r="O18" s="8">
        <v>37428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821.77280000000007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211.42079999999999</v>
      </c>
      <c r="U22" s="13">
        <f>N43</f>
        <v>0.25727402999953269</v>
      </c>
    </row>
    <row r="23" spans="1:21" ht="16" x14ac:dyDescent="0.2">
      <c r="A23" s="4" t="s">
        <v>15</v>
      </c>
      <c r="B23" s="8">
        <v>177100</v>
      </c>
      <c r="C23" s="69">
        <f>SUM(C17:C22)</f>
        <v>2897</v>
      </c>
      <c r="D23" s="69">
        <f>SUM(D17:D22)</f>
        <v>0</v>
      </c>
      <c r="E23" s="8">
        <v>0</v>
      </c>
      <c r="F23" s="8">
        <v>0</v>
      </c>
      <c r="G23" s="69">
        <f>SUM(G17:G22)</f>
        <v>57451</v>
      </c>
      <c r="H23" s="8">
        <v>0</v>
      </c>
      <c r="I23" s="8"/>
      <c r="J23" s="8"/>
      <c r="K23" s="88">
        <f>SUM(K17:K22)</f>
        <v>153656</v>
      </c>
      <c r="L23" s="8"/>
      <c r="M23" s="8"/>
      <c r="N23" s="8"/>
      <c r="O23" s="69">
        <f>SUM(O17:O22)</f>
        <v>214004</v>
      </c>
      <c r="P23" s="3"/>
      <c r="Q23" s="3"/>
      <c r="R23" s="3"/>
      <c r="S23" s="55" t="s">
        <v>58</v>
      </c>
      <c r="T23" s="12">
        <f>G42/1000</f>
        <v>143.20400000000001</v>
      </c>
      <c r="U23" s="14">
        <f>G43</f>
        <v>0.17426227784613946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22.045000000000002</v>
      </c>
      <c r="U25" s="13">
        <f>F43</f>
        <v>2.6826149514805064E-2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0.97599999999999998</v>
      </c>
      <c r="U26" s="13">
        <f>E43</f>
        <v>1.1876762044204917E-3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153.65600000000001</v>
      </c>
      <c r="U28" s="46">
        <f>K43</f>
        <v>0.18698112178938023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14332</v>
      </c>
      <c r="D31" s="8">
        <v>0</v>
      </c>
      <c r="E31" s="8">
        <v>0</v>
      </c>
      <c r="F31" s="8">
        <v>1464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14546</v>
      </c>
      <c r="O31" s="8">
        <v>30342</v>
      </c>
      <c r="P31" s="17">
        <f>O31/O$39</f>
        <v>3.9557001218963682E-2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">
        <v>15950</v>
      </c>
      <c r="C32" s="69">
        <v>5000</v>
      </c>
      <c r="D32" s="8">
        <v>0</v>
      </c>
      <c r="E32" s="69">
        <v>976</v>
      </c>
      <c r="F32" s="8">
        <v>0</v>
      </c>
      <c r="G32" s="8">
        <v>2477</v>
      </c>
      <c r="H32" s="8">
        <v>0</v>
      </c>
      <c r="I32" s="8"/>
      <c r="J32" s="8"/>
      <c r="K32" s="8"/>
      <c r="L32" s="8"/>
      <c r="M32" s="27"/>
      <c r="N32" s="8">
        <v>27401</v>
      </c>
      <c r="O32" s="8">
        <v>51804</v>
      </c>
      <c r="P32" s="17">
        <f>O32/O$39</f>
        <v>6.7537106688655812E-2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30934</v>
      </c>
      <c r="C33" s="8">
        <v>29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25682</v>
      </c>
      <c r="O33" s="8">
        <v>56645</v>
      </c>
      <c r="P33" s="17">
        <f>O33/O$39</f>
        <v>7.3848340058275591E-2</v>
      </c>
      <c r="Q33" s="18" t="s">
        <v>38</v>
      </c>
      <c r="R33" s="3"/>
      <c r="S33" s="55" t="s">
        <v>34</v>
      </c>
      <c r="T33" s="12">
        <f>C42/1000</f>
        <v>290.471</v>
      </c>
      <c r="U33" s="14">
        <f>C43</f>
        <v>0.35346874464572203</v>
      </c>
    </row>
    <row r="34" spans="1:48" ht="16" x14ac:dyDescent="0.2">
      <c r="A34" s="4" t="s">
        <v>39</v>
      </c>
      <c r="B34" s="8">
        <v>0</v>
      </c>
      <c r="C34" s="8">
        <v>260770</v>
      </c>
      <c r="D34" s="8">
        <v>0</v>
      </c>
      <c r="E34" s="8">
        <v>0</v>
      </c>
      <c r="F34" s="8">
        <v>20581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498</v>
      </c>
      <c r="O34" s="8">
        <v>281849</v>
      </c>
      <c r="P34" s="17">
        <f>O34/O$39</f>
        <v>0.36744780293203139</v>
      </c>
      <c r="Q34" s="18" t="s">
        <v>40</v>
      </c>
      <c r="R34" s="3"/>
      <c r="S34" s="3"/>
      <c r="T34" s="12">
        <f>SUM(T22:T33)</f>
        <v>821.77279999999996</v>
      </c>
      <c r="U34" s="13">
        <f>SUM(U22:U33)</f>
        <v>1</v>
      </c>
    </row>
    <row r="35" spans="1:48" ht="16" x14ac:dyDescent="0.2">
      <c r="A35" s="4" t="s">
        <v>41</v>
      </c>
      <c r="B35" s="8">
        <v>17422</v>
      </c>
      <c r="C35" s="8">
        <v>6957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52209</v>
      </c>
      <c r="O35" s="8">
        <v>76588</v>
      </c>
      <c r="P35" s="17">
        <f>O35/O$39</f>
        <v>9.9848118428514626E-2</v>
      </c>
      <c r="Q35" s="18" t="s">
        <v>42</v>
      </c>
      <c r="R35" s="18"/>
    </row>
    <row r="36" spans="1:48" ht="16" x14ac:dyDescent="0.2">
      <c r="A36" s="4" t="s">
        <v>43</v>
      </c>
      <c r="B36" s="8">
        <v>27350</v>
      </c>
      <c r="C36" s="8">
        <v>466</v>
      </c>
      <c r="D36" s="8">
        <v>0</v>
      </c>
      <c r="E36" s="8">
        <v>0</v>
      </c>
      <c r="F36" s="8">
        <v>0</v>
      </c>
      <c r="G36" s="8">
        <v>83276</v>
      </c>
      <c r="H36" s="8">
        <v>0</v>
      </c>
      <c r="I36" s="8"/>
      <c r="J36" s="8"/>
      <c r="K36" s="8"/>
      <c r="L36" s="8"/>
      <c r="M36" s="27"/>
      <c r="N36" s="8">
        <v>80518</v>
      </c>
      <c r="O36" s="8">
        <v>191609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57831</v>
      </c>
      <c r="C37" s="8">
        <v>20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11779</v>
      </c>
      <c r="O37" s="8">
        <v>69630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8577</v>
      </c>
      <c r="O38" s="8">
        <v>8577</v>
      </c>
      <c r="P38" s="18">
        <f>SUM(P31:P35)</f>
        <v>0.64823836932644108</v>
      </c>
      <c r="Q38" s="18"/>
      <c r="R38" s="3"/>
      <c r="S38" s="7" t="s">
        <v>46</v>
      </c>
      <c r="T38" s="19">
        <f>O45/1000</f>
        <v>45.309800000000003</v>
      </c>
      <c r="U38" s="7"/>
    </row>
    <row r="39" spans="1:48" ht="16" x14ac:dyDescent="0.2">
      <c r="A39" s="4" t="s">
        <v>15</v>
      </c>
      <c r="B39" s="8">
        <v>149487</v>
      </c>
      <c r="C39" s="69">
        <f>SUM(C31:C38)</f>
        <v>287574</v>
      </c>
      <c r="D39" s="8">
        <v>0</v>
      </c>
      <c r="E39" s="69">
        <f>SUM(E31:E38)</f>
        <v>976</v>
      </c>
      <c r="F39" s="8">
        <f>SUM(F31:F38)</f>
        <v>22045</v>
      </c>
      <c r="G39" s="8">
        <v>85753</v>
      </c>
      <c r="H39" s="8">
        <v>0</v>
      </c>
      <c r="I39" s="8"/>
      <c r="J39" s="8"/>
      <c r="K39" s="8"/>
      <c r="L39" s="8"/>
      <c r="M39" s="27"/>
      <c r="N39" s="8">
        <v>221210</v>
      </c>
      <c r="O39" s="8">
        <v>767045</v>
      </c>
      <c r="P39" s="3"/>
      <c r="Q39" s="3"/>
      <c r="R39" s="3"/>
      <c r="S39" s="7" t="s">
        <v>47</v>
      </c>
      <c r="T39" s="20">
        <f>O41/1000</f>
        <v>269.81599999999997</v>
      </c>
      <c r="U39" s="13">
        <f>P41</f>
        <v>0.35176032696908266</v>
      </c>
    </row>
    <row r="40" spans="1:48" x14ac:dyDescent="0.2">
      <c r="F40" s="9"/>
      <c r="O40" s="9"/>
      <c r="S40" s="7" t="s">
        <v>48</v>
      </c>
      <c r="T40" s="20">
        <f>O35/1000</f>
        <v>76.587999999999994</v>
      </c>
      <c r="U40" s="14">
        <f>P35</f>
        <v>9.9848118428514626E-2</v>
      </c>
    </row>
    <row r="41" spans="1:48" ht="16" x14ac:dyDescent="0.2">
      <c r="A41" s="21" t="s">
        <v>49</v>
      </c>
      <c r="B41" s="22">
        <f>B38+B37+B36</f>
        <v>85181</v>
      </c>
      <c r="C41" s="22">
        <f t="shared" ref="C41:O41" si="0">C38+C37+C36</f>
        <v>486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83276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100874</v>
      </c>
      <c r="O41" s="22">
        <f t="shared" si="0"/>
        <v>269816</v>
      </c>
      <c r="P41" s="17">
        <f>O41/O$39</f>
        <v>0.35176032696908266</v>
      </c>
      <c r="Q41" s="17" t="s">
        <v>50</v>
      </c>
      <c r="R41" s="7"/>
      <c r="S41" s="7" t="s">
        <v>51</v>
      </c>
      <c r="T41" s="20">
        <f>O33/1000</f>
        <v>56.645000000000003</v>
      </c>
      <c r="U41" s="13">
        <f>P33</f>
        <v>7.3848340058275591E-2</v>
      </c>
    </row>
    <row r="42" spans="1:48" ht="16" x14ac:dyDescent="0.2">
      <c r="A42" s="23" t="s">
        <v>52</v>
      </c>
      <c r="B42" s="22"/>
      <c r="C42" s="24">
        <f>C39+C23+C10</f>
        <v>290471</v>
      </c>
      <c r="D42" s="24">
        <f>D39+D23+K10</f>
        <v>0</v>
      </c>
      <c r="E42" s="24">
        <f t="shared" ref="E42:M42" si="1">E39+E23+E10</f>
        <v>976</v>
      </c>
      <c r="F42" s="24">
        <f t="shared" si="1"/>
        <v>22045</v>
      </c>
      <c r="G42" s="24">
        <f t="shared" si="1"/>
        <v>143204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>K39+K23</f>
        <v>153656</v>
      </c>
      <c r="L42" s="24">
        <f t="shared" si="1"/>
        <v>0</v>
      </c>
      <c r="M42" s="24">
        <f t="shared" si="1"/>
        <v>0</v>
      </c>
      <c r="N42" s="24">
        <f>N39+N23-B6+N45</f>
        <v>211420.79999999999</v>
      </c>
      <c r="O42" s="25">
        <f>SUM(C42:N42)</f>
        <v>821772.80000000005</v>
      </c>
      <c r="P42" s="7"/>
      <c r="Q42" s="7"/>
      <c r="R42" s="7"/>
      <c r="S42" s="7" t="s">
        <v>33</v>
      </c>
      <c r="T42" s="20">
        <f>O31/1000</f>
        <v>30.341999999999999</v>
      </c>
      <c r="U42" s="13">
        <f>P31</f>
        <v>3.9557001218963682E-2</v>
      </c>
    </row>
    <row r="43" spans="1:48" ht="16" x14ac:dyDescent="0.2">
      <c r="A43" s="23" t="s">
        <v>53</v>
      </c>
      <c r="B43" s="22"/>
      <c r="C43" s="17">
        <f t="shared" ref="C43:N43" si="2">C42/$O42</f>
        <v>0.35346874464572203</v>
      </c>
      <c r="D43" s="17">
        <f t="shared" si="2"/>
        <v>0</v>
      </c>
      <c r="E43" s="17">
        <f t="shared" si="2"/>
        <v>1.1876762044204917E-3</v>
      </c>
      <c r="F43" s="17">
        <f t="shared" si="2"/>
        <v>2.6826149514805064E-2</v>
      </c>
      <c r="G43" s="17">
        <f t="shared" si="2"/>
        <v>0.17426227784613946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0.18698112178938023</v>
      </c>
      <c r="L43" s="17">
        <f t="shared" si="2"/>
        <v>0</v>
      </c>
      <c r="M43" s="17">
        <f t="shared" si="2"/>
        <v>0</v>
      </c>
      <c r="N43" s="17">
        <f t="shared" si="2"/>
        <v>0.25727402999953269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51.804000000000002</v>
      </c>
      <c r="U43" s="14">
        <f>P32</f>
        <v>6.7537106688655812E-2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281.84899999999999</v>
      </c>
      <c r="U44" s="14">
        <f>P34</f>
        <v>0.36744780293203139</v>
      </c>
    </row>
    <row r="45" spans="1:48" ht="16" x14ac:dyDescent="0.2">
      <c r="A45" s="6" t="s">
        <v>56</v>
      </c>
      <c r="B45" s="6">
        <f>B23-B39</f>
        <v>27613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17696.8</v>
      </c>
      <c r="O45" s="25">
        <f>B45+N45</f>
        <v>45309.8</v>
      </c>
      <c r="P45" s="7"/>
      <c r="Q45" s="7"/>
      <c r="R45" s="7"/>
      <c r="S45" s="7" t="s">
        <v>57</v>
      </c>
      <c r="T45" s="20">
        <f>SUM(T39:T44)</f>
        <v>767.04399999999987</v>
      </c>
      <c r="U45" s="13">
        <f>SUM(U39:U44)</f>
        <v>0.99999869629552363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39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J58" s="28"/>
      <c r="K58" s="28"/>
      <c r="L58" s="28"/>
      <c r="M58" s="28"/>
      <c r="N58" s="28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J59" s="28"/>
      <c r="K59" s="28"/>
      <c r="L59" s="28"/>
      <c r="M59" s="28"/>
      <c r="N59" s="28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H60" s="28"/>
      <c r="I60" s="28"/>
      <c r="J60" s="28"/>
      <c r="K60" s="28"/>
      <c r="L60" s="28"/>
      <c r="M60" s="28"/>
      <c r="N60" s="28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9"/>
      <c r="Q65" s="29"/>
      <c r="R65" s="7"/>
      <c r="S65" s="7"/>
      <c r="T65" s="6"/>
      <c r="U65" s="30"/>
    </row>
    <row r="66" spans="1:21" ht="16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29"/>
      <c r="R66" s="7"/>
      <c r="S66" s="7"/>
      <c r="T66" s="6"/>
      <c r="U66" s="30"/>
    </row>
    <row r="67" spans="1:21" ht="16" x14ac:dyDescent="0.2">
      <c r="A67" s="4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/>
  <dimension ref="A1:AV71"/>
  <sheetViews>
    <sheetView topLeftCell="A10" workbookViewId="0">
      <selection activeCell="L43" sqref="L43"/>
    </sheetView>
  </sheetViews>
  <sheetFormatPr baseColWidth="10" defaultColWidth="8.83203125" defaultRowHeight="15" x14ac:dyDescent="0.2"/>
  <cols>
    <col min="1" max="1" width="23.6640625" style="2" customWidth="1"/>
    <col min="2" max="6" width="8.33203125" style="2" customWidth="1"/>
    <col min="7" max="7" width="9.83203125" style="2" customWidth="1"/>
    <col min="8" max="8" width="8.33203125" style="2" customWidth="1"/>
    <col min="9" max="9" width="9.5" style="2" customWidth="1"/>
    <col min="10" max="14" width="8.33203125" style="2" customWidth="1"/>
    <col min="15" max="15" width="9.33203125" style="2" customWidth="1"/>
    <col min="16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69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0.95*284</f>
        <v>269.8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20311</v>
      </c>
      <c r="C6" s="8">
        <v>0</v>
      </c>
      <c r="D6" s="8">
        <v>0</v>
      </c>
      <c r="E6" s="8">
        <v>0</v>
      </c>
      <c r="F6" s="8">
        <v>0</v>
      </c>
      <c r="G6" s="69">
        <v>0</v>
      </c>
      <c r="H6" s="8">
        <v>0</v>
      </c>
      <c r="I6" s="8"/>
      <c r="J6" s="8"/>
      <c r="K6" s="8"/>
      <c r="L6" s="8"/>
      <c r="M6" s="8"/>
      <c r="N6" s="8"/>
      <c r="O6" s="69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70">
        <f>B10-B9-B6-B4</f>
        <v>83304.999999999985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5">
        <v>31247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134863+B4</f>
        <v>135132.79999999999</v>
      </c>
      <c r="C10" s="8">
        <v>0</v>
      </c>
      <c r="D10" s="8">
        <v>0</v>
      </c>
      <c r="E10" s="8">
        <v>0</v>
      </c>
      <c r="F10" s="8">
        <v>0</v>
      </c>
      <c r="G10" s="69">
        <v>0</v>
      </c>
      <c r="H10" s="8">
        <v>0</v>
      </c>
      <c r="I10" s="8"/>
      <c r="J10" s="8"/>
      <c r="K10" s="8"/>
      <c r="L10" s="8"/>
      <c r="M10" s="8"/>
      <c r="N10" s="8"/>
      <c r="O10" s="69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f>94771+35416</f>
        <v>130187</v>
      </c>
      <c r="C17" s="8">
        <v>925</v>
      </c>
      <c r="D17" s="8">
        <v>0</v>
      </c>
      <c r="E17" s="8">
        <v>0</v>
      </c>
      <c r="F17" s="8">
        <v>0</v>
      </c>
      <c r="G17" s="69">
        <f>104659+25777</f>
        <v>130436</v>
      </c>
      <c r="H17" s="8">
        <v>5272</v>
      </c>
      <c r="I17" s="8"/>
      <c r="J17" s="8"/>
      <c r="K17" s="8"/>
      <c r="L17" s="8"/>
      <c r="M17" s="8"/>
      <c r="N17" s="82">
        <v>4824</v>
      </c>
      <c r="O17" s="69">
        <f>SUM(C17:N17)</f>
        <v>141457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17462</v>
      </c>
      <c r="C18" s="8">
        <v>1871</v>
      </c>
      <c r="D18" s="8">
        <v>0</v>
      </c>
      <c r="E18" s="8">
        <v>0</v>
      </c>
      <c r="F18" s="72">
        <v>0</v>
      </c>
      <c r="G18" s="8">
        <f>18849</f>
        <v>18849</v>
      </c>
      <c r="H18" s="8">
        <v>0</v>
      </c>
      <c r="J18" s="8"/>
      <c r="K18" s="8"/>
      <c r="L18" s="64"/>
      <c r="M18" s="8"/>
      <c r="N18" s="8"/>
      <c r="O18" s="8">
        <v>20720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3867.13184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12434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682.21784000000002</v>
      </c>
      <c r="U22" s="13">
        <f>N43</f>
        <v>0.1764144250122075</v>
      </c>
    </row>
    <row r="23" spans="1:21" ht="16" x14ac:dyDescent="0.2">
      <c r="A23" s="4" t="s">
        <v>15</v>
      </c>
      <c r="B23" s="8">
        <v>160083</v>
      </c>
      <c r="C23" s="8">
        <v>2796</v>
      </c>
      <c r="D23" s="8">
        <v>0</v>
      </c>
      <c r="E23" s="8">
        <v>0</v>
      </c>
      <c r="F23" s="72">
        <v>0</v>
      </c>
      <c r="G23" s="69">
        <f>SUM(G17:G22)</f>
        <v>149285</v>
      </c>
      <c r="H23" s="8">
        <v>5272</v>
      </c>
      <c r="J23" s="8"/>
      <c r="K23" s="8"/>
      <c r="L23" s="64"/>
      <c r="M23" s="8"/>
      <c r="N23" s="82">
        <f>SUM(N17:N22)</f>
        <v>4824</v>
      </c>
      <c r="O23" s="69">
        <f>SUM(O17:O22)</f>
        <v>162177</v>
      </c>
      <c r="P23" s="3"/>
      <c r="Q23" s="3"/>
      <c r="R23" s="3"/>
      <c r="S23" s="55" t="s">
        <v>58</v>
      </c>
      <c r="T23" s="12">
        <f>G42/1000</f>
        <v>786.303</v>
      </c>
      <c r="U23" s="14">
        <f>G43</f>
        <v>0.20332976286632112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37.780999999999999</v>
      </c>
      <c r="U25" s="13">
        <f>F43</f>
        <v>9.7697729384886977E-3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1.756</v>
      </c>
      <c r="U26" s="13">
        <f>E43</f>
        <v>4.5408330324729764E-4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73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1596.3</v>
      </c>
      <c r="U29" s="13">
        <f>I43</f>
        <v>0.41278654725151548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5.2720000000000002</v>
      </c>
      <c r="U30" s="13">
        <f>H43</f>
        <v>1.3632842680636407E-3</v>
      </c>
    </row>
    <row r="31" spans="1:21" ht="16" x14ac:dyDescent="0.2">
      <c r="A31" s="4" t="s">
        <v>32</v>
      </c>
      <c r="B31" s="8">
        <v>0</v>
      </c>
      <c r="C31" s="8">
        <v>6394</v>
      </c>
      <c r="D31" s="8">
        <v>0</v>
      </c>
      <c r="E31" s="8">
        <v>0</v>
      </c>
      <c r="F31" s="8">
        <v>638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18799</v>
      </c>
      <c r="O31" s="8">
        <v>25832</v>
      </c>
      <c r="P31" s="17">
        <f>O31/O$39</f>
        <v>6.7543346109707738E-3</v>
      </c>
      <c r="Q31" s="18" t="s">
        <v>33</v>
      </c>
      <c r="R31" s="3"/>
      <c r="S31" s="57" t="str">
        <f>L29</f>
        <v>Tallbecksolja</v>
      </c>
      <c r="T31" s="12">
        <f>L42/1000</f>
        <v>216.03</v>
      </c>
      <c r="U31" s="46">
        <f>L43</f>
        <v>5.5863107061795959E-2</v>
      </c>
    </row>
    <row r="32" spans="1:21" ht="16" x14ac:dyDescent="0.2">
      <c r="A32" s="4" t="s">
        <v>35</v>
      </c>
      <c r="B32" s="8">
        <v>8891</v>
      </c>
      <c r="C32" s="70">
        <v>72000</v>
      </c>
      <c r="D32" s="8">
        <v>0</v>
      </c>
      <c r="E32" s="70">
        <v>1756</v>
      </c>
      <c r="F32" s="86">
        <v>81</v>
      </c>
      <c r="G32" s="82">
        <v>520898</v>
      </c>
      <c r="H32" s="8">
        <v>0</v>
      </c>
      <c r="I32" s="82">
        <v>1596300</v>
      </c>
      <c r="J32" s="8"/>
      <c r="K32" s="8"/>
      <c r="L32" s="82">
        <v>216030</v>
      </c>
      <c r="M32" s="27"/>
      <c r="N32" s="70">
        <f>41819+169200</f>
        <v>211019</v>
      </c>
      <c r="O32" s="70">
        <f>SUM(B32:N32)</f>
        <v>2626975</v>
      </c>
      <c r="P32" s="17">
        <f>O32/O$39</f>
        <v>0.68687938079339372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28372</v>
      </c>
      <c r="C33" s="8">
        <v>3169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34579</v>
      </c>
      <c r="O33" s="8">
        <v>66120</v>
      </c>
      <c r="P33" s="17">
        <f>O33/O$39</f>
        <v>1.7288502805721102E-2</v>
      </c>
      <c r="Q33" s="18" t="s">
        <v>38</v>
      </c>
      <c r="R33" s="3"/>
      <c r="S33" s="55" t="s">
        <v>34</v>
      </c>
      <c r="T33" s="12">
        <f>C42/1000</f>
        <v>541.47199999999998</v>
      </c>
      <c r="U33" s="14">
        <f>C43</f>
        <v>0.14001901729836033</v>
      </c>
    </row>
    <row r="34" spans="1:48" ht="16" x14ac:dyDescent="0.2">
      <c r="A34" s="4" t="s">
        <v>39</v>
      </c>
      <c r="B34" s="8">
        <v>0</v>
      </c>
      <c r="C34" s="8">
        <v>446870</v>
      </c>
      <c r="D34" s="8">
        <v>0</v>
      </c>
      <c r="E34" s="8">
        <v>0</v>
      </c>
      <c r="F34" s="8">
        <v>37062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1324</v>
      </c>
      <c r="O34" s="8">
        <v>485256</v>
      </c>
      <c r="P34" s="17">
        <f>O34/O$39</f>
        <v>0.12688066723371144</v>
      </c>
      <c r="Q34" s="18" t="s">
        <v>40</v>
      </c>
      <c r="R34" s="3"/>
      <c r="S34" s="3"/>
      <c r="T34" s="12">
        <f>SUM(T22:T33)</f>
        <v>3867.13184</v>
      </c>
      <c r="U34" s="13">
        <f>SUM(U22:U33)</f>
        <v>1</v>
      </c>
    </row>
    <row r="35" spans="1:48" ht="16" x14ac:dyDescent="0.2">
      <c r="A35" s="4" t="s">
        <v>41</v>
      </c>
      <c r="B35" s="8">
        <v>16775</v>
      </c>
      <c r="C35" s="8">
        <v>8028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230322</v>
      </c>
      <c r="O35" s="8">
        <v>255125</v>
      </c>
      <c r="P35" s="17">
        <f>O35/O$39</f>
        <v>6.6707944318051979E-2</v>
      </c>
      <c r="Q35" s="18" t="s">
        <v>42</v>
      </c>
      <c r="R35" s="18"/>
    </row>
    <row r="36" spans="1:48" ht="16" x14ac:dyDescent="0.2">
      <c r="A36" s="4" t="s">
        <v>43</v>
      </c>
      <c r="B36" s="8">
        <v>7839</v>
      </c>
      <c r="C36" s="70">
        <v>2000</v>
      </c>
      <c r="D36" s="8">
        <v>0</v>
      </c>
      <c r="E36" s="8">
        <v>0</v>
      </c>
      <c r="F36" s="8">
        <v>0</v>
      </c>
      <c r="G36" s="70">
        <f>585250-SUM(Ockelbo:Bollnäs!G36)</f>
        <v>116120</v>
      </c>
      <c r="H36" s="8">
        <v>0</v>
      </c>
      <c r="I36" s="8"/>
      <c r="J36" s="8"/>
      <c r="K36" s="8"/>
      <c r="L36" s="8"/>
      <c r="M36" s="27"/>
      <c r="N36" s="8">
        <v>117293</v>
      </c>
      <c r="O36" s="70">
        <f>SUM(B36:N36)</f>
        <v>243252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89045</v>
      </c>
      <c r="C37" s="8">
        <v>215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18719</v>
      </c>
      <c r="O37" s="8">
        <v>107979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13968</v>
      </c>
      <c r="O38" s="8">
        <v>13968</v>
      </c>
      <c r="P38" s="18">
        <f>SUM(P31:P35)</f>
        <v>0.90451082976184904</v>
      </c>
      <c r="Q38" s="18"/>
      <c r="R38" s="3"/>
      <c r="S38" s="7" t="s">
        <v>46</v>
      </c>
      <c r="T38" s="19">
        <f>O45/1000</f>
        <v>60.842840000000002</v>
      </c>
      <c r="U38" s="7"/>
    </row>
    <row r="39" spans="1:48" ht="16" x14ac:dyDescent="0.2">
      <c r="A39" s="4" t="s">
        <v>15</v>
      </c>
      <c r="B39" s="8">
        <v>150922</v>
      </c>
      <c r="C39" s="69">
        <f>SUM(C31:C38)</f>
        <v>538676</v>
      </c>
      <c r="D39" s="8">
        <v>0</v>
      </c>
      <c r="E39" s="70">
        <f>SUM(E31:E38)</f>
        <v>1756</v>
      </c>
      <c r="F39" s="70">
        <f>SUM(F31:F38)</f>
        <v>37781</v>
      </c>
      <c r="G39" s="70">
        <f>SUM(G31:G38)</f>
        <v>637018</v>
      </c>
      <c r="H39" s="8">
        <v>0</v>
      </c>
      <c r="I39" s="82">
        <f>SUM(I32:I38)</f>
        <v>1596300</v>
      </c>
      <c r="J39" s="82"/>
      <c r="K39" s="82"/>
      <c r="L39" s="82">
        <f>SUM(L32:L38)</f>
        <v>216030</v>
      </c>
      <c r="M39" s="27"/>
      <c r="N39" s="69">
        <f>SUM(N31:N38)</f>
        <v>646023</v>
      </c>
      <c r="O39" s="69">
        <f>SUM(O31:O38)</f>
        <v>3824507</v>
      </c>
      <c r="P39" s="3"/>
      <c r="Q39" s="3"/>
      <c r="R39" s="3"/>
      <c r="S39" s="7" t="s">
        <v>47</v>
      </c>
      <c r="T39" s="20">
        <f>O41/1000</f>
        <v>365.19900000000001</v>
      </c>
      <c r="U39" s="13">
        <f>P41</f>
        <v>9.5489170238150956E-2</v>
      </c>
    </row>
    <row r="40" spans="1:48" x14ac:dyDescent="0.2">
      <c r="S40" s="7" t="s">
        <v>48</v>
      </c>
      <c r="T40" s="20">
        <f>O35/1000</f>
        <v>255.125</v>
      </c>
      <c r="U40" s="14">
        <f>P35</f>
        <v>6.6707944318051979E-2</v>
      </c>
    </row>
    <row r="41" spans="1:48" ht="16" x14ac:dyDescent="0.2">
      <c r="A41" s="21" t="s">
        <v>49</v>
      </c>
      <c r="B41" s="22">
        <f>B38+B37+B36</f>
        <v>96884</v>
      </c>
      <c r="C41" s="22">
        <f t="shared" ref="C41:O41" si="0">C38+C37+C36</f>
        <v>2215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116120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149980</v>
      </c>
      <c r="O41" s="22">
        <f t="shared" si="0"/>
        <v>365199</v>
      </c>
      <c r="P41" s="17">
        <f>O41/O$39</f>
        <v>9.5489170238150956E-2</v>
      </c>
      <c r="Q41" s="17" t="s">
        <v>50</v>
      </c>
      <c r="R41" s="7"/>
      <c r="S41" s="7" t="s">
        <v>51</v>
      </c>
      <c r="T41" s="20">
        <f>O33/1000</f>
        <v>66.12</v>
      </c>
      <c r="U41" s="13">
        <f>P33</f>
        <v>1.7288502805721102E-2</v>
      </c>
    </row>
    <row r="42" spans="1:48" ht="16" x14ac:dyDescent="0.2">
      <c r="A42" s="23" t="s">
        <v>52</v>
      </c>
      <c r="B42" s="22"/>
      <c r="C42" s="24">
        <f>C39+C23+C10</f>
        <v>541472</v>
      </c>
      <c r="D42" s="24">
        <f t="shared" ref="D42:M42" si="1">D39+D23+D10</f>
        <v>0</v>
      </c>
      <c r="E42" s="24">
        <f t="shared" si="1"/>
        <v>1756</v>
      </c>
      <c r="F42" s="24">
        <f t="shared" si="1"/>
        <v>37781</v>
      </c>
      <c r="G42" s="24">
        <f t="shared" si="1"/>
        <v>786303</v>
      </c>
      <c r="H42" s="24">
        <f t="shared" si="1"/>
        <v>5272</v>
      </c>
      <c r="I42" s="24">
        <f>I39+L23+I10</f>
        <v>1596300</v>
      </c>
      <c r="J42" s="24">
        <f t="shared" si="1"/>
        <v>0</v>
      </c>
      <c r="K42" s="24">
        <f t="shared" si="1"/>
        <v>0</v>
      </c>
      <c r="L42" s="24">
        <f>L39+L23</f>
        <v>216030</v>
      </c>
      <c r="M42" s="24">
        <f t="shared" si="1"/>
        <v>0</v>
      </c>
      <c r="N42" s="24">
        <f>N39+N23-B6+N45</f>
        <v>682217.84</v>
      </c>
      <c r="O42" s="25">
        <f>SUM(C42:N42)</f>
        <v>3867131.84</v>
      </c>
      <c r="P42" s="7"/>
      <c r="Q42" s="7"/>
      <c r="R42" s="7"/>
      <c r="S42" s="7" t="s">
        <v>33</v>
      </c>
      <c r="T42" s="20">
        <f>O31/1000</f>
        <v>25.832000000000001</v>
      </c>
      <c r="U42" s="13">
        <f>P31</f>
        <v>6.7543346109707738E-3</v>
      </c>
    </row>
    <row r="43" spans="1:48" ht="16" x14ac:dyDescent="0.2">
      <c r="A43" s="23" t="s">
        <v>53</v>
      </c>
      <c r="B43" s="22"/>
      <c r="C43" s="17">
        <f t="shared" ref="C43:N43" si="2">C42/$O42</f>
        <v>0.14001901729836033</v>
      </c>
      <c r="D43" s="17">
        <f t="shared" si="2"/>
        <v>0</v>
      </c>
      <c r="E43" s="17">
        <f t="shared" si="2"/>
        <v>4.5408330324729764E-4</v>
      </c>
      <c r="F43" s="17">
        <f t="shared" si="2"/>
        <v>9.7697729384886977E-3</v>
      </c>
      <c r="G43" s="17">
        <f t="shared" si="2"/>
        <v>0.20332976286632112</v>
      </c>
      <c r="H43" s="17">
        <f t="shared" si="2"/>
        <v>1.3632842680636407E-3</v>
      </c>
      <c r="I43" s="17">
        <f t="shared" si="2"/>
        <v>0.41278654725151548</v>
      </c>
      <c r="J43" s="17">
        <f t="shared" si="2"/>
        <v>0</v>
      </c>
      <c r="K43" s="17">
        <f t="shared" si="2"/>
        <v>0</v>
      </c>
      <c r="L43" s="17">
        <f t="shared" si="2"/>
        <v>5.5863107061795959E-2</v>
      </c>
      <c r="M43" s="17">
        <f t="shared" si="2"/>
        <v>0</v>
      </c>
      <c r="N43" s="17">
        <f t="shared" si="2"/>
        <v>0.1764144250122075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2626.9749999999999</v>
      </c>
      <c r="U43" s="14">
        <f>P32</f>
        <v>0.68687938079339372</v>
      </c>
    </row>
    <row r="44" spans="1:48" x14ac:dyDescent="0.2">
      <c r="A44" s="6"/>
      <c r="B44" s="6"/>
      <c r="C44" s="6"/>
      <c r="D44" s="6"/>
      <c r="E44" s="6"/>
      <c r="F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485.25599999999997</v>
      </c>
      <c r="U44" s="14">
        <f>P34</f>
        <v>0.12688066723371144</v>
      </c>
    </row>
    <row r="45" spans="1:48" ht="16" x14ac:dyDescent="0.2">
      <c r="A45" s="6" t="s">
        <v>56</v>
      </c>
      <c r="B45" s="6">
        <f>B23-B39</f>
        <v>9161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51681.840000000004</v>
      </c>
      <c r="O45" s="25">
        <f>B45+N45</f>
        <v>60842.840000000004</v>
      </c>
      <c r="P45" s="7"/>
      <c r="Q45" s="7"/>
      <c r="R45" s="7"/>
      <c r="S45" s="7" t="s">
        <v>57</v>
      </c>
      <c r="T45" s="20">
        <f>SUM(T39:T44)</f>
        <v>3824.5070000000001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5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6" x14ac:dyDescent="0.2">
      <c r="A51" s="3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37"/>
      <c r="B52" s="8"/>
      <c r="C52" s="8"/>
      <c r="D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B55" s="7"/>
      <c r="C55" s="28"/>
      <c r="D55" s="28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6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D58" s="31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D61" s="9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A62" s="5"/>
      <c r="B62" s="74"/>
      <c r="C62" s="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C63" s="9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3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9"/>
      <c r="Q66" s="29"/>
      <c r="R66" s="7"/>
      <c r="S66" s="7"/>
      <c r="T66" s="6"/>
      <c r="U66" s="30"/>
    </row>
    <row r="67" spans="1:21" ht="16" x14ac:dyDescent="0.2">
      <c r="A67" s="4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6"/>
      <c r="Q67" s="29"/>
      <c r="R67" s="7"/>
      <c r="S67" s="7"/>
      <c r="T67" s="6"/>
      <c r="U67" s="30"/>
    </row>
    <row r="68" spans="1:21" ht="16" x14ac:dyDescent="0.2">
      <c r="Q68" s="29"/>
      <c r="R68" s="7"/>
      <c r="S68" s="7"/>
      <c r="T68" s="6"/>
      <c r="U68" s="30"/>
    </row>
    <row r="69" spans="1:21" ht="16" x14ac:dyDescent="0.2">
      <c r="A69" s="3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9"/>
      <c r="Q70" s="35"/>
      <c r="R70" s="7"/>
      <c r="S70" s="36"/>
      <c r="T70" s="31"/>
      <c r="U70" s="35"/>
    </row>
    <row r="71" spans="1:21" ht="16" x14ac:dyDescent="0.2">
      <c r="A71" s="4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6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topLeftCell="A12"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0.95*8</f>
        <v>7.6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10646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837323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53"/>
      <c r="U9" s="53"/>
      <c r="V9" s="8"/>
      <c r="W9" s="8"/>
      <c r="X9" s="8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15</v>
      </c>
      <c r="B10" s="69">
        <f>SUM(B4:B9)</f>
        <v>847976.6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53"/>
      <c r="U10" s="53"/>
      <c r="V10" s="8"/>
      <c r="W10" s="8"/>
      <c r="X10" s="8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61">
        <f>27300-B19</f>
        <v>27300</v>
      </c>
      <c r="C18" s="61">
        <v>600</v>
      </c>
      <c r="D18" s="8">
        <v>0</v>
      </c>
      <c r="E18" s="8">
        <v>0</v>
      </c>
      <c r="F18" s="8">
        <v>0</v>
      </c>
      <c r="G18" s="61">
        <v>29700</v>
      </c>
      <c r="H18" s="8">
        <v>0</v>
      </c>
      <c r="I18" s="8"/>
      <c r="J18" s="8"/>
      <c r="K18" s="8"/>
      <c r="L18" s="8"/>
      <c r="M18" s="8"/>
      <c r="N18" s="64">
        <v>900</v>
      </c>
      <c r="O18" s="62">
        <f>SUM(C18:N18)</f>
        <v>31200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72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O19" s="72">
        <v>0</v>
      </c>
      <c r="P19" s="3"/>
      <c r="Q19" s="3"/>
      <c r="R19" s="3"/>
      <c r="S19" s="3" t="s">
        <v>25</v>
      </c>
      <c r="T19" s="11">
        <f>O42/1000</f>
        <v>257.01532000000003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1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1">
        <f>N42/1000</f>
        <v>154.39932000000002</v>
      </c>
      <c r="U22" s="13">
        <f>N43</f>
        <v>0.60073975356799747</v>
      </c>
    </row>
    <row r="23" spans="1:21" ht="16" x14ac:dyDescent="0.2">
      <c r="A23" s="4" t="s">
        <v>15</v>
      </c>
      <c r="B23" s="61">
        <f>SUM(B17:B22)</f>
        <v>27300</v>
      </c>
      <c r="C23" s="61">
        <v>600</v>
      </c>
      <c r="D23" s="8">
        <v>0</v>
      </c>
      <c r="E23" s="8">
        <v>0</v>
      </c>
      <c r="F23" s="8">
        <v>0</v>
      </c>
      <c r="G23" s="61">
        <f>G18</f>
        <v>29700</v>
      </c>
      <c r="H23" s="8">
        <v>0</v>
      </c>
      <c r="I23" s="8"/>
      <c r="J23" s="8"/>
      <c r="K23" s="8"/>
      <c r="L23" s="8"/>
      <c r="M23" s="8"/>
      <c r="N23" s="64">
        <f>SUM(N18:N22)</f>
        <v>900</v>
      </c>
      <c r="O23" s="61">
        <f>SUM(O18:O22)</f>
        <v>31200</v>
      </c>
      <c r="P23" s="3"/>
      <c r="Q23" s="3"/>
      <c r="R23" s="3"/>
      <c r="S23" s="55" t="s">
        <v>58</v>
      </c>
      <c r="T23" s="11">
        <f>G42/1000</f>
        <v>54.180999999999997</v>
      </c>
      <c r="U23" s="14">
        <f>G43</f>
        <v>0.21080844519307254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1">
        <f>J42/1000</f>
        <v>0</v>
      </c>
      <c r="U24" s="13">
        <f>J43</f>
        <v>0</v>
      </c>
    </row>
    <row r="25" spans="1:21" ht="16" x14ac:dyDescent="0.2">
      <c r="B25" s="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1">
        <f>F42/1000</f>
        <v>3.7120000000000002</v>
      </c>
      <c r="U25" s="13">
        <f>F43</f>
        <v>1.4442718823142527E-2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58">
        <f>D42/1000</f>
        <v>0</v>
      </c>
      <c r="U27" s="46">
        <f>D43</f>
        <v>0</v>
      </c>
    </row>
    <row r="28" spans="1:21" ht="16" x14ac:dyDescent="0.2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58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1">
        <f>I42/1000</f>
        <v>0</v>
      </c>
      <c r="U29" s="13">
        <f>I43</f>
        <v>0</v>
      </c>
    </row>
    <row r="30" spans="1:21" ht="16" x14ac:dyDescent="0.2">
      <c r="B30" s="9">
        <f>B39-B37-B36-B35-B33-B32</f>
        <v>-1.0459189070388675E-11</v>
      </c>
      <c r="C30" s="9">
        <f>C39-C35-C34-C32-C31</f>
        <v>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1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2640</v>
      </c>
      <c r="D31" s="8">
        <v>0</v>
      </c>
      <c r="E31" s="8">
        <v>0</v>
      </c>
      <c r="F31" s="8">
        <v>268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17194</v>
      </c>
      <c r="O31" s="8">
        <v>20102</v>
      </c>
      <c r="P31" s="17">
        <f>O31/O$39</f>
        <v>8.4633585665086442E-2</v>
      </c>
      <c r="Q31" s="18" t="s">
        <v>33</v>
      </c>
      <c r="R31" s="3"/>
      <c r="S31" s="57" t="str">
        <f>L29</f>
        <v>Övrigt</v>
      </c>
      <c r="T31" s="11">
        <f>L42/1000</f>
        <v>0</v>
      </c>
      <c r="U31" s="46">
        <f>L43</f>
        <v>0</v>
      </c>
    </row>
    <row r="32" spans="1:21" ht="16" x14ac:dyDescent="0.2">
      <c r="A32" s="4" t="s">
        <v>35</v>
      </c>
      <c r="B32" s="70">
        <f>(O32-N32-G32)*948/(178+948)</f>
        <v>756.88454706927178</v>
      </c>
      <c r="C32" s="70">
        <f>(O32-N32-G32)*178/(178+948)</f>
        <v>142.11545293072825</v>
      </c>
      <c r="D32" s="8">
        <v>0</v>
      </c>
      <c r="E32" s="8">
        <v>0</v>
      </c>
      <c r="F32" s="8">
        <v>0</v>
      </c>
      <c r="G32" s="70">
        <f>G39-G36</f>
        <v>1281</v>
      </c>
      <c r="H32" s="8">
        <v>0</v>
      </c>
      <c r="I32" s="8"/>
      <c r="J32" s="8"/>
      <c r="K32" s="8"/>
      <c r="L32" s="8"/>
      <c r="M32" s="27"/>
      <c r="N32" s="8">
        <v>8792</v>
      </c>
      <c r="O32" s="8">
        <v>10972</v>
      </c>
      <c r="P32" s="17">
        <f>O32/O$39</f>
        <v>4.6194393688057327E-2</v>
      </c>
      <c r="Q32" s="18" t="s">
        <v>36</v>
      </c>
      <c r="R32" s="3"/>
      <c r="S32" s="57" t="str">
        <f>M29</f>
        <v>Övrigt</v>
      </c>
      <c r="T32" s="58">
        <f>M42</f>
        <v>0</v>
      </c>
      <c r="U32" s="46">
        <f>M43</f>
        <v>0</v>
      </c>
    </row>
    <row r="33" spans="1:48" ht="16" x14ac:dyDescent="0.2">
      <c r="A33" s="4" t="s">
        <v>37</v>
      </c>
      <c r="B33" s="70">
        <f>O33-N33</f>
        <v>5106.1154529307387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4281</v>
      </c>
      <c r="O33" s="70">
        <f>O39-O38-O37-O36-O35-O34-O32-O31</f>
        <v>9387.1154529307387</v>
      </c>
      <c r="P33" s="17">
        <f>O33/O$39</f>
        <v>3.9521701314977134E-2</v>
      </c>
      <c r="Q33" s="18" t="s">
        <v>38</v>
      </c>
      <c r="R33" s="3"/>
      <c r="S33" s="55" t="s">
        <v>34</v>
      </c>
      <c r="T33" s="11">
        <f>C42/1000</f>
        <v>44.722999999999999</v>
      </c>
      <c r="U33" s="14">
        <f>C43</f>
        <v>0.1740090824157875</v>
      </c>
    </row>
    <row r="34" spans="1:48" ht="16" x14ac:dyDescent="0.2">
      <c r="A34" s="4" t="s">
        <v>39</v>
      </c>
      <c r="B34" s="8">
        <v>0</v>
      </c>
      <c r="C34" s="8">
        <v>40456</v>
      </c>
      <c r="D34" s="8">
        <v>0</v>
      </c>
      <c r="E34" s="8">
        <v>0</v>
      </c>
      <c r="F34" s="8">
        <v>3444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83070</v>
      </c>
      <c r="O34" s="8">
        <v>126970</v>
      </c>
      <c r="P34" s="17">
        <f>O34/O$39</f>
        <v>0.53457001153596784</v>
      </c>
      <c r="Q34" s="18" t="s">
        <v>40</v>
      </c>
      <c r="R34" s="3"/>
      <c r="S34" s="3"/>
      <c r="T34" s="11">
        <f>SUM(T22:T33)</f>
        <v>257.01532000000003</v>
      </c>
      <c r="U34" s="13">
        <f>SUM(U22:U33)</f>
        <v>1</v>
      </c>
    </row>
    <row r="35" spans="1:48" ht="16" x14ac:dyDescent="0.2">
      <c r="A35" s="4" t="s">
        <v>41</v>
      </c>
      <c r="B35" s="70">
        <v>5990</v>
      </c>
      <c r="C35" s="70">
        <f>C39-C34-C32-C31</f>
        <v>884.88454706927178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10359</v>
      </c>
      <c r="O35" s="70">
        <f>N35+B35+C35</f>
        <v>17233.884547069272</v>
      </c>
      <c r="P35" s="17">
        <f>O35/O$39</f>
        <v>7.2558225259008888E-2</v>
      </c>
      <c r="Q35" s="18" t="s">
        <v>42</v>
      </c>
      <c r="R35" s="18"/>
    </row>
    <row r="36" spans="1:48" ht="16" x14ac:dyDescent="0.2">
      <c r="A36" s="4" t="s">
        <v>43</v>
      </c>
      <c r="B36" s="70">
        <f>O36-N36-G36</f>
        <v>3020</v>
      </c>
      <c r="C36" s="8">
        <v>0</v>
      </c>
      <c r="D36" s="8">
        <v>0</v>
      </c>
      <c r="E36" s="8">
        <v>0</v>
      </c>
      <c r="F36" s="8">
        <v>0</v>
      </c>
      <c r="G36" s="70">
        <v>23200</v>
      </c>
      <c r="H36" s="8">
        <v>0</v>
      </c>
      <c r="I36" s="8"/>
      <c r="J36" s="8"/>
      <c r="K36" s="8"/>
      <c r="L36" s="8"/>
      <c r="M36" s="27"/>
      <c r="N36" s="8">
        <v>17529</v>
      </c>
      <c r="O36" s="8">
        <v>43749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61">
        <v>8200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87</v>
      </c>
      <c r="O37" s="70">
        <f>SUM(B37:N37)</f>
        <v>8287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817</v>
      </c>
      <c r="O38" s="8">
        <v>817</v>
      </c>
      <c r="P38" s="18">
        <f>SUM(P31:P35)</f>
        <v>0.77747791746309769</v>
      </c>
      <c r="Q38" s="18"/>
      <c r="R38" s="3"/>
      <c r="S38" s="7" t="s">
        <v>46</v>
      </c>
      <c r="T38" s="19">
        <f>O45/1000</f>
        <v>15.59732</v>
      </c>
      <c r="U38" s="7"/>
    </row>
    <row r="39" spans="1:48" ht="16" x14ac:dyDescent="0.2">
      <c r="A39" s="4" t="s">
        <v>15</v>
      </c>
      <c r="B39" s="8">
        <v>23073</v>
      </c>
      <c r="C39" s="8">
        <v>44123</v>
      </c>
      <c r="D39" s="8">
        <v>0</v>
      </c>
      <c r="E39" s="8">
        <v>0</v>
      </c>
      <c r="F39" s="8">
        <v>3712</v>
      </c>
      <c r="G39" s="8">
        <v>24481</v>
      </c>
      <c r="H39" s="8">
        <v>0</v>
      </c>
      <c r="I39" s="8"/>
      <c r="J39" s="8"/>
      <c r="K39" s="8"/>
      <c r="L39" s="8"/>
      <c r="M39" s="27"/>
      <c r="N39" s="8">
        <v>142129</v>
      </c>
      <c r="O39" s="8">
        <v>237518</v>
      </c>
      <c r="P39" s="3"/>
      <c r="Q39" s="3"/>
      <c r="R39" s="3"/>
      <c r="S39" s="7" t="s">
        <v>47</v>
      </c>
      <c r="T39" s="20">
        <f>O41/1000</f>
        <v>52.853000000000002</v>
      </c>
      <c r="U39" s="13">
        <f>P41</f>
        <v>0.22252208253690248</v>
      </c>
    </row>
    <row r="40" spans="1:48" x14ac:dyDescent="0.2">
      <c r="B40" s="9"/>
      <c r="S40" s="7" t="s">
        <v>48</v>
      </c>
      <c r="T40" s="20">
        <f>O35/1000</f>
        <v>17.233884547069273</v>
      </c>
      <c r="U40" s="14">
        <f>P35</f>
        <v>7.2558225259008888E-2</v>
      </c>
    </row>
    <row r="41" spans="1:48" ht="16" x14ac:dyDescent="0.2">
      <c r="A41" s="21" t="s">
        <v>49</v>
      </c>
      <c r="B41" s="22">
        <f>B38+B37+B36</f>
        <v>11220</v>
      </c>
      <c r="C41" s="22">
        <f t="shared" ref="C41:O41" si="0">C38+C37+C36</f>
        <v>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23200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18433</v>
      </c>
      <c r="O41" s="22">
        <f t="shared" si="0"/>
        <v>52853</v>
      </c>
      <c r="P41" s="17">
        <f>O41/O$39</f>
        <v>0.22252208253690248</v>
      </c>
      <c r="Q41" s="17" t="s">
        <v>50</v>
      </c>
      <c r="R41" s="7"/>
      <c r="S41" s="7" t="s">
        <v>51</v>
      </c>
      <c r="T41" s="20">
        <f>O33/1000</f>
        <v>9.3871154529307379</v>
      </c>
      <c r="U41" s="13">
        <f>P33</f>
        <v>3.9521701314977134E-2</v>
      </c>
    </row>
    <row r="42" spans="1:48" ht="16" x14ac:dyDescent="0.2">
      <c r="A42" s="23" t="s">
        <v>52</v>
      </c>
      <c r="B42" s="22"/>
      <c r="C42" s="24">
        <f>C39+C23+C10</f>
        <v>44723</v>
      </c>
      <c r="D42" s="24">
        <f t="shared" ref="D42:M42" si="1">D39+D23+D10</f>
        <v>0</v>
      </c>
      <c r="E42" s="24">
        <f t="shared" si="1"/>
        <v>0</v>
      </c>
      <c r="F42" s="24">
        <f t="shared" si="1"/>
        <v>3712</v>
      </c>
      <c r="G42" s="24">
        <f t="shared" si="1"/>
        <v>54181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154399.32</v>
      </c>
      <c r="O42" s="25">
        <f>SUM(C42:N42)</f>
        <v>257015.32</v>
      </c>
      <c r="P42" s="7"/>
      <c r="Q42" s="7"/>
      <c r="R42" s="7"/>
      <c r="S42" s="7" t="s">
        <v>33</v>
      </c>
      <c r="T42" s="20">
        <f>O31/1000</f>
        <v>20.102</v>
      </c>
      <c r="U42" s="13">
        <f>P31</f>
        <v>8.4633585665086442E-2</v>
      </c>
    </row>
    <row r="43" spans="1:48" ht="16" x14ac:dyDescent="0.2">
      <c r="A43" s="23" t="s">
        <v>53</v>
      </c>
      <c r="B43" s="22"/>
      <c r="C43" s="17">
        <f t="shared" ref="C43:N43" si="2">C42/$O42</f>
        <v>0.1740090824157875</v>
      </c>
      <c r="D43" s="17">
        <f t="shared" si="2"/>
        <v>0</v>
      </c>
      <c r="E43" s="17">
        <f t="shared" si="2"/>
        <v>0</v>
      </c>
      <c r="F43" s="17">
        <f t="shared" si="2"/>
        <v>1.4442718823142527E-2</v>
      </c>
      <c r="G43" s="17">
        <f t="shared" si="2"/>
        <v>0.21080844519307254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0.60073975356799747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10.972</v>
      </c>
      <c r="U43" s="14">
        <f>P32</f>
        <v>4.6194393688057327E-2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126.97</v>
      </c>
      <c r="U44" s="14">
        <f>P34</f>
        <v>0.53457001153596784</v>
      </c>
    </row>
    <row r="45" spans="1:48" ht="16" x14ac:dyDescent="0.2">
      <c r="A45" s="6" t="s">
        <v>56</v>
      </c>
      <c r="B45" s="6">
        <f>B23-B39</f>
        <v>4227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11370.32</v>
      </c>
      <c r="O45" s="25">
        <f>B45+N45</f>
        <v>15597.32</v>
      </c>
      <c r="P45" s="7"/>
      <c r="Q45" s="7"/>
      <c r="R45" s="7"/>
      <c r="S45" s="7" t="s">
        <v>57</v>
      </c>
      <c r="T45" s="20">
        <f>SUM(T39:T44)</f>
        <v>237.51800000000003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6"/>
      <c r="E47" s="15"/>
      <c r="F47" s="15"/>
      <c r="G47" s="16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6"/>
      <c r="E48" s="15"/>
      <c r="F48" s="16"/>
      <c r="G48" s="16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5"/>
      <c r="B57" s="74"/>
      <c r="C57" s="6"/>
      <c r="D57" s="31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6"/>
      <c r="N64" s="29"/>
      <c r="O64" s="7"/>
      <c r="P64" s="6"/>
      <c r="Q64" s="13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0.95*1270-Ockelbo!B4-SUM(Ovanåker:Hudiksvall!B4)</f>
        <v>0</v>
      </c>
      <c r="C4" s="84"/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64">
        <v>8</v>
      </c>
      <c r="C6" s="8">
        <v>0</v>
      </c>
      <c r="D6" s="8">
        <v>0</v>
      </c>
      <c r="E6" s="8">
        <v>0</v>
      </c>
      <c r="F6" s="8">
        <v>0</v>
      </c>
      <c r="G6" s="69">
        <v>0</v>
      </c>
      <c r="H6" s="8">
        <v>0</v>
      </c>
      <c r="I6" s="8"/>
      <c r="J6" s="8"/>
      <c r="K6" s="8"/>
      <c r="L6" s="8"/>
      <c r="M6" s="8"/>
      <c r="N6" s="8"/>
      <c r="O6" s="69">
        <f>SUM(G6)</f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53"/>
      <c r="Q7" s="27"/>
      <c r="R7" s="27"/>
      <c r="AH7" s="27"/>
      <c r="AI7" s="27"/>
    </row>
    <row r="8" spans="1:35" ht="15.75" x14ac:dyDescent="0.25">
      <c r="A8" s="4" t="s">
        <v>13</v>
      </c>
      <c r="B8" s="8">
        <v>6644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53"/>
      <c r="Q8" s="27"/>
      <c r="R8" s="27"/>
      <c r="AH8" s="27"/>
      <c r="AI8" s="27"/>
    </row>
    <row r="9" spans="1:35" ht="15.75" x14ac:dyDescent="0.25">
      <c r="A9" s="4" t="s">
        <v>14</v>
      </c>
      <c r="B9" s="65">
        <v>28748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53"/>
      <c r="Q9" s="27"/>
      <c r="R9" s="27"/>
      <c r="S9" s="4"/>
      <c r="T9" s="8"/>
      <c r="U9" s="53"/>
      <c r="V9" s="8"/>
      <c r="W9" s="8"/>
      <c r="X9" s="8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15</v>
      </c>
      <c r="B10" s="70">
        <f>SUM(B4:B9)</f>
        <v>35400</v>
      </c>
      <c r="C10" s="8">
        <v>0</v>
      </c>
      <c r="D10" s="8">
        <v>0</v>
      </c>
      <c r="E10" s="8">
        <v>0</v>
      </c>
      <c r="F10" s="8">
        <v>0</v>
      </c>
      <c r="G10" s="69">
        <f>SUM(G6:G9)</f>
        <v>0</v>
      </c>
      <c r="H10" s="8">
        <v>0</v>
      </c>
      <c r="I10" s="8"/>
      <c r="J10" s="8"/>
      <c r="K10" s="8"/>
      <c r="L10" s="8"/>
      <c r="M10" s="8"/>
      <c r="N10" s="8"/>
      <c r="O10" s="69">
        <f>SUM(O6:O8)</f>
        <v>0</v>
      </c>
      <c r="P10" s="53"/>
      <c r="Q10" s="27"/>
      <c r="R10" s="27"/>
      <c r="S10" s="4"/>
      <c r="T10" s="8"/>
      <c r="U10" s="53"/>
      <c r="V10" s="8"/>
      <c r="W10" s="8"/>
      <c r="X10" s="8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61">
        <v>77584</v>
      </c>
      <c r="C17" s="64">
        <v>117</v>
      </c>
      <c r="D17" s="8">
        <v>0</v>
      </c>
      <c r="E17" s="8">
        <v>0</v>
      </c>
      <c r="F17" s="8">
        <v>0</v>
      </c>
      <c r="G17" s="65">
        <f>69224+B6/0.9</f>
        <v>69232.888888888891</v>
      </c>
      <c r="H17" s="8">
        <v>0</v>
      </c>
      <c r="I17" s="8"/>
      <c r="J17" s="8"/>
      <c r="K17" s="8"/>
      <c r="L17" s="64"/>
      <c r="M17" s="8"/>
      <c r="N17" s="64">
        <v>6699</v>
      </c>
      <c r="O17" s="65">
        <f>SUM(C17:N17)</f>
        <v>76048.888888888891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70">
        <v>0</v>
      </c>
      <c r="C18" s="70">
        <v>0</v>
      </c>
      <c r="D18" s="8">
        <v>0</v>
      </c>
      <c r="E18" s="8">
        <v>0</v>
      </c>
      <c r="F18" s="8">
        <v>0</v>
      </c>
      <c r="G18" s="71">
        <v>0</v>
      </c>
      <c r="H18" s="8">
        <v>0</v>
      </c>
      <c r="I18" s="8"/>
      <c r="J18" s="8"/>
      <c r="K18" s="8"/>
      <c r="L18" s="8"/>
      <c r="M18" s="8"/>
      <c r="N18" s="8"/>
      <c r="O18" s="70">
        <v>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63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844.6144888888889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61">
        <v>32286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70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489.55359999999996</v>
      </c>
      <c r="U22" s="13">
        <f>N43</f>
        <v>0.57961780959265785</v>
      </c>
    </row>
    <row r="23" spans="1:21" ht="16" x14ac:dyDescent="0.2">
      <c r="A23" s="4" t="s">
        <v>15</v>
      </c>
      <c r="B23" s="64">
        <f>SUM(B17:B22)</f>
        <v>109870</v>
      </c>
      <c r="C23" s="61">
        <f>SUM(C17:C22)</f>
        <v>117</v>
      </c>
      <c r="D23" s="8">
        <v>0</v>
      </c>
      <c r="E23" s="8">
        <v>0</v>
      </c>
      <c r="F23" s="8">
        <v>0</v>
      </c>
      <c r="G23" s="65">
        <f>G17</f>
        <v>69232.888888888891</v>
      </c>
      <c r="H23" s="8">
        <v>0</v>
      </c>
      <c r="I23" s="8"/>
      <c r="J23" s="8"/>
      <c r="K23" s="8"/>
      <c r="L23" s="64"/>
      <c r="M23" s="8"/>
      <c r="N23" s="64">
        <f>SUM(N17:N22)</f>
        <v>6699</v>
      </c>
      <c r="O23" s="65">
        <f>O17</f>
        <v>76048.888888888891</v>
      </c>
      <c r="P23" s="3"/>
      <c r="Q23" s="3"/>
      <c r="R23" s="3"/>
      <c r="S23" s="55" t="s">
        <v>58</v>
      </c>
      <c r="T23" s="12">
        <f>G42/1000</f>
        <v>87.555888888888887</v>
      </c>
      <c r="U23" s="14">
        <f>G43</f>
        <v>0.10366373066139419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59"/>
      <c r="C25" s="5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6.0869999999999997</v>
      </c>
      <c r="U25" s="13">
        <f>F43</f>
        <v>7.2068382440462252E-3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98.56</v>
      </c>
      <c r="U26" s="13">
        <f>E43</f>
        <v>0.11669229133122984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13.585000000000001</v>
      </c>
      <c r="U27" s="46">
        <f>D43</f>
        <v>1.6084261137730899E-2</v>
      </c>
    </row>
    <row r="28" spans="1:21" ht="16" x14ac:dyDescent="0.2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9639</v>
      </c>
      <c r="D31" s="8">
        <v>0</v>
      </c>
      <c r="E31" s="8">
        <v>0</v>
      </c>
      <c r="F31" s="8">
        <v>985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1464</v>
      </c>
      <c r="O31" s="8">
        <v>12088</v>
      </c>
      <c r="P31" s="17">
        <f>O31/O$39</f>
        <v>1.4650238878398654E-2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1">
        <f>48100+5000</f>
        <v>53100</v>
      </c>
      <c r="C32" s="83">
        <v>70000</v>
      </c>
      <c r="D32" s="69">
        <f>O32-N32-G32-C32-B32-E32</f>
        <v>13585</v>
      </c>
      <c r="E32" s="82">
        <v>98560</v>
      </c>
      <c r="F32" s="8">
        <v>0</v>
      </c>
      <c r="G32" s="8">
        <v>110</v>
      </c>
      <c r="H32" s="8">
        <v>0</v>
      </c>
      <c r="I32" s="8"/>
      <c r="J32" s="8"/>
      <c r="K32" s="8"/>
      <c r="L32" s="8"/>
      <c r="M32" s="27"/>
      <c r="N32" s="81">
        <f>324000+50250</f>
        <v>374250</v>
      </c>
      <c r="O32" s="8">
        <v>609605</v>
      </c>
      <c r="P32" s="17">
        <f>O32/O$39</f>
        <v>0.73882022431057348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70">
        <f>O33-N33</f>
        <v>6561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7832</v>
      </c>
      <c r="O33" s="70">
        <f>O39-O38-O37-O36-O35-O34-O32-O31</f>
        <v>14393</v>
      </c>
      <c r="P33" s="17">
        <f>O33/O$39</f>
        <v>1.7443819339575763E-2</v>
      </c>
      <c r="Q33" s="18" t="s">
        <v>38</v>
      </c>
      <c r="R33" s="3"/>
      <c r="S33" s="55" t="s">
        <v>34</v>
      </c>
      <c r="T33" s="12">
        <f>C42/1000</f>
        <v>149.273</v>
      </c>
      <c r="U33" s="14">
        <f>C43</f>
        <v>0.17673506903294106</v>
      </c>
    </row>
    <row r="34" spans="1:48" ht="16" x14ac:dyDescent="0.2">
      <c r="A34" s="4" t="s">
        <v>39</v>
      </c>
      <c r="B34" s="8">
        <v>0</v>
      </c>
      <c r="C34" s="8">
        <v>67243</v>
      </c>
      <c r="D34" s="8">
        <v>0</v>
      </c>
      <c r="E34" s="8">
        <v>0</v>
      </c>
      <c r="F34" s="8">
        <v>5103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211</v>
      </c>
      <c r="O34" s="8">
        <v>72556</v>
      </c>
      <c r="P34" s="17">
        <f>O34/O$39</f>
        <v>8.7935368304193642E-2</v>
      </c>
      <c r="Q34" s="18" t="s">
        <v>40</v>
      </c>
      <c r="R34" s="3"/>
      <c r="S34" s="3"/>
      <c r="T34" s="12">
        <f>SUM(T22:T33)</f>
        <v>844.61448888888879</v>
      </c>
      <c r="U34" s="13">
        <f>SUM(U22:U33)</f>
        <v>1</v>
      </c>
    </row>
    <row r="35" spans="1:48" ht="16" x14ac:dyDescent="0.2">
      <c r="A35" s="4" t="s">
        <v>41</v>
      </c>
      <c r="B35" s="70">
        <f>B39-B37-B36-B33-B32</f>
        <v>5139</v>
      </c>
      <c r="C35" s="8">
        <v>2149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70">
        <f>O35-C35-B35</f>
        <v>17940</v>
      </c>
      <c r="O35" s="8">
        <v>25228</v>
      </c>
      <c r="P35" s="17">
        <f>O35/O$39</f>
        <v>3.0575465455347554E-2</v>
      </c>
      <c r="Q35" s="18" t="s">
        <v>42</v>
      </c>
      <c r="R35" s="18"/>
    </row>
    <row r="36" spans="1:48" ht="16" x14ac:dyDescent="0.2">
      <c r="A36" s="4" t="s">
        <v>43</v>
      </c>
      <c r="B36" s="61">
        <f>4400+200</f>
        <v>4600</v>
      </c>
      <c r="C36" s="8">
        <v>125</v>
      </c>
      <c r="D36" s="8">
        <v>0</v>
      </c>
      <c r="E36" s="8">
        <v>0</v>
      </c>
      <c r="F36" s="8">
        <v>0</v>
      </c>
      <c r="G36" s="8">
        <v>18213</v>
      </c>
      <c r="H36" s="8">
        <v>0</v>
      </c>
      <c r="I36" s="8"/>
      <c r="J36" s="8"/>
      <c r="K36" s="8"/>
      <c r="L36" s="8"/>
      <c r="M36" s="27"/>
      <c r="N36" s="8">
        <v>37939</v>
      </c>
      <c r="O36" s="70">
        <f>SUM(B36:N36)</f>
        <v>60877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61">
        <f>21400+1500</f>
        <v>22900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4380</v>
      </c>
      <c r="O37" s="70">
        <f>SUM(B37:N37)</f>
        <v>27280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3079</v>
      </c>
      <c r="O38" s="8">
        <v>3079</v>
      </c>
      <c r="P38" s="18">
        <f>SUM(P31:P35)</f>
        <v>0.88942511628808907</v>
      </c>
      <c r="Q38" s="18"/>
      <c r="R38" s="3"/>
      <c r="S38" s="7" t="s">
        <v>46</v>
      </c>
      <c r="T38" s="19">
        <f>O45/1000</f>
        <v>53.337600000000002</v>
      </c>
      <c r="U38" s="7"/>
    </row>
    <row r="39" spans="1:48" ht="16" x14ac:dyDescent="0.2">
      <c r="A39" s="4" t="s">
        <v>15</v>
      </c>
      <c r="B39" s="64">
        <f>89300+3000</f>
        <v>92300</v>
      </c>
      <c r="C39" s="69">
        <f>SUM(C31:C38)</f>
        <v>149156</v>
      </c>
      <c r="D39" s="69">
        <f>SUM(D31:D38)</f>
        <v>13585</v>
      </c>
      <c r="E39" s="82">
        <f>SUM(E31:E38)</f>
        <v>98560</v>
      </c>
      <c r="F39" s="8">
        <v>6087</v>
      </c>
      <c r="G39" s="8">
        <v>18323</v>
      </c>
      <c r="H39" s="8">
        <v>0</v>
      </c>
      <c r="I39" s="8"/>
      <c r="J39" s="8"/>
      <c r="K39" s="8"/>
      <c r="L39" s="8"/>
      <c r="M39" s="27"/>
      <c r="N39" s="70">
        <f>SUM(N31:N38)</f>
        <v>447095</v>
      </c>
      <c r="O39" s="8">
        <v>825106</v>
      </c>
      <c r="P39" s="3"/>
      <c r="Q39" s="3"/>
      <c r="R39" s="3"/>
      <c r="S39" s="7" t="s">
        <v>47</v>
      </c>
      <c r="T39" s="20">
        <f>O41/1000</f>
        <v>91.236000000000004</v>
      </c>
      <c r="U39" s="13">
        <f>P41</f>
        <v>0.11057488371191096</v>
      </c>
    </row>
    <row r="40" spans="1:48" x14ac:dyDescent="0.2">
      <c r="B40" s="9"/>
      <c r="S40" s="7" t="s">
        <v>48</v>
      </c>
      <c r="T40" s="20">
        <f>O35/1000</f>
        <v>25.228000000000002</v>
      </c>
      <c r="U40" s="14">
        <f>P35</f>
        <v>3.0575465455347554E-2</v>
      </c>
    </row>
    <row r="41" spans="1:48" ht="16" x14ac:dyDescent="0.2">
      <c r="A41" s="21" t="s">
        <v>49</v>
      </c>
      <c r="B41" s="22">
        <f>B38+B37+B36</f>
        <v>27500</v>
      </c>
      <c r="C41" s="22">
        <f t="shared" ref="C41:O41" si="0">C38+C37+C36</f>
        <v>125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18213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45398</v>
      </c>
      <c r="O41" s="22">
        <f t="shared" si="0"/>
        <v>91236</v>
      </c>
      <c r="P41" s="17">
        <f>O41/O$39</f>
        <v>0.11057488371191096</v>
      </c>
      <c r="Q41" s="17" t="s">
        <v>50</v>
      </c>
      <c r="R41" s="7"/>
      <c r="S41" s="7" t="s">
        <v>51</v>
      </c>
      <c r="T41" s="20">
        <f>O33/1000</f>
        <v>14.393000000000001</v>
      </c>
      <c r="U41" s="13">
        <f>P33</f>
        <v>1.7443819339575763E-2</v>
      </c>
    </row>
    <row r="42" spans="1:48" ht="16" x14ac:dyDescent="0.2">
      <c r="A42" s="23" t="s">
        <v>52</v>
      </c>
      <c r="B42" s="22"/>
      <c r="C42" s="24">
        <f>C39+C23+C10</f>
        <v>149273</v>
      </c>
      <c r="D42" s="24">
        <f t="shared" ref="D42:M42" si="1">D39+D23+D10</f>
        <v>13585</v>
      </c>
      <c r="E42" s="24">
        <f t="shared" si="1"/>
        <v>98560</v>
      </c>
      <c r="F42" s="24">
        <f t="shared" si="1"/>
        <v>6087</v>
      </c>
      <c r="G42" s="24">
        <f t="shared" si="1"/>
        <v>87555.888888888891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489553.6</v>
      </c>
      <c r="O42" s="25">
        <f>SUM(C42:N42)</f>
        <v>844614.48888888885</v>
      </c>
      <c r="P42" s="7"/>
      <c r="Q42" s="7"/>
      <c r="R42" s="7"/>
      <c r="S42" s="7" t="s">
        <v>33</v>
      </c>
      <c r="T42" s="20">
        <f>O31/1000</f>
        <v>12.087999999999999</v>
      </c>
      <c r="U42" s="13">
        <f>P31</f>
        <v>1.4650238878398654E-2</v>
      </c>
    </row>
    <row r="43" spans="1:48" ht="16" x14ac:dyDescent="0.2">
      <c r="A43" s="23" t="s">
        <v>53</v>
      </c>
      <c r="B43" s="22"/>
      <c r="C43" s="17">
        <f t="shared" ref="C43:N43" si="2">C42/$O42</f>
        <v>0.17673506903294106</v>
      </c>
      <c r="D43" s="17">
        <f t="shared" si="2"/>
        <v>1.6084261137730899E-2</v>
      </c>
      <c r="E43" s="17">
        <f t="shared" si="2"/>
        <v>0.11669229133122984</v>
      </c>
      <c r="F43" s="17">
        <f t="shared" si="2"/>
        <v>7.2068382440462252E-3</v>
      </c>
      <c r="G43" s="17">
        <f t="shared" si="2"/>
        <v>0.10366373066139419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0.57961780959265785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609.60500000000002</v>
      </c>
      <c r="U43" s="14">
        <f>P32</f>
        <v>0.73882022431057348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72.555999999999997</v>
      </c>
      <c r="U44" s="14">
        <f>P34</f>
        <v>8.7935368304193642E-2</v>
      </c>
    </row>
    <row r="45" spans="1:48" ht="16" x14ac:dyDescent="0.2">
      <c r="A45" s="6" t="s">
        <v>56</v>
      </c>
      <c r="B45" s="6">
        <f>B23-B39</f>
        <v>17570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35767.599999999999</v>
      </c>
      <c r="O45" s="25">
        <f>B45+N45</f>
        <v>53337.599999999999</v>
      </c>
      <c r="P45" s="7"/>
      <c r="Q45" s="7"/>
      <c r="R45" s="7"/>
      <c r="S45" s="7" t="s">
        <v>57</v>
      </c>
      <c r="T45" s="20">
        <f>SUM(T39:T44)</f>
        <v>825.10599999999999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75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37"/>
      <c r="B50" s="8"/>
      <c r="C50" s="8"/>
      <c r="D50" s="8"/>
      <c r="E50" s="7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40"/>
      <c r="B51" s="37"/>
      <c r="C51" s="38"/>
      <c r="D51" s="38"/>
      <c r="E51" s="38"/>
      <c r="F51" s="3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40"/>
      <c r="B52" s="37"/>
      <c r="C52" s="38"/>
      <c r="D52" s="38"/>
      <c r="E52" s="38"/>
      <c r="F52" s="3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40"/>
      <c r="B53" s="37"/>
      <c r="C53" s="38"/>
      <c r="D53" s="38"/>
      <c r="E53" s="38"/>
      <c r="F53" s="76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5"/>
      <c r="B54" s="7"/>
      <c r="C54" s="28"/>
      <c r="D54" s="28"/>
      <c r="E54" s="38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9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5"/>
      <c r="C55" s="6"/>
      <c r="D55" s="6"/>
      <c r="E55" s="3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5"/>
      <c r="B56" s="74"/>
      <c r="C56" s="6"/>
      <c r="D56" s="6"/>
      <c r="E56" s="38"/>
      <c r="F56" s="4"/>
      <c r="G56" s="66"/>
      <c r="H56" s="8"/>
      <c r="I56" s="8"/>
      <c r="J56" s="8"/>
      <c r="K56" s="8"/>
      <c r="L56" s="66"/>
      <c r="M56" s="8"/>
      <c r="N56" s="8"/>
      <c r="O56" s="8"/>
      <c r="P56" s="8"/>
      <c r="Q56" s="8"/>
      <c r="R56" s="66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5"/>
      <c r="B57" s="74"/>
      <c r="C57" s="6"/>
      <c r="D57" s="31"/>
      <c r="E57" s="38"/>
      <c r="F57" s="4"/>
      <c r="G57" s="66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U57" s="30"/>
    </row>
    <row r="58" spans="1:48" ht="16" x14ac:dyDescent="0.2">
      <c r="A58" s="5"/>
      <c r="B58" s="74"/>
      <c r="C58" s="6"/>
      <c r="E58" s="28"/>
      <c r="F58" s="4"/>
      <c r="G58" s="8"/>
      <c r="H58" s="66"/>
      <c r="I58" s="8"/>
      <c r="J58" s="8"/>
      <c r="K58" s="8"/>
      <c r="L58" s="66"/>
      <c r="M58" s="8"/>
      <c r="N58" s="8"/>
      <c r="O58" s="8"/>
      <c r="P58" s="8"/>
      <c r="Q58" s="8"/>
      <c r="R58" s="66"/>
      <c r="U58" s="30"/>
    </row>
    <row r="59" spans="1:48" ht="16" x14ac:dyDescent="0.2">
      <c r="A59" s="5"/>
      <c r="B59" s="74"/>
      <c r="C59" s="6"/>
      <c r="E59" s="28"/>
      <c r="U59" s="30"/>
    </row>
    <row r="60" spans="1:48" ht="16" x14ac:dyDescent="0.2">
      <c r="A60" s="5"/>
      <c r="B60" s="74"/>
      <c r="C60" s="6"/>
      <c r="D60" s="9"/>
      <c r="E60" s="28"/>
      <c r="U60" s="30"/>
    </row>
    <row r="61" spans="1:48" ht="16" x14ac:dyDescent="0.2">
      <c r="A61" s="5"/>
      <c r="B61" s="74"/>
      <c r="C61" s="6"/>
      <c r="E61" s="28"/>
      <c r="U61" s="32"/>
    </row>
    <row r="62" spans="1:48" x14ac:dyDescent="0.2">
      <c r="C62" s="9"/>
      <c r="E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topLeftCell="A7"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0.95*125</f>
        <v>118.75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210322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9">
        <f>SUM(B4:B9)</f>
        <v>210440.75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64">
        <f>55200</f>
        <v>55200</v>
      </c>
      <c r="C18" s="8">
        <v>896</v>
      </c>
      <c r="D18" s="8">
        <v>0</v>
      </c>
      <c r="E18" s="8">
        <v>0</v>
      </c>
      <c r="F18" s="8">
        <v>0</v>
      </c>
      <c r="G18" s="64">
        <v>57938</v>
      </c>
      <c r="H18" s="8">
        <v>0</v>
      </c>
      <c r="I18" s="8"/>
      <c r="J18" s="8"/>
      <c r="K18" s="8"/>
      <c r="L18" s="8"/>
      <c r="M18" s="8"/>
      <c r="N18" s="8"/>
      <c r="O18" s="64">
        <f>SUM(C18:L18)</f>
        <v>58834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445.00423999999998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64">
        <v>2215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4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149.09724</v>
      </c>
      <c r="U22" s="13">
        <f>N43</f>
        <v>0.33504678517220421</v>
      </c>
    </row>
    <row r="23" spans="1:21" ht="16" x14ac:dyDescent="0.2">
      <c r="A23" s="4" t="s">
        <v>15</v>
      </c>
      <c r="B23" s="69">
        <f>SUM(B17:B22)</f>
        <v>57415</v>
      </c>
      <c r="C23" s="8">
        <v>896</v>
      </c>
      <c r="D23" s="8">
        <v>0</v>
      </c>
      <c r="E23" s="8">
        <v>0</v>
      </c>
      <c r="F23" s="8">
        <v>0</v>
      </c>
      <c r="G23" s="64">
        <f>SUM(G17:G22)</f>
        <v>57938</v>
      </c>
      <c r="H23" s="8">
        <v>0</v>
      </c>
      <c r="I23" s="8"/>
      <c r="J23" s="8"/>
      <c r="K23" s="8"/>
      <c r="L23" s="8"/>
      <c r="M23" s="8"/>
      <c r="N23" s="8"/>
      <c r="O23" s="64">
        <f>SUM(O17:O22)</f>
        <v>58834</v>
      </c>
      <c r="P23" s="3"/>
      <c r="Q23" s="3"/>
      <c r="R23" s="3"/>
      <c r="S23" s="55" t="s">
        <v>58</v>
      </c>
      <c r="T23" s="12">
        <f>G42/1000</f>
        <v>170.36600000000001</v>
      </c>
      <c r="U23" s="14">
        <f>G43</f>
        <v>0.38284129607394302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8.8550000000000004</v>
      </c>
      <c r="U25" s="13">
        <f>F43</f>
        <v>1.9898686808017828E-2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5300</v>
      </c>
      <c r="D31" s="8">
        <v>0</v>
      </c>
      <c r="E31" s="8">
        <v>0</v>
      </c>
      <c r="F31" s="8">
        <v>541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8603</v>
      </c>
      <c r="O31" s="8">
        <v>14445</v>
      </c>
      <c r="P31" s="17">
        <f>O31/O$39</f>
        <v>3.4176244848129235E-2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">
        <v>11653</v>
      </c>
      <c r="C32" s="8">
        <v>1073</v>
      </c>
      <c r="D32" s="8">
        <v>0</v>
      </c>
      <c r="E32" s="8">
        <v>0</v>
      </c>
      <c r="F32" s="8">
        <v>0</v>
      </c>
      <c r="G32" s="8">
        <v>64727</v>
      </c>
      <c r="H32" s="8">
        <v>0</v>
      </c>
      <c r="I32" s="8"/>
      <c r="J32" s="8"/>
      <c r="K32" s="8"/>
      <c r="L32" s="8"/>
      <c r="M32" s="27"/>
      <c r="N32" s="8">
        <v>53982</v>
      </c>
      <c r="O32" s="8">
        <v>131436</v>
      </c>
      <c r="P32" s="17">
        <f>O32/O$39</f>
        <v>0.31097188770223017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5667</v>
      </c>
      <c r="C33" s="8">
        <v>212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12165</v>
      </c>
      <c r="O33" s="8">
        <v>18044</v>
      </c>
      <c r="P33" s="17">
        <f>O33/O$39</f>
        <v>4.2691323090318034E-2</v>
      </c>
      <c r="Q33" s="18" t="s">
        <v>38</v>
      </c>
      <c r="R33" s="3"/>
      <c r="S33" s="55" t="s">
        <v>34</v>
      </c>
      <c r="T33" s="12">
        <f>C42/1000</f>
        <v>116.68600000000001</v>
      </c>
      <c r="U33" s="14">
        <f>C43</f>
        <v>0.26221323194583496</v>
      </c>
    </row>
    <row r="34" spans="1:48" ht="16" x14ac:dyDescent="0.2">
      <c r="A34" s="4" t="s">
        <v>39</v>
      </c>
      <c r="B34" s="8">
        <v>0</v>
      </c>
      <c r="C34" s="8">
        <v>105887</v>
      </c>
      <c r="D34" s="8">
        <v>0</v>
      </c>
      <c r="E34" s="8">
        <v>0</v>
      </c>
      <c r="F34" s="8">
        <v>8314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217</v>
      </c>
      <c r="O34" s="8">
        <v>114417</v>
      </c>
      <c r="P34" s="17">
        <f>O34/O$39</f>
        <v>0.27070567025187975</v>
      </c>
      <c r="Q34" s="18" t="s">
        <v>40</v>
      </c>
      <c r="R34" s="3"/>
      <c r="S34" s="3"/>
      <c r="T34" s="12">
        <f>SUM(T22:T33)</f>
        <v>445.0042400000001</v>
      </c>
      <c r="U34" s="13">
        <f>SUM(U22:U33)</f>
        <v>1</v>
      </c>
    </row>
    <row r="35" spans="1:48" ht="16" x14ac:dyDescent="0.2">
      <c r="A35" s="4" t="s">
        <v>41</v>
      </c>
      <c r="B35" s="8">
        <v>3042</v>
      </c>
      <c r="C35" s="8">
        <v>3101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18250</v>
      </c>
      <c r="O35" s="8">
        <v>24393</v>
      </c>
      <c r="P35" s="17">
        <f>O35/O$39</f>
        <v>5.7712782317785843E-2</v>
      </c>
      <c r="Q35" s="18" t="s">
        <v>42</v>
      </c>
      <c r="R35" s="18"/>
    </row>
    <row r="36" spans="1:48" ht="16" x14ac:dyDescent="0.2">
      <c r="A36" s="4" t="s">
        <v>43</v>
      </c>
      <c r="B36" s="8">
        <v>6625</v>
      </c>
      <c r="C36" s="8">
        <v>193</v>
      </c>
      <c r="D36" s="8">
        <v>0</v>
      </c>
      <c r="E36" s="8">
        <v>0</v>
      </c>
      <c r="F36" s="8">
        <v>0</v>
      </c>
      <c r="G36" s="8">
        <v>47701</v>
      </c>
      <c r="H36" s="8">
        <v>0</v>
      </c>
      <c r="I36" s="8"/>
      <c r="J36" s="8"/>
      <c r="K36" s="8"/>
      <c r="L36" s="8"/>
      <c r="M36" s="27"/>
      <c r="N36" s="8">
        <v>37625</v>
      </c>
      <c r="O36" s="8">
        <v>92144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20548</v>
      </c>
      <c r="C37" s="8">
        <v>24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3886</v>
      </c>
      <c r="O37" s="8">
        <v>24458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3325</v>
      </c>
      <c r="O38" s="8">
        <v>3325</v>
      </c>
      <c r="P38" s="18">
        <f>SUM(P31:P35)</f>
        <v>0.71625790821034307</v>
      </c>
      <c r="Q38" s="18"/>
      <c r="R38" s="3"/>
      <c r="S38" s="7" t="s">
        <v>46</v>
      </c>
      <c r="T38" s="19">
        <f>O45/1000</f>
        <v>20.924239999999998</v>
      </c>
      <c r="U38" s="7"/>
    </row>
    <row r="39" spans="1:48" ht="16" x14ac:dyDescent="0.2">
      <c r="A39" s="4" t="s">
        <v>15</v>
      </c>
      <c r="B39" s="8">
        <v>47535</v>
      </c>
      <c r="C39" s="8">
        <v>115790</v>
      </c>
      <c r="D39" s="8">
        <v>0</v>
      </c>
      <c r="E39" s="8">
        <v>0</v>
      </c>
      <c r="F39" s="8">
        <v>8855</v>
      </c>
      <c r="G39" s="8">
        <v>112428</v>
      </c>
      <c r="H39" s="8">
        <v>0</v>
      </c>
      <c r="I39" s="8"/>
      <c r="J39" s="8"/>
      <c r="K39" s="8"/>
      <c r="L39" s="8"/>
      <c r="M39" s="27"/>
      <c r="N39" s="8">
        <v>138053</v>
      </c>
      <c r="O39" s="8">
        <v>422662</v>
      </c>
      <c r="P39" s="3"/>
      <c r="Q39" s="3"/>
      <c r="R39" s="3"/>
      <c r="S39" s="7" t="s">
        <v>47</v>
      </c>
      <c r="T39" s="20">
        <f>O41/1000</f>
        <v>119.92700000000001</v>
      </c>
      <c r="U39" s="13">
        <f>P41</f>
        <v>0.28374209178965698</v>
      </c>
    </row>
    <row r="40" spans="1:48" x14ac:dyDescent="0.2">
      <c r="S40" s="7" t="s">
        <v>48</v>
      </c>
      <c r="T40" s="20">
        <f>O35/1000</f>
        <v>24.393000000000001</v>
      </c>
      <c r="U40" s="14">
        <f>P35</f>
        <v>5.7712782317785843E-2</v>
      </c>
    </row>
    <row r="41" spans="1:48" ht="16" x14ac:dyDescent="0.2">
      <c r="A41" s="21" t="s">
        <v>49</v>
      </c>
      <c r="B41" s="22">
        <f>B38+B37+B36</f>
        <v>27173</v>
      </c>
      <c r="C41" s="22">
        <f t="shared" ref="C41:O41" si="0">C38+C37+C36</f>
        <v>217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47701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44836</v>
      </c>
      <c r="O41" s="22">
        <f t="shared" si="0"/>
        <v>119927</v>
      </c>
      <c r="P41" s="17">
        <f>O41/O$39</f>
        <v>0.28374209178965698</v>
      </c>
      <c r="Q41" s="17" t="s">
        <v>50</v>
      </c>
      <c r="R41" s="7"/>
      <c r="S41" s="7" t="s">
        <v>51</v>
      </c>
      <c r="T41" s="20">
        <f>O33/1000</f>
        <v>18.044</v>
      </c>
      <c r="U41" s="13">
        <f>P33</f>
        <v>4.2691323090318034E-2</v>
      </c>
    </row>
    <row r="42" spans="1:48" ht="16" x14ac:dyDescent="0.2">
      <c r="A42" s="23" t="s">
        <v>52</v>
      </c>
      <c r="B42" s="22"/>
      <c r="C42" s="24">
        <f>C39+C23+C10</f>
        <v>116686</v>
      </c>
      <c r="D42" s="24">
        <f t="shared" ref="D42:M42" si="1">D39+D23+D10</f>
        <v>0</v>
      </c>
      <c r="E42" s="24">
        <f t="shared" si="1"/>
        <v>0</v>
      </c>
      <c r="F42" s="24">
        <f t="shared" si="1"/>
        <v>8855</v>
      </c>
      <c r="G42" s="24">
        <f t="shared" si="1"/>
        <v>170366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149097.24</v>
      </c>
      <c r="O42" s="25">
        <f>SUM(C42:N42)</f>
        <v>445004.24</v>
      </c>
      <c r="P42" s="7"/>
      <c r="Q42" s="7"/>
      <c r="R42" s="7"/>
      <c r="S42" s="7" t="s">
        <v>33</v>
      </c>
      <c r="T42" s="20">
        <f>O31/1000</f>
        <v>14.445</v>
      </c>
      <c r="U42" s="13">
        <f>P31</f>
        <v>3.4176244848129235E-2</v>
      </c>
    </row>
    <row r="43" spans="1:48" ht="16" x14ac:dyDescent="0.2">
      <c r="A43" s="23" t="s">
        <v>53</v>
      </c>
      <c r="B43" s="22"/>
      <c r="C43" s="17">
        <f t="shared" ref="C43:N43" si="2">C42/$O42</f>
        <v>0.26221323194583496</v>
      </c>
      <c r="D43" s="17">
        <f t="shared" si="2"/>
        <v>0</v>
      </c>
      <c r="E43" s="17">
        <f t="shared" si="2"/>
        <v>0</v>
      </c>
      <c r="F43" s="17">
        <f t="shared" si="2"/>
        <v>1.9898686808017828E-2</v>
      </c>
      <c r="G43" s="17">
        <f t="shared" si="2"/>
        <v>0.38284129607394302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0.33504678517220421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131.43600000000001</v>
      </c>
      <c r="U43" s="14">
        <f>P32</f>
        <v>0.31097188770223017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114.417</v>
      </c>
      <c r="U44" s="14">
        <f>P34</f>
        <v>0.27070567025187975</v>
      </c>
    </row>
    <row r="45" spans="1:48" ht="16" x14ac:dyDescent="0.2">
      <c r="A45" s="6" t="s">
        <v>56</v>
      </c>
      <c r="B45" s="6">
        <f>B23-B39</f>
        <v>9880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11044.24</v>
      </c>
      <c r="O45" s="25">
        <f>B45+N45</f>
        <v>20924.239999999998</v>
      </c>
      <c r="P45" s="7"/>
      <c r="Q45" s="7"/>
      <c r="R45" s="7"/>
      <c r="S45" s="7" t="s">
        <v>57</v>
      </c>
      <c r="T45" s="20">
        <f>SUM(T39:T44)</f>
        <v>422.66200000000003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ht="16" x14ac:dyDescent="0.2">
      <c r="A54" s="5"/>
      <c r="B54" s="7"/>
      <c r="C54" s="28"/>
      <c r="D54" s="28"/>
      <c r="E54" s="38"/>
      <c r="F54" s="76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9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4"/>
      <c r="G57" s="66"/>
      <c r="H57" s="8"/>
      <c r="I57" s="8"/>
      <c r="J57" s="8"/>
      <c r="K57" s="8"/>
      <c r="L57" s="66"/>
      <c r="M57" s="8"/>
      <c r="N57" s="8"/>
      <c r="O57" s="8"/>
      <c r="P57" s="8"/>
      <c r="Q57" s="8"/>
      <c r="R57" s="66"/>
      <c r="T57" s="6"/>
      <c r="U57" s="30"/>
    </row>
    <row r="58" spans="1:48" ht="16" x14ac:dyDescent="0.2">
      <c r="A58" s="5"/>
      <c r="B58" s="74"/>
      <c r="C58" s="6"/>
      <c r="E58" s="28"/>
      <c r="F58" s="4"/>
      <c r="G58" s="66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T58" s="6"/>
      <c r="U58" s="30"/>
    </row>
    <row r="59" spans="1:48" ht="16" x14ac:dyDescent="0.2">
      <c r="A59" s="5"/>
      <c r="B59" s="74"/>
      <c r="C59" s="6"/>
      <c r="E59" s="28"/>
      <c r="F59" s="76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T59" s="6"/>
      <c r="U59" s="30"/>
    </row>
    <row r="60" spans="1:48" ht="16" x14ac:dyDescent="0.2">
      <c r="A60" s="5"/>
      <c r="B60" s="74"/>
      <c r="C60" s="6"/>
      <c r="D60" s="9"/>
      <c r="E60" s="2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9"/>
      <c r="S60" s="7"/>
      <c r="T60" s="6"/>
      <c r="U60" s="30"/>
    </row>
    <row r="61" spans="1:48" ht="16" x14ac:dyDescent="0.2">
      <c r="A61" s="5"/>
      <c r="B61" s="74"/>
      <c r="C61" s="6"/>
      <c r="E61" s="2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7"/>
      <c r="T61" s="31"/>
      <c r="U61" s="32"/>
    </row>
    <row r="62" spans="1:48" ht="16" x14ac:dyDescent="0.2">
      <c r="C62" s="9"/>
      <c r="E62" s="7"/>
      <c r="F62" s="4"/>
      <c r="G62" s="66"/>
      <c r="H62" s="8"/>
      <c r="I62" s="8"/>
      <c r="J62" s="8"/>
      <c r="K62" s="8"/>
      <c r="L62" s="66"/>
      <c r="M62" s="8"/>
      <c r="N62" s="8"/>
      <c r="O62" s="8"/>
      <c r="P62" s="8"/>
      <c r="Q62" s="8"/>
      <c r="R62" s="66"/>
      <c r="S62" s="7"/>
      <c r="T62" s="7"/>
      <c r="U62" s="6"/>
    </row>
    <row r="63" spans="1:48" ht="16" x14ac:dyDescent="0.2">
      <c r="A63" s="7"/>
      <c r="B63" s="33"/>
      <c r="C63" s="33"/>
      <c r="D63" s="33"/>
      <c r="E63" s="33"/>
      <c r="F63" s="4"/>
      <c r="G63" s="66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topLeftCell="A8"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0.95*98</f>
        <v>93.1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70">
        <v>10434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72">
        <v>63622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6" x14ac:dyDescent="0.2">
      <c r="A10" s="4" t="s">
        <v>15</v>
      </c>
      <c r="B10" s="70">
        <f>SUM(B4:B9)</f>
        <v>74149.100000000006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15142</v>
      </c>
      <c r="C18" s="8">
        <v>90</v>
      </c>
      <c r="D18" s="8">
        <v>0</v>
      </c>
      <c r="E18" s="8">
        <v>0</v>
      </c>
      <c r="F18" s="8">
        <v>0</v>
      </c>
      <c r="G18" s="8">
        <v>16623</v>
      </c>
      <c r="H18" s="8">
        <v>0</v>
      </c>
      <c r="I18" s="8"/>
      <c r="J18" s="8"/>
      <c r="K18" s="8"/>
      <c r="L18" s="8"/>
      <c r="M18" s="8"/>
      <c r="N18" s="8"/>
      <c r="O18" s="8">
        <v>16713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376.00912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102.61511999999999</v>
      </c>
      <c r="U22" s="13">
        <f>N43</f>
        <v>0.27290593377096811</v>
      </c>
    </row>
    <row r="23" spans="1:21" ht="16" x14ac:dyDescent="0.2">
      <c r="A23" s="4" t="s">
        <v>15</v>
      </c>
      <c r="B23" s="8">
        <v>15142</v>
      </c>
      <c r="C23" s="8">
        <v>90</v>
      </c>
      <c r="D23" s="8">
        <v>0</v>
      </c>
      <c r="E23" s="8">
        <v>0</v>
      </c>
      <c r="F23" s="8">
        <v>0</v>
      </c>
      <c r="G23" s="8">
        <v>16623</v>
      </c>
      <c r="H23" s="8">
        <v>0</v>
      </c>
      <c r="I23" s="8"/>
      <c r="J23" s="8"/>
      <c r="K23" s="8"/>
      <c r="L23" s="8"/>
      <c r="M23" s="8"/>
      <c r="N23" s="8"/>
      <c r="O23" s="8">
        <v>16713</v>
      </c>
      <c r="P23" s="3"/>
      <c r="Q23" s="3"/>
      <c r="R23" s="3"/>
      <c r="S23" s="55" t="s">
        <v>58</v>
      </c>
      <c r="T23" s="12">
        <f>G42/1000</f>
        <v>132.994</v>
      </c>
      <c r="U23" s="14">
        <f>G43</f>
        <v>0.35369886772959125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10.571999999999999</v>
      </c>
      <c r="U25" s="13">
        <f>F43</f>
        <v>2.8116339305812584E-2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0.2</v>
      </c>
      <c r="U26" s="13">
        <f>E43</f>
        <v>5.3190199216444542E-4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5278</v>
      </c>
      <c r="D31" s="8">
        <v>0</v>
      </c>
      <c r="E31" s="8">
        <v>0</v>
      </c>
      <c r="F31" s="8">
        <v>545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6862</v>
      </c>
      <c r="O31" s="8">
        <v>12685</v>
      </c>
      <c r="P31" s="17">
        <f>O31/O$39</f>
        <v>3.477629126000658E-2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">
        <v>2126</v>
      </c>
      <c r="C32" s="8">
        <v>3353</v>
      </c>
      <c r="D32" s="8">
        <v>0</v>
      </c>
      <c r="E32" s="69">
        <v>200</v>
      </c>
      <c r="F32" s="8">
        <v>0</v>
      </c>
      <c r="G32" s="69">
        <f>O32-N32-E32-C32-B32</f>
        <v>65195</v>
      </c>
      <c r="H32" s="8">
        <v>0</v>
      </c>
      <c r="I32" s="8"/>
      <c r="J32" s="8"/>
      <c r="K32" s="8"/>
      <c r="L32" s="8"/>
      <c r="M32" s="27"/>
      <c r="N32" s="8">
        <v>16238</v>
      </c>
      <c r="O32" s="69">
        <v>87112</v>
      </c>
      <c r="P32" s="17">
        <f>O32/O$39</f>
        <v>0.23882004605768176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4209</v>
      </c>
      <c r="C33" s="8">
        <v>66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5320</v>
      </c>
      <c r="O33" s="8">
        <v>9595</v>
      </c>
      <c r="P33" s="17">
        <f>O33/O$39</f>
        <v>2.6304967649961618E-2</v>
      </c>
      <c r="Q33" s="18" t="s">
        <v>38</v>
      </c>
      <c r="R33" s="3"/>
      <c r="S33" s="55" t="s">
        <v>34</v>
      </c>
      <c r="T33" s="12">
        <f>C42/1000</f>
        <v>129.62799999999999</v>
      </c>
      <c r="U33" s="14">
        <f>C43</f>
        <v>0.34474695720146364</v>
      </c>
    </row>
    <row r="34" spans="1:48" ht="16" x14ac:dyDescent="0.2">
      <c r="A34" s="4" t="s">
        <v>39</v>
      </c>
      <c r="B34" s="8">
        <v>0</v>
      </c>
      <c r="C34" s="8">
        <v>118979</v>
      </c>
      <c r="D34" s="8">
        <v>0</v>
      </c>
      <c r="E34" s="8">
        <v>0</v>
      </c>
      <c r="F34" s="8">
        <v>10028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68</v>
      </c>
      <c r="O34" s="8">
        <v>129075</v>
      </c>
      <c r="P34" s="17">
        <f>O34/O$39</f>
        <v>0.35386281390503344</v>
      </c>
      <c r="Q34" s="18" t="s">
        <v>40</v>
      </c>
      <c r="R34" s="3"/>
      <c r="S34" s="3"/>
      <c r="T34" s="12">
        <f>SUM(T22:T33)</f>
        <v>376.00911999999994</v>
      </c>
      <c r="U34" s="13">
        <f>SUM(U22:U33)</f>
        <v>1</v>
      </c>
    </row>
    <row r="35" spans="1:48" ht="16" x14ac:dyDescent="0.2">
      <c r="A35" s="4" t="s">
        <v>41</v>
      </c>
      <c r="B35" s="8">
        <v>0</v>
      </c>
      <c r="C35" s="8">
        <v>1385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16574</v>
      </c>
      <c r="O35" s="8">
        <v>17959</v>
      </c>
      <c r="P35" s="17">
        <f>O35/O$39</f>
        <v>4.9235113499287206E-2</v>
      </c>
      <c r="Q35" s="18" t="s">
        <v>42</v>
      </c>
      <c r="R35" s="18"/>
    </row>
    <row r="36" spans="1:48" ht="16" x14ac:dyDescent="0.2">
      <c r="A36" s="4" t="s">
        <v>43</v>
      </c>
      <c r="B36" s="8">
        <v>300</v>
      </c>
      <c r="C36" s="8">
        <v>430</v>
      </c>
      <c r="D36" s="8">
        <v>0</v>
      </c>
      <c r="E36" s="8">
        <v>0</v>
      </c>
      <c r="F36" s="8">
        <v>0</v>
      </c>
      <c r="G36" s="8">
        <v>51176</v>
      </c>
      <c r="H36" s="8">
        <v>0</v>
      </c>
      <c r="I36" s="8"/>
      <c r="J36" s="8"/>
      <c r="K36" s="8"/>
      <c r="L36" s="8"/>
      <c r="M36" s="27"/>
      <c r="N36" s="8">
        <v>38569</v>
      </c>
      <c r="O36" s="8">
        <v>90475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6428</v>
      </c>
      <c r="C37" s="8">
        <v>48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2708</v>
      </c>
      <c r="O37" s="8">
        <v>9184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8675</v>
      </c>
      <c r="O38" s="8">
        <v>8675</v>
      </c>
      <c r="P38" s="18">
        <f>SUM(P31:P35)</f>
        <v>0.70299923237197059</v>
      </c>
      <c r="Q38" s="18"/>
      <c r="R38" s="3"/>
      <c r="S38" s="7" t="s">
        <v>46</v>
      </c>
      <c r="T38" s="19">
        <f>O45/1000</f>
        <v>9.6801199999999987</v>
      </c>
      <c r="U38" s="7"/>
    </row>
    <row r="39" spans="1:48" ht="16" x14ac:dyDescent="0.2">
      <c r="A39" s="4" t="s">
        <v>15</v>
      </c>
      <c r="B39" s="8">
        <v>13063</v>
      </c>
      <c r="C39" s="8">
        <v>129538</v>
      </c>
      <c r="D39" s="8">
        <v>0</v>
      </c>
      <c r="E39" s="69">
        <f>SUM(E31:E38)</f>
        <v>200</v>
      </c>
      <c r="F39" s="8">
        <v>10572</v>
      </c>
      <c r="G39" s="69">
        <f>SUM(G31:G38)</f>
        <v>116371</v>
      </c>
      <c r="H39" s="8">
        <v>0</v>
      </c>
      <c r="I39" s="8"/>
      <c r="J39" s="8"/>
      <c r="K39" s="8"/>
      <c r="L39" s="8"/>
      <c r="M39" s="27"/>
      <c r="N39" s="8">
        <v>95014</v>
      </c>
      <c r="O39" s="69">
        <f>SUM(O31:O38)</f>
        <v>364760</v>
      </c>
      <c r="P39" s="3"/>
      <c r="Q39" s="3"/>
      <c r="R39" s="3"/>
      <c r="S39" s="7" t="s">
        <v>47</v>
      </c>
      <c r="T39" s="20">
        <f>O41/1000</f>
        <v>108.334</v>
      </c>
      <c r="U39" s="13">
        <f>P41</f>
        <v>0.29700076762802941</v>
      </c>
    </row>
    <row r="40" spans="1:48" x14ac:dyDescent="0.2">
      <c r="O40" s="9">
        <f>SUM(B39:N39)</f>
        <v>364758</v>
      </c>
      <c r="S40" s="7" t="s">
        <v>48</v>
      </c>
      <c r="T40" s="20">
        <f>O35/1000</f>
        <v>17.959</v>
      </c>
      <c r="U40" s="14">
        <f>P35</f>
        <v>4.9235113499287206E-2</v>
      </c>
    </row>
    <row r="41" spans="1:48" ht="16" x14ac:dyDescent="0.2">
      <c r="A41" s="21" t="s">
        <v>49</v>
      </c>
      <c r="B41" s="22">
        <f>B38+B37+B36</f>
        <v>6728</v>
      </c>
      <c r="C41" s="22">
        <f t="shared" ref="C41:O41" si="0">C38+C37+C36</f>
        <v>478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51176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49952</v>
      </c>
      <c r="O41" s="22">
        <f t="shared" si="0"/>
        <v>108334</v>
      </c>
      <c r="P41" s="17">
        <f>O41/O$39</f>
        <v>0.29700076762802941</v>
      </c>
      <c r="Q41" s="17" t="s">
        <v>50</v>
      </c>
      <c r="R41" s="7"/>
      <c r="S41" s="7" t="s">
        <v>51</v>
      </c>
      <c r="T41" s="20">
        <f>O33/1000</f>
        <v>9.5950000000000006</v>
      </c>
      <c r="U41" s="13">
        <f>P33</f>
        <v>2.6304967649961618E-2</v>
      </c>
    </row>
    <row r="42" spans="1:48" ht="16" x14ac:dyDescent="0.2">
      <c r="A42" s="23" t="s">
        <v>52</v>
      </c>
      <c r="B42" s="22"/>
      <c r="C42" s="24">
        <f>C39+C23+C10</f>
        <v>129628</v>
      </c>
      <c r="D42" s="24">
        <f t="shared" ref="D42:M42" si="1">D39+D23+D10</f>
        <v>0</v>
      </c>
      <c r="E42" s="24">
        <f t="shared" si="1"/>
        <v>200</v>
      </c>
      <c r="F42" s="24">
        <f t="shared" si="1"/>
        <v>10572</v>
      </c>
      <c r="G42" s="24">
        <f t="shared" si="1"/>
        <v>132994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102615.12</v>
      </c>
      <c r="O42" s="25">
        <f>SUM(C42:N42)</f>
        <v>376009.12</v>
      </c>
      <c r="P42" s="7"/>
      <c r="Q42" s="7"/>
      <c r="R42" s="7"/>
      <c r="S42" s="7" t="s">
        <v>33</v>
      </c>
      <c r="T42" s="20">
        <f>O31/1000</f>
        <v>12.685</v>
      </c>
      <c r="U42" s="13">
        <f>P31</f>
        <v>3.477629126000658E-2</v>
      </c>
    </row>
    <row r="43" spans="1:48" ht="16" x14ac:dyDescent="0.2">
      <c r="A43" s="23" t="s">
        <v>53</v>
      </c>
      <c r="B43" s="22"/>
      <c r="C43" s="17">
        <f t="shared" ref="C43:N43" si="2">C42/$O42</f>
        <v>0.34474695720146364</v>
      </c>
      <c r="D43" s="17">
        <f t="shared" si="2"/>
        <v>0</v>
      </c>
      <c r="E43" s="17">
        <f t="shared" si="2"/>
        <v>5.3190199216444542E-4</v>
      </c>
      <c r="F43" s="17">
        <f t="shared" si="2"/>
        <v>2.8116339305812584E-2</v>
      </c>
      <c r="G43" s="17">
        <f t="shared" si="2"/>
        <v>0.35369886772959125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0.27290593377096811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87.111999999999995</v>
      </c>
      <c r="U43" s="14">
        <f>P32</f>
        <v>0.23882004605768176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129.07499999999999</v>
      </c>
      <c r="U44" s="14">
        <f>P34</f>
        <v>0.35386281390503344</v>
      </c>
    </row>
    <row r="45" spans="1:48" ht="16" x14ac:dyDescent="0.2">
      <c r="A45" s="6" t="s">
        <v>56</v>
      </c>
      <c r="B45" s="6">
        <f>B23-B39</f>
        <v>2079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7601.12</v>
      </c>
      <c r="O45" s="25">
        <f>B45+N45</f>
        <v>9680.119999999999</v>
      </c>
      <c r="P45" s="7"/>
      <c r="Q45" s="7"/>
      <c r="R45" s="7"/>
      <c r="S45" s="7" t="s">
        <v>57</v>
      </c>
      <c r="T45" s="20">
        <f>SUM(T39:T44)</f>
        <v>364.76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0.95*98</f>
        <v>93.1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70">
        <v>632470.43958835909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5">
        <v>62495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9">
        <f>SUM(B4:B9)</f>
        <v>695058.53958835907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f>(77769)+12273</f>
        <v>90042</v>
      </c>
      <c r="C18" s="8">
        <v>418</v>
      </c>
      <c r="D18" s="8">
        <v>0</v>
      </c>
      <c r="E18" s="8">
        <v>0</v>
      </c>
      <c r="F18" s="8">
        <v>0</v>
      </c>
      <c r="G18" s="8">
        <v>87841</v>
      </c>
      <c r="H18" s="8">
        <v>0</v>
      </c>
      <c r="I18" s="8"/>
      <c r="J18" s="8"/>
      <c r="K18" s="8"/>
      <c r="L18" s="8"/>
      <c r="M18" s="8"/>
      <c r="N18" s="8"/>
      <c r="O18" s="8">
        <v>88259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647.8184399999999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209.48544000000001</v>
      </c>
      <c r="U22" s="13">
        <f>N43</f>
        <v>0.32337060365246784</v>
      </c>
    </row>
    <row r="23" spans="1:21" ht="16" x14ac:dyDescent="0.2">
      <c r="A23" s="4" t="s">
        <v>15</v>
      </c>
      <c r="B23" s="8">
        <v>90042</v>
      </c>
      <c r="C23" s="8">
        <v>418</v>
      </c>
      <c r="D23" s="8">
        <v>0</v>
      </c>
      <c r="E23" s="8">
        <v>0</v>
      </c>
      <c r="F23" s="8">
        <v>0</v>
      </c>
      <c r="G23" s="8">
        <v>87841</v>
      </c>
      <c r="H23" s="8">
        <v>0</v>
      </c>
      <c r="I23" s="8"/>
      <c r="J23" s="8"/>
      <c r="K23" s="8"/>
      <c r="L23" s="8"/>
      <c r="M23" s="8"/>
      <c r="N23" s="8"/>
      <c r="O23" s="8">
        <v>88259</v>
      </c>
      <c r="P23" s="3"/>
      <c r="Q23" s="3"/>
      <c r="R23" s="3"/>
      <c r="S23" s="55" t="s">
        <v>58</v>
      </c>
      <c r="T23" s="12">
        <f>G42/1000</f>
        <v>179.501</v>
      </c>
      <c r="U23" s="14">
        <f>G43</f>
        <v>0.27708535125983758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19.443999999999999</v>
      </c>
      <c r="U25" s="13">
        <f>F43</f>
        <v>3.0014582480856832E-2</v>
      </c>
    </row>
    <row r="26" spans="1:21" ht="16" x14ac:dyDescent="0.2">
      <c r="B26" s="6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1.7000000000000001E-2</v>
      </c>
      <c r="U26" s="13">
        <f>E43</f>
        <v>2.6241920498589083E-5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8370</v>
      </c>
      <c r="D31" s="8">
        <v>0</v>
      </c>
      <c r="E31" s="8">
        <v>0</v>
      </c>
      <c r="F31" s="8">
        <v>839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16624</v>
      </c>
      <c r="O31" s="8">
        <v>25832</v>
      </c>
      <c r="P31" s="17">
        <f>O31/O$39</f>
        <v>4.162369805094359E-2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">
        <v>751</v>
      </c>
      <c r="C32" s="8">
        <v>2680</v>
      </c>
      <c r="D32" s="8">
        <v>0</v>
      </c>
      <c r="E32" s="70">
        <v>17</v>
      </c>
      <c r="F32" s="8">
        <v>0</v>
      </c>
      <c r="G32" s="69">
        <f>O32-N32-E32-C32-B32</f>
        <v>34681</v>
      </c>
      <c r="H32" s="8">
        <v>0</v>
      </c>
      <c r="I32" s="8"/>
      <c r="J32" s="8"/>
      <c r="K32" s="8"/>
      <c r="L32" s="8"/>
      <c r="M32" s="27"/>
      <c r="N32" s="69">
        <v>31793</v>
      </c>
      <c r="O32" s="8">
        <v>69922</v>
      </c>
      <c r="P32" s="17">
        <f>O32/O$39</f>
        <v>0.11266693307208415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11435</v>
      </c>
      <c r="C33" s="8">
        <v>369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14969</v>
      </c>
      <c r="O33" s="8">
        <v>26773</v>
      </c>
      <c r="P33" s="17">
        <f>O33/O$39</f>
        <v>4.3139953078271627E-2</v>
      </c>
      <c r="Q33" s="18" t="s">
        <v>38</v>
      </c>
      <c r="R33" s="3"/>
      <c r="S33" s="55" t="s">
        <v>34</v>
      </c>
      <c r="T33" s="12">
        <f>C42/1000</f>
        <v>239.37100000000001</v>
      </c>
      <c r="U33" s="14">
        <f>C43</f>
        <v>0.36950322068633923</v>
      </c>
    </row>
    <row r="34" spans="1:48" ht="16" x14ac:dyDescent="0.2">
      <c r="A34" s="4" t="s">
        <v>39</v>
      </c>
      <c r="B34" s="8">
        <v>0</v>
      </c>
      <c r="C34" s="8">
        <v>224417</v>
      </c>
      <c r="D34" s="8">
        <v>0</v>
      </c>
      <c r="E34" s="8">
        <v>0</v>
      </c>
      <c r="F34" s="8">
        <v>18605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2483</v>
      </c>
      <c r="O34" s="8">
        <v>245505</v>
      </c>
      <c r="P34" s="17">
        <f>O34/O$39</f>
        <v>0.39558787511601529</v>
      </c>
      <c r="Q34" s="18" t="s">
        <v>40</v>
      </c>
      <c r="R34" s="3"/>
      <c r="S34" s="3"/>
      <c r="T34" s="12">
        <f>SUM(T22:T33)</f>
        <v>647.81844000000001</v>
      </c>
      <c r="U34" s="13">
        <f>SUM(U22:U33)</f>
        <v>1</v>
      </c>
    </row>
    <row r="35" spans="1:48" ht="16" x14ac:dyDescent="0.2">
      <c r="A35" s="4" t="s">
        <v>41</v>
      </c>
      <c r="B35" s="8">
        <v>8648</v>
      </c>
      <c r="C35" s="8">
        <v>2577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38513</v>
      </c>
      <c r="O35" s="8">
        <v>49738</v>
      </c>
      <c r="P35" s="17">
        <f>O35/O$39</f>
        <v>8.0143987831288024E-2</v>
      </c>
      <c r="Q35" s="18" t="s">
        <v>42</v>
      </c>
      <c r="R35" s="18"/>
    </row>
    <row r="36" spans="1:48" ht="16" x14ac:dyDescent="0.2">
      <c r="A36" s="4" t="s">
        <v>43</v>
      </c>
      <c r="B36" s="8">
        <v>13575</v>
      </c>
      <c r="C36" s="8">
        <v>538</v>
      </c>
      <c r="D36" s="8">
        <v>0</v>
      </c>
      <c r="E36" s="8">
        <v>0</v>
      </c>
      <c r="F36" s="8">
        <v>0</v>
      </c>
      <c r="G36" s="8">
        <v>56979</v>
      </c>
      <c r="H36" s="8">
        <v>0</v>
      </c>
      <c r="I36" s="8"/>
      <c r="J36" s="8"/>
      <c r="K36" s="8"/>
      <c r="L36" s="8"/>
      <c r="M36" s="27"/>
      <c r="N36" s="8">
        <v>70984</v>
      </c>
      <c r="O36" s="8">
        <v>142077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42158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7770</v>
      </c>
      <c r="O37" s="8">
        <v>49928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10832</v>
      </c>
      <c r="O38" s="8">
        <v>10832</v>
      </c>
      <c r="P38" s="18">
        <f>SUM(P31:P35)</f>
        <v>0.67316244714860274</v>
      </c>
      <c r="Q38" s="18"/>
      <c r="R38" s="3"/>
      <c r="S38" s="7" t="s">
        <v>46</v>
      </c>
      <c r="T38" s="19">
        <f>O45/1000</f>
        <v>28.992440000000002</v>
      </c>
      <c r="U38" s="7"/>
    </row>
    <row r="39" spans="1:48" ht="16" x14ac:dyDescent="0.2">
      <c r="A39" s="4" t="s">
        <v>15</v>
      </c>
      <c r="B39" s="8">
        <v>76567</v>
      </c>
      <c r="C39" s="8">
        <v>238953</v>
      </c>
      <c r="D39" s="8">
        <v>0</v>
      </c>
      <c r="E39" s="70">
        <v>17</v>
      </c>
      <c r="F39" s="8">
        <f>SUM(F31:F38)</f>
        <v>19444</v>
      </c>
      <c r="G39" s="69">
        <f>SUM(G31:G38)</f>
        <v>91660</v>
      </c>
      <c r="H39" s="8">
        <v>0</v>
      </c>
      <c r="I39" s="8"/>
      <c r="J39" s="8"/>
      <c r="K39" s="8"/>
      <c r="L39" s="8"/>
      <c r="M39" s="27"/>
      <c r="N39" s="69">
        <f>SUM(N31:N38)</f>
        <v>193968</v>
      </c>
      <c r="O39" s="8">
        <v>620608</v>
      </c>
      <c r="P39" s="3"/>
      <c r="Q39" s="3"/>
      <c r="R39" s="3"/>
      <c r="S39" s="7" t="s">
        <v>47</v>
      </c>
      <c r="T39" s="20">
        <f>O41/1000</f>
        <v>202.83699999999999</v>
      </c>
      <c r="U39" s="13">
        <f>P41</f>
        <v>0.32683594152830775</v>
      </c>
    </row>
    <row r="40" spans="1:48" x14ac:dyDescent="0.2">
      <c r="O40" s="9"/>
      <c r="S40" s="7" t="s">
        <v>48</v>
      </c>
      <c r="T40" s="20">
        <f>O35/1000</f>
        <v>49.738</v>
      </c>
      <c r="U40" s="14">
        <f>P35</f>
        <v>8.0143987831288024E-2</v>
      </c>
    </row>
    <row r="41" spans="1:48" ht="16" x14ac:dyDescent="0.2">
      <c r="A41" s="21" t="s">
        <v>49</v>
      </c>
      <c r="B41" s="22">
        <f>B38+B37+B36</f>
        <v>55733</v>
      </c>
      <c r="C41" s="22">
        <f t="shared" ref="C41:O41" si="0">C38+C37+C36</f>
        <v>538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56979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89586</v>
      </c>
      <c r="O41" s="22">
        <f t="shared" si="0"/>
        <v>202837</v>
      </c>
      <c r="P41" s="17">
        <f>O41/O$39</f>
        <v>0.32683594152830775</v>
      </c>
      <c r="Q41" s="17" t="s">
        <v>50</v>
      </c>
      <c r="R41" s="7"/>
      <c r="S41" s="7" t="s">
        <v>51</v>
      </c>
      <c r="T41" s="20">
        <f>O33/1000</f>
        <v>26.773</v>
      </c>
      <c r="U41" s="13">
        <f>P33</f>
        <v>4.3139953078271627E-2</v>
      </c>
    </row>
    <row r="42" spans="1:48" ht="16" x14ac:dyDescent="0.2">
      <c r="A42" s="23" t="s">
        <v>52</v>
      </c>
      <c r="B42" s="22"/>
      <c r="C42" s="24">
        <f>C39+C23+C10</f>
        <v>239371</v>
      </c>
      <c r="D42" s="24">
        <f t="shared" ref="D42:M42" si="1">D39+D23+D10</f>
        <v>0</v>
      </c>
      <c r="E42" s="24">
        <f t="shared" si="1"/>
        <v>17</v>
      </c>
      <c r="F42" s="24">
        <f t="shared" si="1"/>
        <v>19444</v>
      </c>
      <c r="G42" s="24">
        <f t="shared" si="1"/>
        <v>179501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209485.44</v>
      </c>
      <c r="O42" s="25">
        <f>SUM(C42:N42)</f>
        <v>647818.43999999994</v>
      </c>
      <c r="P42" s="7"/>
      <c r="Q42" s="7"/>
      <c r="R42" s="7"/>
      <c r="S42" s="7" t="s">
        <v>33</v>
      </c>
      <c r="T42" s="20">
        <f>O31/1000</f>
        <v>25.832000000000001</v>
      </c>
      <c r="U42" s="13">
        <f>P31</f>
        <v>4.162369805094359E-2</v>
      </c>
    </row>
    <row r="43" spans="1:48" ht="16" x14ac:dyDescent="0.2">
      <c r="A43" s="23" t="s">
        <v>53</v>
      </c>
      <c r="B43" s="22"/>
      <c r="C43" s="17">
        <f t="shared" ref="C43:N43" si="2">C42/$O42</f>
        <v>0.36950322068633923</v>
      </c>
      <c r="D43" s="17">
        <f t="shared" si="2"/>
        <v>0</v>
      </c>
      <c r="E43" s="17">
        <f t="shared" si="2"/>
        <v>2.6241920498589083E-5</v>
      </c>
      <c r="F43" s="17">
        <f t="shared" si="2"/>
        <v>3.0014582480856832E-2</v>
      </c>
      <c r="G43" s="17">
        <f t="shared" si="2"/>
        <v>0.27708535125983758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0.32337060365246784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69.921999999999997</v>
      </c>
      <c r="U43" s="14">
        <f>P32</f>
        <v>0.11266693307208415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245.505</v>
      </c>
      <c r="U44" s="14">
        <f>P34</f>
        <v>0.39558787511601529</v>
      </c>
    </row>
    <row r="45" spans="1:48" ht="16" x14ac:dyDescent="0.2">
      <c r="A45" s="6" t="s">
        <v>56</v>
      </c>
      <c r="B45" s="6">
        <f>B23-B39</f>
        <v>13475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15517.44</v>
      </c>
      <c r="O45" s="25">
        <f>B45+N45</f>
        <v>28992.440000000002</v>
      </c>
      <c r="P45" s="7"/>
      <c r="Q45" s="7"/>
      <c r="R45" s="7"/>
      <c r="S45" s="7" t="s">
        <v>57</v>
      </c>
      <c r="T45" s="20">
        <f>SUM(T39:T44)</f>
        <v>620.60699999999997</v>
      </c>
      <c r="U45" s="13">
        <f>SUM(U39:U44)</f>
        <v>0.99999838867691038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72"/>
  <sheetViews>
    <sheetView topLeftCell="A12" workbookViewId="0">
      <selection activeCell="U35" sqref="U35"/>
    </sheetView>
  </sheetViews>
  <sheetFormatPr baseColWidth="10" defaultColWidth="8.83203125" defaultRowHeight="15" x14ac:dyDescent="0.2"/>
  <cols>
    <col min="1" max="1" width="23.6640625" style="2" customWidth="1"/>
    <col min="2" max="2" width="8.33203125" style="2" customWidth="1"/>
    <col min="3" max="3" width="10.1640625" style="2" customWidth="1"/>
    <col min="4" max="6" width="8.33203125" style="2" customWidth="1"/>
    <col min="7" max="7" width="10" style="2" bestFit="1" customWidth="1"/>
    <col min="8" max="8" width="8.33203125" style="2" customWidth="1"/>
    <col min="9" max="9" width="9.83203125" style="2" bestFit="1" customWidth="1"/>
    <col min="10" max="13" width="8.33203125" style="2" customWidth="1"/>
    <col min="14" max="14" width="9.1640625" style="2" customWidth="1"/>
    <col min="15" max="15" width="9" style="2" customWidth="1"/>
    <col min="16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65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0.95*166</f>
        <v>157.69999999999999</v>
      </c>
      <c r="Q4" s="27"/>
      <c r="R4" s="27"/>
      <c r="AH4" s="27"/>
      <c r="AI4" s="27"/>
    </row>
    <row r="5" spans="1:35" ht="15.75" x14ac:dyDescent="0.25">
      <c r="A5" s="27"/>
      <c r="B5" s="9"/>
      <c r="Q5" s="27"/>
      <c r="R5" s="27"/>
      <c r="AH5" s="27"/>
      <c r="AI5" s="27"/>
    </row>
    <row r="6" spans="1:35" ht="16" x14ac:dyDescent="0.2">
      <c r="A6" s="4" t="s">
        <v>11</v>
      </c>
      <c r="B6" s="61">
        <v>60063</v>
      </c>
      <c r="C6" s="70">
        <v>0</v>
      </c>
      <c r="D6" s="8">
        <v>0</v>
      </c>
      <c r="E6" s="8">
        <v>0</v>
      </c>
      <c r="F6" s="70">
        <v>0</v>
      </c>
      <c r="G6" s="70">
        <v>0</v>
      </c>
      <c r="H6" s="8">
        <v>0</v>
      </c>
      <c r="I6" s="8"/>
      <c r="J6" s="8"/>
      <c r="K6" s="8"/>
      <c r="L6" s="8"/>
      <c r="M6" s="64"/>
      <c r="N6" s="8"/>
      <c r="O6" s="70">
        <f>SUM(C6:M6)</f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53"/>
      <c r="Q7" s="27"/>
      <c r="R7" s="27"/>
      <c r="AH7" s="27"/>
      <c r="AI7" s="27"/>
    </row>
    <row r="8" spans="1:35" ht="15.75" x14ac:dyDescent="0.25">
      <c r="A8" s="4" t="s">
        <v>13</v>
      </c>
      <c r="B8" s="8">
        <v>70656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53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53"/>
      <c r="Q9" s="27"/>
      <c r="R9" s="27"/>
      <c r="S9" s="4"/>
      <c r="T9" s="53"/>
      <c r="U9" s="53"/>
      <c r="V9" s="8"/>
      <c r="W9" s="53"/>
      <c r="X9" s="53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15</v>
      </c>
      <c r="B10" s="70">
        <f>SUM(B4:B9)</f>
        <v>130876.7</v>
      </c>
      <c r="C10" s="70">
        <v>0</v>
      </c>
      <c r="D10" s="8">
        <v>0</v>
      </c>
      <c r="E10" s="8">
        <v>0</v>
      </c>
      <c r="F10" s="70">
        <v>0</v>
      </c>
      <c r="G10" s="70">
        <f>G6</f>
        <v>0</v>
      </c>
      <c r="H10" s="8">
        <v>0</v>
      </c>
      <c r="I10" s="8"/>
      <c r="J10" s="8"/>
      <c r="K10" s="8"/>
      <c r="L10" s="8"/>
      <c r="M10" s="64"/>
      <c r="N10" s="8"/>
      <c r="O10" s="70">
        <f>SUM(O6)</f>
        <v>0</v>
      </c>
      <c r="P10" s="53"/>
      <c r="Q10" s="27"/>
      <c r="R10" s="27"/>
      <c r="S10" s="4"/>
      <c r="T10" s="53"/>
      <c r="U10" s="53"/>
      <c r="V10" s="8"/>
      <c r="W10" s="53"/>
      <c r="X10" s="53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64">
        <v>210010</v>
      </c>
      <c r="C17" s="88">
        <f>220+58</f>
        <v>278</v>
      </c>
      <c r="D17" s="8">
        <v>0</v>
      </c>
      <c r="E17" s="8">
        <v>0</v>
      </c>
      <c r="F17" s="69">
        <v>265</v>
      </c>
      <c r="G17" s="88">
        <f>209790+77800</f>
        <v>287590</v>
      </c>
      <c r="H17" s="8">
        <v>0</v>
      </c>
      <c r="I17" s="8"/>
      <c r="J17" s="8"/>
      <c r="K17" s="8"/>
      <c r="L17" s="8"/>
      <c r="M17" s="64"/>
      <c r="N17" s="8"/>
      <c r="O17" s="64">
        <f>SUM(C17:N17)</f>
        <v>288133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64">
        <v>28105</v>
      </c>
      <c r="C18" s="64">
        <v>1144</v>
      </c>
      <c r="D18" s="8">
        <v>0</v>
      </c>
      <c r="E18" s="64">
        <v>1087</v>
      </c>
      <c r="F18" s="64">
        <v>1470</v>
      </c>
      <c r="G18" s="64">
        <v>24404</v>
      </c>
      <c r="H18" s="8">
        <v>0</v>
      </c>
      <c r="I18" s="8"/>
      <c r="J18" s="8"/>
      <c r="K18" s="8"/>
      <c r="L18" s="8"/>
      <c r="M18" s="8"/>
      <c r="O18" s="64">
        <f>SUM(C18:N18)</f>
        <v>28105</v>
      </c>
      <c r="P18" s="8"/>
      <c r="Q18" s="3"/>
      <c r="R18" s="3"/>
      <c r="S18" s="3"/>
      <c r="T18" s="3"/>
      <c r="U18" s="3"/>
    </row>
    <row r="19" spans="1:21" ht="16" x14ac:dyDescent="0.2">
      <c r="A19" s="4" t="s">
        <v>21</v>
      </c>
      <c r="B19" s="72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64"/>
      <c r="O19" s="72">
        <f>SUM(N19)</f>
        <v>0</v>
      </c>
      <c r="P19" s="3"/>
      <c r="Q19" s="3"/>
      <c r="R19" s="3"/>
      <c r="S19" s="3" t="s">
        <v>25</v>
      </c>
      <c r="T19" s="11">
        <f>O42/1000</f>
        <v>7812.5647600000002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64">
        <v>480517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72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1480.1757600000001</v>
      </c>
      <c r="U22" s="13">
        <f>N43</f>
        <v>0.18946092678532883</v>
      </c>
    </row>
    <row r="23" spans="1:21" ht="16" x14ac:dyDescent="0.2">
      <c r="A23" s="4" t="s">
        <v>15</v>
      </c>
      <c r="B23" s="69">
        <f>SUM(B17:B22)</f>
        <v>718632</v>
      </c>
      <c r="C23" s="64">
        <f>SUM(C17:C22)</f>
        <v>1422</v>
      </c>
      <c r="D23" s="8">
        <v>0</v>
      </c>
      <c r="E23" s="64">
        <f>E18</f>
        <v>1087</v>
      </c>
      <c r="F23" s="64">
        <f>SUM(F17:F22)</f>
        <v>1735</v>
      </c>
      <c r="G23" s="64">
        <f>SUM(G17:G22)</f>
        <v>311994</v>
      </c>
      <c r="H23" s="8">
        <v>0</v>
      </c>
      <c r="I23" s="8"/>
      <c r="J23" s="8"/>
      <c r="K23" s="8"/>
      <c r="L23" s="8"/>
      <c r="M23" s="64"/>
      <c r="N23" s="8"/>
      <c r="O23" s="70">
        <f>SUM(O17:O22)</f>
        <v>316238</v>
      </c>
      <c r="P23" s="3"/>
      <c r="Q23" s="3"/>
      <c r="R23" s="3"/>
      <c r="S23" s="55" t="s">
        <v>58</v>
      </c>
      <c r="T23" s="12">
        <f>G42/1000</f>
        <v>1237.0909999999999</v>
      </c>
      <c r="U23" s="14">
        <f>G43</f>
        <v>0.1583463354228887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139.02699999999999</v>
      </c>
      <c r="U25" s="13">
        <f>F43</f>
        <v>1.7795308489705244E-2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51.94</v>
      </c>
      <c r="U26" s="13">
        <f>E43</f>
        <v>6.6482648906708072E-3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71</v>
      </c>
      <c r="M29" s="6" t="s">
        <v>72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2949</v>
      </c>
      <c r="U29" s="13">
        <f>I43</f>
        <v>0.37746887105483656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18452</v>
      </c>
      <c r="D31" s="8">
        <v>0</v>
      </c>
      <c r="E31" s="8">
        <v>0</v>
      </c>
      <c r="F31" s="8">
        <v>1875</v>
      </c>
      <c r="G31" s="8">
        <v>0</v>
      </c>
      <c r="H31" s="8">
        <v>0</v>
      </c>
      <c r="I31" s="8"/>
      <c r="J31" s="8"/>
      <c r="K31" s="8"/>
      <c r="L31" s="8"/>
      <c r="M31" s="27"/>
      <c r="N31" s="72">
        <v>7117</v>
      </c>
      <c r="O31" s="8">
        <v>27445</v>
      </c>
      <c r="P31" s="17">
        <f>O31/O$39</f>
        <v>3.3835338221468161E-3</v>
      </c>
      <c r="Q31" s="18" t="s">
        <v>33</v>
      </c>
      <c r="R31" s="3"/>
      <c r="S31" s="57" t="str">
        <f>L29</f>
        <v>Beckolja</v>
      </c>
      <c r="T31" s="12">
        <f>L42/1000</f>
        <v>240</v>
      </c>
      <c r="U31" s="46">
        <f>L43</f>
        <v>3.071974535542922E-2</v>
      </c>
    </row>
    <row r="32" spans="1:21" ht="16" x14ac:dyDescent="0.2">
      <c r="A32" s="4" t="s">
        <v>35</v>
      </c>
      <c r="B32" s="64">
        <v>32685</v>
      </c>
      <c r="C32" s="8">
        <v>28693</v>
      </c>
      <c r="D32" s="8">
        <v>0</v>
      </c>
      <c r="E32" s="83">
        <v>50853</v>
      </c>
      <c r="F32" s="82">
        <v>1500</v>
      </c>
      <c r="G32" s="82">
        <f>O32-N32-M32-L32-F32-E32-C32-B32-I32</f>
        <v>853897</v>
      </c>
      <c r="H32" s="8">
        <v>0</v>
      </c>
      <c r="I32" s="82">
        <v>2949000</v>
      </c>
      <c r="J32" s="8"/>
      <c r="K32" s="8"/>
      <c r="L32" s="82">
        <v>240000</v>
      </c>
      <c r="M32" s="82">
        <v>37489</v>
      </c>
      <c r="N32" s="70">
        <f>N39-N38-N37-N36-N35-N34-N33-N31</f>
        <v>756187.00000000023</v>
      </c>
      <c r="O32" s="69">
        <f>4657831+292473</f>
        <v>4950304</v>
      </c>
      <c r="P32" s="17">
        <f>O32/O$39</f>
        <v>0.61029407957400883</v>
      </c>
      <c r="Q32" s="18" t="s">
        <v>36</v>
      </c>
      <c r="R32" s="3"/>
      <c r="S32" s="57" t="str">
        <f>M29</f>
        <v>Metanol</v>
      </c>
      <c r="T32" s="9">
        <f>M42</f>
        <v>37489</v>
      </c>
      <c r="U32" s="46">
        <f>M43</f>
        <v>4.7985522234570257E-3</v>
      </c>
    </row>
    <row r="33" spans="1:48" ht="16" x14ac:dyDescent="0.2">
      <c r="A33" s="4" t="s">
        <v>37</v>
      </c>
      <c r="B33" s="64">
        <v>103181</v>
      </c>
      <c r="C33" s="8">
        <v>3815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2"/>
      <c r="M33" s="85"/>
      <c r="N33" s="8">
        <v>99613</v>
      </c>
      <c r="O33" s="70">
        <f>SUM(B33:N33)</f>
        <v>206609</v>
      </c>
      <c r="P33" s="17">
        <f>O33/O$39</f>
        <v>2.5471617396973276E-2</v>
      </c>
      <c r="Q33" s="18" t="s">
        <v>38</v>
      </c>
      <c r="R33" s="3"/>
      <c r="S33" s="55" t="s">
        <v>34</v>
      </c>
      <c r="T33" s="12">
        <f>C42/1000</f>
        <v>1677.8420000000001</v>
      </c>
      <c r="U33" s="14">
        <f>C43</f>
        <v>0.21476199577768365</v>
      </c>
    </row>
    <row r="34" spans="1:48" ht="16" x14ac:dyDescent="0.2">
      <c r="A34" s="4" t="s">
        <v>39</v>
      </c>
      <c r="B34" s="8">
        <v>0</v>
      </c>
      <c r="C34" s="8">
        <v>1517107</v>
      </c>
      <c r="D34" s="8">
        <v>0</v>
      </c>
      <c r="E34" s="8">
        <v>0</v>
      </c>
      <c r="F34" s="8">
        <v>133917</v>
      </c>
      <c r="G34" s="8">
        <v>0</v>
      </c>
      <c r="H34" s="8">
        <v>0</v>
      </c>
      <c r="I34" s="8"/>
      <c r="J34" s="8"/>
      <c r="K34" s="8"/>
      <c r="L34" s="82"/>
      <c r="M34" s="85"/>
      <c r="N34" s="8">
        <v>2277</v>
      </c>
      <c r="O34" s="8">
        <v>1653301</v>
      </c>
      <c r="P34" s="17">
        <f>O34/O$39</f>
        <v>0.20382582808122257</v>
      </c>
      <c r="Q34" s="18" t="s">
        <v>40</v>
      </c>
      <c r="R34" s="3"/>
      <c r="S34" s="3"/>
      <c r="T34" s="12">
        <f>SUM(T22:T33)</f>
        <v>45264.07576</v>
      </c>
      <c r="U34" s="13">
        <f>SUM(U22:U33)</f>
        <v>1.0000000000000002</v>
      </c>
    </row>
    <row r="35" spans="1:48" ht="16" x14ac:dyDescent="0.2">
      <c r="A35" s="4" t="s">
        <v>41</v>
      </c>
      <c r="B35" s="64">
        <v>69361</v>
      </c>
      <c r="C35" s="8">
        <v>107479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2"/>
      <c r="M35" s="85"/>
      <c r="N35" s="8">
        <v>281887</v>
      </c>
      <c r="O35" s="69">
        <f>SUM(B35:N35)</f>
        <v>458727</v>
      </c>
      <c r="P35" s="17">
        <f>O35/O$39</f>
        <v>5.6553773715866007E-2</v>
      </c>
      <c r="Q35" s="18" t="s">
        <v>42</v>
      </c>
      <c r="R35" s="18"/>
    </row>
    <row r="36" spans="1:48" ht="16" x14ac:dyDescent="0.2">
      <c r="A36" s="4" t="s">
        <v>43</v>
      </c>
      <c r="B36" s="61">
        <f>463816-B37</f>
        <v>83023.064000000013</v>
      </c>
      <c r="C36" s="8">
        <v>763</v>
      </c>
      <c r="D36" s="8">
        <v>0</v>
      </c>
      <c r="E36" s="8">
        <v>0</v>
      </c>
      <c r="F36" s="8">
        <v>0</v>
      </c>
      <c r="G36" s="70">
        <f>71200</f>
        <v>71200</v>
      </c>
      <c r="H36" s="8">
        <v>0</v>
      </c>
      <c r="I36" s="8"/>
      <c r="J36" s="8"/>
      <c r="K36" s="8"/>
      <c r="L36" s="82"/>
      <c r="M36" s="85"/>
      <c r="N36" s="8">
        <v>203128</v>
      </c>
      <c r="O36" s="69">
        <f>SUM(B36:N36)</f>
        <v>358114.06400000001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61">
        <f>463816*0.821</f>
        <v>380792.93599999999</v>
      </c>
      <c r="C37" s="8">
        <v>111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2"/>
      <c r="M37" s="85"/>
      <c r="N37" s="70">
        <f>O37-C37-B37</f>
        <v>65514.064000000013</v>
      </c>
      <c r="O37" s="8">
        <v>446418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2"/>
      <c r="M38" s="85"/>
      <c r="N38" s="70">
        <v>10423.935999999754</v>
      </c>
      <c r="O38" s="70">
        <v>10423.935999999754</v>
      </c>
      <c r="P38" s="18">
        <f>SUM(P31:P35)</f>
        <v>0.89952883259021743</v>
      </c>
      <c r="Q38" s="18"/>
      <c r="R38" s="3"/>
      <c r="S38" s="7" t="s">
        <v>46</v>
      </c>
      <c r="T38" s="19">
        <f>O45/1000</f>
        <v>163.68076000000002</v>
      </c>
      <c r="U38" s="7"/>
    </row>
    <row r="39" spans="1:48" ht="16" x14ac:dyDescent="0.2">
      <c r="A39" s="4" t="s">
        <v>15</v>
      </c>
      <c r="B39" s="61">
        <v>669043</v>
      </c>
      <c r="C39" s="8">
        <v>1676420</v>
      </c>
      <c r="D39" s="8">
        <v>0</v>
      </c>
      <c r="E39" s="83">
        <f>SUM(E31:E38)</f>
        <v>50853</v>
      </c>
      <c r="F39" s="70">
        <f>SUM(F31:F38)</f>
        <v>137292</v>
      </c>
      <c r="G39" s="70">
        <f>SUM(G31:G38)</f>
        <v>925097</v>
      </c>
      <c r="H39" s="8">
        <v>0</v>
      </c>
      <c r="I39" s="82">
        <f>SUM(I32)</f>
        <v>2949000</v>
      </c>
      <c r="J39" s="8"/>
      <c r="K39" s="8"/>
      <c r="L39" s="82">
        <f>SUM(L32:L38)</f>
        <v>240000</v>
      </c>
      <c r="M39" s="82">
        <f>SUM(M32:M38)</f>
        <v>37489</v>
      </c>
      <c r="N39" s="72">
        <v>1426147</v>
      </c>
      <c r="O39" s="69">
        <f>SUM(O31:O38)</f>
        <v>8111342</v>
      </c>
      <c r="P39" s="3"/>
      <c r="Q39" s="3"/>
      <c r="R39" s="3"/>
      <c r="S39" s="7" t="s">
        <v>47</v>
      </c>
      <c r="T39" s="20">
        <f>O41/1000</f>
        <v>814.95599999999979</v>
      </c>
      <c r="U39" s="13">
        <f>P41</f>
        <v>0.10047116740978247</v>
      </c>
    </row>
    <row r="40" spans="1:48" x14ac:dyDescent="0.2">
      <c r="B40" s="9"/>
      <c r="N40" s="9"/>
      <c r="S40" s="7" t="s">
        <v>48</v>
      </c>
      <c r="T40" s="20">
        <f>O35/1000</f>
        <v>458.72699999999998</v>
      </c>
      <c r="U40" s="14">
        <f>P35</f>
        <v>5.6553773715866007E-2</v>
      </c>
    </row>
    <row r="41" spans="1:48" ht="16" x14ac:dyDescent="0.2">
      <c r="A41" s="21" t="s">
        <v>49</v>
      </c>
      <c r="B41" s="22">
        <f>B38+B37+B36</f>
        <v>463816</v>
      </c>
      <c r="C41" s="22">
        <f t="shared" ref="C41:O41" si="0">C38+C37+C36</f>
        <v>874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71200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279065.99999999977</v>
      </c>
      <c r="O41" s="22">
        <f t="shared" si="0"/>
        <v>814955.99999999977</v>
      </c>
      <c r="P41" s="17">
        <f>O41/O$39</f>
        <v>0.10047116740978247</v>
      </c>
      <c r="Q41" s="17" t="s">
        <v>50</v>
      </c>
      <c r="R41" s="7"/>
      <c r="S41" s="7" t="s">
        <v>51</v>
      </c>
      <c r="T41" s="20">
        <f>O33/1000</f>
        <v>206.60900000000001</v>
      </c>
      <c r="U41" s="13">
        <f>P33</f>
        <v>2.5471617396973276E-2</v>
      </c>
    </row>
    <row r="42" spans="1:48" ht="16" x14ac:dyDescent="0.2">
      <c r="A42" s="23" t="s">
        <v>52</v>
      </c>
      <c r="B42" s="22"/>
      <c r="C42" s="24">
        <f>C39+C23+C10</f>
        <v>1677842</v>
      </c>
      <c r="D42" s="24">
        <f t="shared" ref="D42:M42" si="1">D39+D23+D10</f>
        <v>0</v>
      </c>
      <c r="E42" s="24">
        <f t="shared" si="1"/>
        <v>51940</v>
      </c>
      <c r="F42" s="24">
        <f t="shared" si="1"/>
        <v>139027</v>
      </c>
      <c r="G42" s="24">
        <f t="shared" si="1"/>
        <v>1237091</v>
      </c>
      <c r="H42" s="24">
        <f t="shared" si="1"/>
        <v>0</v>
      </c>
      <c r="I42" s="24">
        <f t="shared" si="1"/>
        <v>2949000</v>
      </c>
      <c r="J42" s="24">
        <f t="shared" si="1"/>
        <v>0</v>
      </c>
      <c r="K42" s="24">
        <f t="shared" si="1"/>
        <v>0</v>
      </c>
      <c r="L42" s="24">
        <f t="shared" si="1"/>
        <v>240000</v>
      </c>
      <c r="M42" s="24">
        <f t="shared" si="1"/>
        <v>37489</v>
      </c>
      <c r="N42" s="24">
        <f>N39+N23-B6+N45</f>
        <v>1480175.76</v>
      </c>
      <c r="O42" s="25">
        <f>SUM(C42:N42)</f>
        <v>7812564.7599999998</v>
      </c>
      <c r="P42" s="7"/>
      <c r="Q42" s="7"/>
      <c r="R42" s="7"/>
      <c r="S42" s="7" t="s">
        <v>33</v>
      </c>
      <c r="T42" s="20">
        <f>O31/1000</f>
        <v>27.445</v>
      </c>
      <c r="U42" s="13">
        <f>P31</f>
        <v>3.3835338221468161E-3</v>
      </c>
    </row>
    <row r="43" spans="1:48" ht="16" x14ac:dyDescent="0.2">
      <c r="A43" s="23" t="s">
        <v>53</v>
      </c>
      <c r="B43" s="22"/>
      <c r="C43" s="17">
        <f t="shared" ref="C43:N43" si="2">C42/$O42</f>
        <v>0.21476199577768365</v>
      </c>
      <c r="D43" s="17">
        <f t="shared" si="2"/>
        <v>0</v>
      </c>
      <c r="E43" s="17">
        <f t="shared" si="2"/>
        <v>6.6482648906708072E-3</v>
      </c>
      <c r="F43" s="17">
        <f t="shared" si="2"/>
        <v>1.7795308489705244E-2</v>
      </c>
      <c r="G43" s="17">
        <f t="shared" si="2"/>
        <v>0.1583463354228887</v>
      </c>
      <c r="H43" s="17">
        <f t="shared" si="2"/>
        <v>0</v>
      </c>
      <c r="I43" s="17">
        <f t="shared" si="2"/>
        <v>0.37746887105483656</v>
      </c>
      <c r="J43" s="17">
        <f t="shared" si="2"/>
        <v>0</v>
      </c>
      <c r="K43" s="17">
        <f t="shared" si="2"/>
        <v>0</v>
      </c>
      <c r="L43" s="17">
        <f t="shared" si="2"/>
        <v>3.071974535542922E-2</v>
      </c>
      <c r="M43" s="17">
        <f t="shared" si="2"/>
        <v>4.7985522234570257E-3</v>
      </c>
      <c r="N43" s="17">
        <f t="shared" si="2"/>
        <v>0.18946092678532883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4950.3040000000001</v>
      </c>
      <c r="U43" s="14">
        <f>P32</f>
        <v>0.61029407957400883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1653.3009999999999</v>
      </c>
      <c r="U44" s="14">
        <f>P34</f>
        <v>0.20382582808122257</v>
      </c>
    </row>
    <row r="45" spans="1:48" ht="16" x14ac:dyDescent="0.2">
      <c r="A45" s="6" t="s">
        <v>56</v>
      </c>
      <c r="B45" s="6">
        <f>B23-B39</f>
        <v>49589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114091.76000000001</v>
      </c>
      <c r="O45" s="25">
        <f>B45+N45</f>
        <v>163680.76</v>
      </c>
      <c r="P45" s="7"/>
      <c r="Q45" s="7"/>
      <c r="R45" s="7"/>
      <c r="S45" s="7" t="s">
        <v>57</v>
      </c>
      <c r="T45" s="20">
        <f>SUM(T39:T44)</f>
        <v>8111.3419999999987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T50" s="8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6" x14ac:dyDescent="0.2">
      <c r="A51" s="3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T51" s="8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37"/>
      <c r="B52" s="3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ht="16" x14ac:dyDescent="0.2">
      <c r="A53" s="37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ht="16" x14ac:dyDescent="0.2">
      <c r="A54" s="37"/>
      <c r="B54" s="3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ht="16" x14ac:dyDescent="0.2">
      <c r="A55" s="40"/>
      <c r="B55" s="37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8"/>
      <c r="Q55" s="8"/>
      <c r="R55" s="8"/>
      <c r="S55" s="8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E56" s="38"/>
      <c r="F56" s="38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x14ac:dyDescent="0.2">
      <c r="E57" s="38"/>
      <c r="F57" s="38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37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37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</row>
    <row r="58" spans="1:48" x14ac:dyDescent="0.2">
      <c r="A58" s="5"/>
      <c r="B58" s="7"/>
      <c r="C58" s="28"/>
      <c r="D58" s="28"/>
      <c r="E58" s="38"/>
      <c r="F58" s="39"/>
      <c r="G58" s="38"/>
      <c r="H58" s="38"/>
      <c r="I58" s="38"/>
      <c r="J58" s="38"/>
      <c r="K58" s="38"/>
      <c r="L58" s="38"/>
      <c r="M58" s="40"/>
      <c r="N58" s="38"/>
      <c r="O58" s="38"/>
      <c r="P58" s="40"/>
      <c r="Q58" s="40"/>
      <c r="R58" s="37"/>
      <c r="S58" s="37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37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1:48" ht="16" x14ac:dyDescent="0.2">
      <c r="A59" s="5"/>
      <c r="C59" s="6"/>
      <c r="D59" s="6"/>
      <c r="E59" s="38"/>
      <c r="F59" s="39"/>
      <c r="G59" s="38"/>
      <c r="H59" s="38"/>
      <c r="I59" s="38"/>
      <c r="J59" s="38"/>
      <c r="K59" s="38"/>
      <c r="L59" s="38"/>
      <c r="M59" s="40"/>
      <c r="N59" s="38"/>
      <c r="O59" s="38"/>
      <c r="P59" s="40"/>
      <c r="Q59" s="40"/>
      <c r="R59" s="37"/>
      <c r="S59" s="7"/>
      <c r="T59" s="6"/>
      <c r="U59" s="30"/>
    </row>
    <row r="60" spans="1:48" ht="16" x14ac:dyDescent="0.2">
      <c r="A60" s="5"/>
      <c r="B60" s="74"/>
      <c r="C60" s="6"/>
      <c r="D60" s="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D61" s="31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6"/>
      <c r="U61" s="30"/>
    </row>
    <row r="62" spans="1:48" ht="16" x14ac:dyDescent="0.2">
      <c r="A62" s="5"/>
      <c r="B62" s="74"/>
      <c r="C62" s="6"/>
      <c r="E62" s="28"/>
      <c r="F62" s="28"/>
      <c r="G62" s="28"/>
      <c r="H62" s="28"/>
      <c r="I62" s="28"/>
      <c r="J62" s="28"/>
      <c r="K62" s="28"/>
      <c r="L62" s="6"/>
      <c r="M62" s="29"/>
      <c r="N62" s="7"/>
      <c r="O62" s="6"/>
      <c r="P62" s="13"/>
      <c r="Q62" s="7"/>
      <c r="R62" s="7"/>
      <c r="S62" s="7"/>
      <c r="T62" s="6"/>
      <c r="U62" s="30"/>
    </row>
    <row r="63" spans="1:48" ht="16" x14ac:dyDescent="0.2">
      <c r="A63" s="5"/>
      <c r="B63" s="74"/>
      <c r="C63" s="6"/>
      <c r="E63" s="28"/>
      <c r="F63" s="28"/>
      <c r="G63" s="28"/>
      <c r="H63" s="28"/>
      <c r="I63" s="28"/>
      <c r="J63" s="28"/>
      <c r="K63" s="28"/>
      <c r="L63" s="6"/>
      <c r="M63" s="29"/>
      <c r="N63" s="7"/>
      <c r="O63" s="6"/>
      <c r="P63" s="13"/>
      <c r="Q63" s="7"/>
      <c r="R63" s="7"/>
      <c r="S63" s="7"/>
      <c r="T63" s="31"/>
      <c r="U63" s="32"/>
    </row>
    <row r="64" spans="1:48" ht="16" x14ac:dyDescent="0.2">
      <c r="A64" s="5"/>
      <c r="B64" s="74"/>
      <c r="C64" s="6"/>
      <c r="D64" s="9"/>
      <c r="E64" s="7"/>
      <c r="F64" s="7"/>
      <c r="G64" s="7"/>
      <c r="H64" s="7"/>
      <c r="I64" s="7"/>
      <c r="J64" s="7"/>
      <c r="K64" s="7"/>
      <c r="L64" s="6"/>
      <c r="M64" s="29"/>
      <c r="N64" s="7"/>
      <c r="O64" s="6"/>
      <c r="P64" s="13"/>
      <c r="Q64" s="7"/>
      <c r="R64" s="7"/>
      <c r="S64" s="7"/>
      <c r="T64" s="7"/>
      <c r="U64" s="6"/>
    </row>
    <row r="65" spans="1:21" x14ac:dyDescent="0.2">
      <c r="A65" s="5"/>
      <c r="B65" s="74"/>
      <c r="C65" s="6"/>
      <c r="E65" s="33"/>
      <c r="F65" s="33"/>
      <c r="G65" s="33"/>
      <c r="H65" s="33"/>
      <c r="I65" s="33"/>
      <c r="J65" s="7"/>
      <c r="K65" s="7"/>
      <c r="L65" s="7"/>
      <c r="M65" s="7"/>
      <c r="N65" s="7"/>
      <c r="O65" s="7"/>
      <c r="P65" s="7"/>
      <c r="Q65" s="7"/>
      <c r="R65" s="7"/>
      <c r="S65" s="7"/>
      <c r="T65" s="33"/>
      <c r="U65" s="34"/>
    </row>
    <row r="66" spans="1:21" ht="16" x14ac:dyDescent="0.2">
      <c r="C66" s="9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6"/>
      <c r="C70" s="6"/>
      <c r="D70" s="6"/>
      <c r="E70" s="6"/>
      <c r="F70" s="6"/>
      <c r="G70" s="6"/>
      <c r="H70" s="6"/>
      <c r="I70" s="6"/>
      <c r="J70" s="7"/>
      <c r="K70" s="7"/>
      <c r="L70" s="7"/>
      <c r="M70" s="7"/>
      <c r="N70" s="7"/>
      <c r="O70" s="7"/>
      <c r="P70" s="6"/>
      <c r="Q70" s="29"/>
      <c r="R70" s="7"/>
      <c r="S70" s="7"/>
      <c r="T70" s="6"/>
      <c r="U70" s="30"/>
    </row>
    <row r="71" spans="1:21" ht="16" x14ac:dyDescent="0.2">
      <c r="A71" s="7"/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7"/>
      <c r="N71" s="7"/>
      <c r="O71" s="7"/>
      <c r="P71" s="6"/>
      <c r="Q71" s="29"/>
      <c r="R71" s="7"/>
      <c r="S71" s="7"/>
      <c r="T71" s="6"/>
      <c r="U71" s="30"/>
    </row>
    <row r="72" spans="1:21" ht="16" x14ac:dyDescent="0.2">
      <c r="A72" s="7"/>
      <c r="B72" s="31"/>
      <c r="C72" s="31"/>
      <c r="D72" s="31"/>
      <c r="E72" s="31"/>
      <c r="F72" s="31"/>
      <c r="G72" s="31"/>
      <c r="H72" s="31"/>
      <c r="I72" s="31"/>
      <c r="J72" s="7"/>
      <c r="K72" s="7"/>
      <c r="L72" s="7"/>
      <c r="M72" s="7"/>
      <c r="N72" s="7"/>
      <c r="O72" s="7"/>
      <c r="P72" s="31"/>
      <c r="Q72" s="35"/>
      <c r="R72" s="7"/>
      <c r="S72" s="36"/>
      <c r="T72" s="31"/>
      <c r="U72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70"/>
  <sheetViews>
    <sheetView workbookViewId="0">
      <selection activeCell="J43" sqref="J43"/>
    </sheetView>
  </sheetViews>
  <sheetFormatPr baseColWidth="10" defaultColWidth="8.83203125" defaultRowHeight="15" x14ac:dyDescent="0.2"/>
  <cols>
    <col min="1" max="1" width="23.6640625" style="2" customWidth="1"/>
    <col min="2" max="14" width="8.33203125" style="2" customWidth="1"/>
    <col min="15" max="15" width="9.83203125" style="2" customWidth="1"/>
    <col min="16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66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0.95*167</f>
        <v>158.65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2">
        <v>9278</v>
      </c>
      <c r="C6" s="69">
        <v>0</v>
      </c>
      <c r="D6" s="69">
        <v>0</v>
      </c>
      <c r="E6" s="8">
        <v>0</v>
      </c>
      <c r="F6" s="8">
        <v>0</v>
      </c>
      <c r="G6" s="69">
        <v>0</v>
      </c>
      <c r="H6" s="8">
        <v>0</v>
      </c>
      <c r="I6" s="8"/>
      <c r="J6" s="69"/>
      <c r="K6" s="8"/>
      <c r="L6" s="8"/>
      <c r="M6" s="8"/>
      <c r="N6" s="8"/>
      <c r="O6" s="69">
        <f>SUM(C6:N6)</f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70">
        <f>B10-B9-B6-B4</f>
        <v>23426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5">
        <v>26873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53"/>
      <c r="U9" s="53"/>
      <c r="V9" s="8"/>
      <c r="W9" s="8"/>
      <c r="X9" s="8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15</v>
      </c>
      <c r="B10" s="69">
        <f>58672+B4+(9278-8373)</f>
        <v>59735.65</v>
      </c>
      <c r="C10" s="69">
        <f>SUM(C6:C9)</f>
        <v>0</v>
      </c>
      <c r="D10" s="69">
        <v>0</v>
      </c>
      <c r="E10" s="8">
        <v>0</v>
      </c>
      <c r="F10" s="8">
        <v>0</v>
      </c>
      <c r="G10" s="69">
        <f>SUM(G6:G9)</f>
        <v>0</v>
      </c>
      <c r="H10" s="8">
        <v>0</v>
      </c>
      <c r="I10" s="8"/>
      <c r="J10" s="83"/>
      <c r="K10" s="8"/>
      <c r="L10" s="8"/>
      <c r="M10" s="8"/>
      <c r="N10" s="8"/>
      <c r="O10" s="69">
        <f>SUM(O6:O9)</f>
        <v>0</v>
      </c>
      <c r="P10" s="8"/>
      <c r="Q10" s="27"/>
      <c r="R10" s="27"/>
      <c r="S10" s="4"/>
      <c r="T10" s="53"/>
      <c r="U10" s="53"/>
      <c r="V10" s="8"/>
      <c r="W10" s="8"/>
      <c r="X10" s="8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2">
        <v>229689</v>
      </c>
      <c r="C17" s="86">
        <f>865</f>
        <v>865</v>
      </c>
      <c r="D17" s="69">
        <v>0</v>
      </c>
      <c r="E17" s="82">
        <v>1723</v>
      </c>
      <c r="F17" s="8">
        <v>0</v>
      </c>
      <c r="G17" s="87">
        <f>176855</f>
        <v>176855</v>
      </c>
      <c r="H17" s="8">
        <v>0</v>
      </c>
      <c r="I17" s="8"/>
      <c r="J17" s="82">
        <f>87005</f>
        <v>87005</v>
      </c>
      <c r="K17" s="8"/>
      <c r="L17" s="8"/>
      <c r="M17" s="8"/>
      <c r="N17" s="82">
        <v>8785</v>
      </c>
      <c r="O17" s="86">
        <f>SUM(C17:N17)</f>
        <v>275233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70">
        <v>0</v>
      </c>
      <c r="C18" s="70">
        <v>0</v>
      </c>
      <c r="D18" s="8">
        <v>0</v>
      </c>
      <c r="E18" s="8">
        <v>0</v>
      </c>
      <c r="F18" s="8">
        <v>0</v>
      </c>
      <c r="G18" s="70">
        <v>0</v>
      </c>
      <c r="H18" s="8">
        <v>0</v>
      </c>
      <c r="I18" s="8"/>
      <c r="J18" s="8"/>
      <c r="K18" s="8"/>
      <c r="L18" s="8"/>
      <c r="M18" s="8"/>
      <c r="N18" s="8"/>
      <c r="O18" s="70">
        <v>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1939.32808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67"/>
      <c r="L21" s="68"/>
      <c r="M21" s="67"/>
      <c r="N21" s="67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994.40407999999991</v>
      </c>
      <c r="U22" s="13">
        <f>N43</f>
        <v>0.51275701633732851</v>
      </c>
    </row>
    <row r="23" spans="1:21" ht="16" x14ac:dyDescent="0.2">
      <c r="A23" s="4" t="s">
        <v>15</v>
      </c>
      <c r="B23" s="70">
        <f>SUM(B17:B22)</f>
        <v>229689</v>
      </c>
      <c r="C23" s="86">
        <f>SUM(C17:C22)</f>
        <v>865</v>
      </c>
      <c r="D23" s="69">
        <f>SUM(D17:D22)</f>
        <v>0</v>
      </c>
      <c r="E23" s="82">
        <f>SUM(E17:E22)</f>
        <v>1723</v>
      </c>
      <c r="F23" s="8">
        <v>0</v>
      </c>
      <c r="G23" s="87">
        <f>SUM(G17:G22)</f>
        <v>176855</v>
      </c>
      <c r="H23" s="8">
        <v>0</v>
      </c>
      <c r="I23" s="8"/>
      <c r="J23" s="82">
        <f>SUM(J17:J22)</f>
        <v>87005</v>
      </c>
      <c r="K23" s="8"/>
      <c r="L23" s="8"/>
      <c r="M23" s="8"/>
      <c r="N23" s="82">
        <f>SUM(N17:N22)</f>
        <v>8785</v>
      </c>
      <c r="O23" s="86">
        <f>SUM(O17:O21)</f>
        <v>275233</v>
      </c>
      <c r="P23" s="3"/>
      <c r="Q23" s="3"/>
      <c r="R23" s="3"/>
      <c r="S23" s="55" t="s">
        <v>58</v>
      </c>
      <c r="T23" s="12">
        <f>G42/1000</f>
        <v>235.244</v>
      </c>
      <c r="U23" s="14">
        <f>G43</f>
        <v>0.12130180675773022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87.004999999999995</v>
      </c>
      <c r="U24" s="13">
        <f>J43</f>
        <v>4.4863476632587093E-2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23.289000000000001</v>
      </c>
      <c r="U25" s="13">
        <f>F43</f>
        <v>1.2008798428783643E-2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250.86199999999999</v>
      </c>
      <c r="U26" s="13">
        <f>E43</f>
        <v>0.12935511148789222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70">
        <f>C39-C36-C35-C34-C33-C32</f>
        <v>10186</v>
      </c>
      <c r="D31" s="8">
        <v>0</v>
      </c>
      <c r="E31" s="8">
        <v>0</v>
      </c>
      <c r="F31" s="8">
        <v>818</v>
      </c>
      <c r="G31" s="8">
        <v>0</v>
      </c>
      <c r="H31" s="8">
        <v>0</v>
      </c>
      <c r="I31" s="8"/>
      <c r="J31" s="8"/>
      <c r="K31" s="8"/>
      <c r="L31" s="8"/>
      <c r="M31" s="27"/>
      <c r="N31" s="70">
        <f>O31-F31-C31</f>
        <v>5972</v>
      </c>
      <c r="O31" s="8">
        <v>16976</v>
      </c>
      <c r="P31" s="17">
        <f>O31/O$39</f>
        <v>9.3292922520601552E-3</v>
      </c>
      <c r="Q31" s="18" t="s">
        <v>33</v>
      </c>
      <c r="R31" s="3"/>
      <c r="S31" s="57" t="str">
        <f>L29</f>
        <v>Övrigt</v>
      </c>
      <c r="T31" s="12">
        <f>L42/1000</f>
        <v>0</v>
      </c>
      <c r="U31" s="46">
        <f>L43</f>
        <v>0</v>
      </c>
    </row>
    <row r="32" spans="1:21" ht="16" x14ac:dyDescent="0.2">
      <c r="A32" s="4" t="s">
        <v>35</v>
      </c>
      <c r="B32" s="8">
        <v>22874</v>
      </c>
      <c r="C32" s="8">
        <v>33328</v>
      </c>
      <c r="D32" s="8">
        <v>0</v>
      </c>
      <c r="E32" s="82">
        <v>249139</v>
      </c>
      <c r="F32" s="8">
        <v>0</v>
      </c>
      <c r="G32" s="70">
        <f>G39-G36</f>
        <v>889</v>
      </c>
      <c r="H32" s="8">
        <v>0</v>
      </c>
      <c r="I32" s="8"/>
      <c r="J32" s="8"/>
      <c r="K32" s="8"/>
      <c r="L32" s="8"/>
      <c r="M32" s="27"/>
      <c r="N32" s="70">
        <f>O32-G32-E32-C32-B32</f>
        <v>657087</v>
      </c>
      <c r="O32" s="8">
        <v>963317</v>
      </c>
      <c r="P32" s="17">
        <f>O32/O$39</f>
        <v>0.529398316704632</v>
      </c>
      <c r="Q32" s="18" t="s">
        <v>36</v>
      </c>
      <c r="R32" s="3"/>
      <c r="S32" s="57" t="str">
        <f>M29</f>
        <v>Övrigt</v>
      </c>
      <c r="T32" s="9">
        <f>M42</f>
        <v>0</v>
      </c>
      <c r="U32" s="46">
        <f>M43</f>
        <v>0</v>
      </c>
    </row>
    <row r="33" spans="1:48" ht="16" x14ac:dyDescent="0.2">
      <c r="A33" s="4" t="s">
        <v>37</v>
      </c>
      <c r="B33" s="8">
        <v>27186</v>
      </c>
      <c r="C33" s="8">
        <v>187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33512</v>
      </c>
      <c r="O33" s="8">
        <v>60886</v>
      </c>
      <c r="P33" s="17">
        <f>O33/O$39</f>
        <v>3.346037276501735E-2</v>
      </c>
      <c r="Q33" s="18" t="s">
        <v>38</v>
      </c>
      <c r="R33" s="3"/>
      <c r="S33" s="55" t="s">
        <v>34</v>
      </c>
      <c r="T33" s="12">
        <f>C42/1000</f>
        <v>348.524</v>
      </c>
      <c r="U33" s="14">
        <f>C43</f>
        <v>0.17971379035567822</v>
      </c>
    </row>
    <row r="34" spans="1:48" ht="16" x14ac:dyDescent="0.2">
      <c r="A34" s="4" t="s">
        <v>39</v>
      </c>
      <c r="B34" s="8">
        <v>0</v>
      </c>
      <c r="C34" s="8">
        <v>295702</v>
      </c>
      <c r="D34" s="8">
        <v>0</v>
      </c>
      <c r="E34" s="8">
        <v>0</v>
      </c>
      <c r="F34" s="8">
        <v>22471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680</v>
      </c>
      <c r="O34" s="8">
        <v>318853</v>
      </c>
      <c r="P34" s="17">
        <f>O34/O$39</f>
        <v>0.17522813515823141</v>
      </c>
      <c r="Q34" s="18" t="s">
        <v>40</v>
      </c>
      <c r="R34" s="3"/>
      <c r="S34" s="3"/>
      <c r="T34" s="12">
        <f>SUM(T22:T33)</f>
        <v>1939.3280800000002</v>
      </c>
      <c r="U34" s="13">
        <f>SUM(U22:U33)</f>
        <v>1</v>
      </c>
    </row>
    <row r="35" spans="1:48" ht="16" x14ac:dyDescent="0.2">
      <c r="A35" s="4" t="s">
        <v>41</v>
      </c>
      <c r="B35" s="8">
        <v>28534</v>
      </c>
      <c r="C35" s="8">
        <v>7837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84430</v>
      </c>
      <c r="O35" s="8">
        <v>120800</v>
      </c>
      <c r="P35" s="17">
        <f>O35/O$39</f>
        <v>6.6386575403444073E-2</v>
      </c>
      <c r="Q35" s="18" t="s">
        <v>42</v>
      </c>
      <c r="R35" s="18"/>
    </row>
    <row r="36" spans="1:48" ht="16" x14ac:dyDescent="0.2">
      <c r="A36" s="4" t="s">
        <v>43</v>
      </c>
      <c r="B36" s="8">
        <v>40430</v>
      </c>
      <c r="C36" s="70">
        <f>O36-N36-G36-B36</f>
        <v>419</v>
      </c>
      <c r="D36" s="8">
        <v>0</v>
      </c>
      <c r="E36" s="8">
        <v>0</v>
      </c>
      <c r="F36" s="8">
        <v>0</v>
      </c>
      <c r="G36" s="70">
        <v>57500</v>
      </c>
      <c r="H36" s="8">
        <v>0</v>
      </c>
      <c r="I36" s="8"/>
      <c r="J36" s="8"/>
      <c r="K36" s="8"/>
      <c r="L36" s="8"/>
      <c r="M36" s="27"/>
      <c r="N36" s="8">
        <v>111810</v>
      </c>
      <c r="O36" s="8">
        <v>210159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100945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18725</v>
      </c>
      <c r="O37" s="8">
        <v>119670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8985</v>
      </c>
      <c r="O38" s="8">
        <v>8985</v>
      </c>
      <c r="P38" s="18">
        <f>SUM(P31:P35)</f>
        <v>0.81380269228338498</v>
      </c>
      <c r="Q38" s="18"/>
      <c r="R38" s="3"/>
      <c r="S38" s="7" t="s">
        <v>46</v>
      </c>
      <c r="T38" s="19">
        <f>O45/1000</f>
        <v>83.416080000000008</v>
      </c>
      <c r="U38" s="7"/>
    </row>
    <row r="39" spans="1:48" ht="16" x14ac:dyDescent="0.2">
      <c r="A39" s="4" t="s">
        <v>15</v>
      </c>
      <c r="B39" s="8">
        <v>219969</v>
      </c>
      <c r="C39" s="8">
        <v>347659</v>
      </c>
      <c r="D39" s="8">
        <v>0</v>
      </c>
      <c r="E39" s="82">
        <f>SUM(E31:E38)</f>
        <v>249139</v>
      </c>
      <c r="F39" s="8">
        <v>23289</v>
      </c>
      <c r="G39" s="8">
        <v>58389</v>
      </c>
      <c r="H39" s="8">
        <v>0</v>
      </c>
      <c r="I39" s="8"/>
      <c r="J39" s="8"/>
      <c r="K39" s="8"/>
      <c r="L39" s="8"/>
      <c r="M39" s="27"/>
      <c r="N39" s="70">
        <f>SUM(N31:N38)</f>
        <v>921201</v>
      </c>
      <c r="O39" s="8">
        <v>1819645</v>
      </c>
      <c r="P39" s="3"/>
      <c r="Q39" s="3"/>
      <c r="R39" s="3"/>
      <c r="S39" s="7" t="s">
        <v>47</v>
      </c>
      <c r="T39" s="20">
        <f>O41/1000</f>
        <v>338.81400000000002</v>
      </c>
      <c r="U39" s="13">
        <f>P41</f>
        <v>0.18619785727435845</v>
      </c>
    </row>
    <row r="40" spans="1:48" x14ac:dyDescent="0.2">
      <c r="O40" s="9"/>
      <c r="S40" s="7" t="s">
        <v>48</v>
      </c>
      <c r="T40" s="20">
        <f>O35/1000</f>
        <v>120.8</v>
      </c>
      <c r="U40" s="14">
        <f>P35</f>
        <v>6.6386575403444073E-2</v>
      </c>
    </row>
    <row r="41" spans="1:48" ht="16" x14ac:dyDescent="0.2">
      <c r="A41" s="21" t="s">
        <v>49</v>
      </c>
      <c r="B41" s="22">
        <f>B38+B37+B36</f>
        <v>141375</v>
      </c>
      <c r="C41" s="22">
        <f t="shared" ref="C41:O41" si="0">C38+C37+C36</f>
        <v>419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57500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139520</v>
      </c>
      <c r="O41" s="22">
        <f t="shared" si="0"/>
        <v>338814</v>
      </c>
      <c r="P41" s="17">
        <f>O41/O$39</f>
        <v>0.18619785727435845</v>
      </c>
      <c r="Q41" s="17" t="s">
        <v>50</v>
      </c>
      <c r="R41" s="7"/>
      <c r="S41" s="7" t="s">
        <v>51</v>
      </c>
      <c r="T41" s="20">
        <f>O33/1000</f>
        <v>60.886000000000003</v>
      </c>
      <c r="U41" s="13">
        <f>P33</f>
        <v>3.346037276501735E-2</v>
      </c>
    </row>
    <row r="42" spans="1:48" ht="16" x14ac:dyDescent="0.2">
      <c r="A42" s="23" t="s">
        <v>52</v>
      </c>
      <c r="B42" s="22"/>
      <c r="C42" s="24">
        <f>C39+C23+C10</f>
        <v>348524</v>
      </c>
      <c r="D42" s="24">
        <f>D39+D23+J10</f>
        <v>0</v>
      </c>
      <c r="E42" s="24">
        <f t="shared" ref="E42:M42" si="1">E39+E23+E10</f>
        <v>250862</v>
      </c>
      <c r="F42" s="24">
        <f t="shared" si="1"/>
        <v>23289</v>
      </c>
      <c r="G42" s="24">
        <f t="shared" si="1"/>
        <v>235244</v>
      </c>
      <c r="H42" s="24">
        <f t="shared" si="1"/>
        <v>0</v>
      </c>
      <c r="I42" s="24">
        <f t="shared" si="1"/>
        <v>0</v>
      </c>
      <c r="J42" s="24">
        <f>J39+J23</f>
        <v>87005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994404.08</v>
      </c>
      <c r="O42" s="25">
        <f>SUM(C42:N42)</f>
        <v>1939328.08</v>
      </c>
      <c r="P42" s="7"/>
      <c r="Q42" s="7"/>
      <c r="R42" s="7"/>
      <c r="S42" s="7" t="s">
        <v>33</v>
      </c>
      <c r="T42" s="20">
        <f>O31/1000</f>
        <v>16.975999999999999</v>
      </c>
      <c r="U42" s="13">
        <f>P31</f>
        <v>9.3292922520601552E-3</v>
      </c>
    </row>
    <row r="43" spans="1:48" ht="16" x14ac:dyDescent="0.2">
      <c r="A43" s="23" t="s">
        <v>53</v>
      </c>
      <c r="B43" s="22"/>
      <c r="C43" s="17">
        <f t="shared" ref="C43:N43" si="2">C42/$O42</f>
        <v>0.17971379035567822</v>
      </c>
      <c r="D43" s="17">
        <f t="shared" si="2"/>
        <v>0</v>
      </c>
      <c r="E43" s="17">
        <f t="shared" si="2"/>
        <v>0.12935511148789222</v>
      </c>
      <c r="F43" s="17">
        <f t="shared" si="2"/>
        <v>1.2008798428783643E-2</v>
      </c>
      <c r="G43" s="17">
        <f t="shared" si="2"/>
        <v>0.12130180675773022</v>
      </c>
      <c r="H43" s="17">
        <f t="shared" si="2"/>
        <v>0</v>
      </c>
      <c r="I43" s="17">
        <f t="shared" si="2"/>
        <v>0</v>
      </c>
      <c r="J43" s="17">
        <f t="shared" si="2"/>
        <v>4.4863476632587093E-2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0.51275701633732851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963.31700000000001</v>
      </c>
      <c r="U43" s="14">
        <f>P32</f>
        <v>0.529398316704632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318.85300000000001</v>
      </c>
      <c r="U44" s="14">
        <f>P34</f>
        <v>0.17522813515823141</v>
      </c>
    </row>
    <row r="45" spans="1:48" ht="16" x14ac:dyDescent="0.2">
      <c r="A45" s="6" t="s">
        <v>56</v>
      </c>
      <c r="B45" s="6">
        <f>B23-B39</f>
        <v>9720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73696.08</v>
      </c>
      <c r="O45" s="25">
        <f>B45+N45</f>
        <v>83416.08</v>
      </c>
      <c r="P45" s="7"/>
      <c r="Q45" s="7"/>
      <c r="R45" s="7"/>
      <c r="S45" s="7" t="s">
        <v>57</v>
      </c>
      <c r="T45" s="20">
        <f>SUM(T39:T44)</f>
        <v>1819.6460000000002</v>
      </c>
      <c r="U45" s="13">
        <f>SUM(U39:U44)</f>
        <v>1.0000005495577433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8"/>
      <c r="O51" s="38"/>
      <c r="P51" s="40"/>
      <c r="Q51" s="40"/>
      <c r="R51" s="37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9"/>
      <c r="Q66" s="29"/>
      <c r="R66" s="7"/>
      <c r="S66" s="7"/>
      <c r="T66" s="6"/>
      <c r="U66" s="30"/>
    </row>
    <row r="67" spans="1:21" ht="16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29"/>
      <c r="R67" s="7"/>
      <c r="S67" s="7"/>
      <c r="T67" s="6"/>
      <c r="U67" s="30"/>
    </row>
    <row r="68" spans="1:21" ht="16" x14ac:dyDescent="0.2">
      <c r="A68" s="4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6"/>
      <c r="Q68" s="29"/>
      <c r="R68" s="66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70"/>
  <sheetViews>
    <sheetView topLeftCell="A13" workbookViewId="0">
      <selection activeCell="L30" sqref="L30"/>
    </sheetView>
  </sheetViews>
  <sheetFormatPr baseColWidth="10" defaultColWidth="8.83203125" defaultRowHeight="15" x14ac:dyDescent="0.2"/>
  <cols>
    <col min="1" max="1" width="23.6640625" style="2" customWidth="1"/>
    <col min="2" max="8" width="8.33203125" style="2" customWidth="1"/>
    <col min="9" max="9" width="9.33203125" style="2" customWidth="1"/>
    <col min="10" max="14" width="8.33203125" style="2" customWidth="1"/>
    <col min="15" max="15" width="9.6640625" style="2" customWidth="1"/>
    <col min="16" max="21" width="8.33203125" style="2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67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79" t="s">
        <v>70</v>
      </c>
      <c r="B4" s="64">
        <f>0.95*194</f>
        <v>184.29999999999998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2">
        <v>36000</v>
      </c>
      <c r="C6" s="69">
        <v>0</v>
      </c>
      <c r="D6" s="8">
        <v>0</v>
      </c>
      <c r="E6" s="8">
        <v>0</v>
      </c>
      <c r="F6" s="69">
        <v>0</v>
      </c>
      <c r="G6" s="69">
        <v>0</v>
      </c>
      <c r="H6" s="8">
        <v>0</v>
      </c>
      <c r="I6" s="8"/>
      <c r="J6" s="8"/>
      <c r="K6" s="8"/>
      <c r="L6" s="8"/>
      <c r="M6" s="8"/>
      <c r="N6" s="8"/>
      <c r="O6" s="69">
        <f>SUM(C6:N6)</f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69">
        <f>B10-B6-B4</f>
        <v>756318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9">
        <f>968479+B4-176161</f>
        <v>792502.3</v>
      </c>
      <c r="C10" s="69">
        <f>SUM(C6:C9)</f>
        <v>0</v>
      </c>
      <c r="D10" s="8">
        <v>0</v>
      </c>
      <c r="E10" s="8">
        <v>0</v>
      </c>
      <c r="F10" s="69">
        <f>SUM(F6:F9)</f>
        <v>0</v>
      </c>
      <c r="G10" s="69">
        <f>SUM(G6:G9)</f>
        <v>0</v>
      </c>
      <c r="H10" s="8">
        <v>0</v>
      </c>
      <c r="I10" s="8"/>
      <c r="J10" s="8"/>
      <c r="K10" s="8"/>
      <c r="L10" s="8"/>
      <c r="M10" s="8"/>
      <c r="N10" s="8"/>
      <c r="O10" s="69">
        <f>SUM(O6:O9)</f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69">
        <f>(112147+20876)+411</f>
        <v>133434</v>
      </c>
      <c r="C17" s="8">
        <v>358</v>
      </c>
      <c r="D17" s="8">
        <v>0</v>
      </c>
      <c r="E17" s="8">
        <v>90</v>
      </c>
      <c r="F17" s="8">
        <v>0</v>
      </c>
      <c r="G17" s="69">
        <f>149545+59900</f>
        <v>209445</v>
      </c>
      <c r="H17" s="8">
        <v>0</v>
      </c>
      <c r="I17" s="8"/>
      <c r="J17" s="8"/>
      <c r="K17" s="8"/>
      <c r="L17" s="8"/>
      <c r="M17" s="8"/>
      <c r="N17" s="8"/>
      <c r="O17" s="69">
        <f>SUM(C17:N17)</f>
        <v>209893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5272</v>
      </c>
      <c r="C18" s="8">
        <v>905</v>
      </c>
      <c r="D18" s="8">
        <v>0</v>
      </c>
      <c r="E18" s="8">
        <v>1663</v>
      </c>
      <c r="F18" s="8">
        <v>0</v>
      </c>
      <c r="G18" s="8">
        <v>3263</v>
      </c>
      <c r="H18" s="8">
        <v>0</v>
      </c>
      <c r="I18" s="8"/>
      <c r="J18" s="8"/>
      <c r="K18" s="8"/>
      <c r="L18" s="8"/>
      <c r="M18" s="8"/>
      <c r="N18" s="8"/>
      <c r="O18" s="8">
        <v>5832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69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3068.4692800000003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10793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6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5" t="s">
        <v>9</v>
      </c>
      <c r="T22" s="12">
        <f>N42/1000</f>
        <v>315.01728000000003</v>
      </c>
      <c r="U22" s="13">
        <f>N43</f>
        <v>0.1026626800708919</v>
      </c>
    </row>
    <row r="23" spans="1:21" ht="16" x14ac:dyDescent="0.2">
      <c r="A23" s="4" t="s">
        <v>15</v>
      </c>
      <c r="B23" s="8">
        <v>149499</v>
      </c>
      <c r="C23" s="8">
        <v>1264</v>
      </c>
      <c r="D23" s="8">
        <v>0</v>
      </c>
      <c r="E23" s="8">
        <v>1752</v>
      </c>
      <c r="F23" s="8">
        <v>0</v>
      </c>
      <c r="G23" s="69">
        <f>SUM(G17:G22)</f>
        <v>212708</v>
      </c>
      <c r="H23" s="8">
        <v>0</v>
      </c>
      <c r="I23" s="8"/>
      <c r="J23" s="8"/>
      <c r="K23" s="8"/>
      <c r="L23" s="8"/>
      <c r="M23" s="8"/>
      <c r="N23" s="8"/>
      <c r="O23" s="69">
        <f>SUM(O17:O22)</f>
        <v>215725</v>
      </c>
      <c r="P23" s="3"/>
      <c r="Q23" s="3"/>
      <c r="R23" s="3"/>
      <c r="S23" s="55" t="s">
        <v>58</v>
      </c>
      <c r="T23" s="12">
        <f>G42/1000</f>
        <v>577.40300000000002</v>
      </c>
      <c r="U23" s="14">
        <f>G43</f>
        <v>0.18817297724421081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6" t="str">
        <f>J29</f>
        <v>Torv</v>
      </c>
      <c r="T24" s="12">
        <f>J42/1000</f>
        <v>0</v>
      </c>
      <c r="U24" s="13">
        <f>J43</f>
        <v>0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5" t="s">
        <v>30</v>
      </c>
      <c r="T25" s="12">
        <f>F42/1000</f>
        <v>29.164000000000001</v>
      </c>
      <c r="U25" s="13">
        <f>F43</f>
        <v>9.5044132232602954E-3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5" t="s">
        <v>3</v>
      </c>
      <c r="T26" s="11">
        <f>E42/1000</f>
        <v>2.34</v>
      </c>
      <c r="U26" s="13">
        <f>E43</f>
        <v>7.6259521816037206E-4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7" t="str">
        <f>D29</f>
        <v>Kol och koks</v>
      </c>
      <c r="T27" s="2">
        <f>D42/1000</f>
        <v>0</v>
      </c>
      <c r="U27" s="46">
        <f>D43</f>
        <v>0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7" t="str">
        <f>K29</f>
        <v>Avfall</v>
      </c>
      <c r="T28" s="2">
        <f>K42/1000</f>
        <v>0</v>
      </c>
      <c r="U28" s="46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74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6" t="str">
        <f>I29</f>
        <v>Avlutar</v>
      </c>
      <c r="T29" s="12">
        <f>I42/1000</f>
        <v>1391.0609999999999</v>
      </c>
      <c r="U29" s="13">
        <f>I43</f>
        <v>0.45334037041426722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6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3017</v>
      </c>
      <c r="D31" s="8">
        <v>0</v>
      </c>
      <c r="E31" s="8">
        <v>0</v>
      </c>
      <c r="F31" s="8">
        <v>297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5963</v>
      </c>
      <c r="O31" s="8">
        <v>9277</v>
      </c>
      <c r="P31" s="17">
        <f>O31/O$39</f>
        <v>3.0942259682172264E-3</v>
      </c>
      <c r="Q31" s="18" t="s">
        <v>33</v>
      </c>
      <c r="R31" s="3"/>
      <c r="S31" s="57" t="str">
        <f>L29</f>
        <v>Tallbeckolja</v>
      </c>
      <c r="T31" s="12">
        <f>L42/1000</f>
        <v>178.5</v>
      </c>
      <c r="U31" s="46">
        <f>L43</f>
        <v>5.817232753915659E-2</v>
      </c>
    </row>
    <row r="32" spans="1:21" ht="16" x14ac:dyDescent="0.2">
      <c r="A32" s="4" t="s">
        <v>35</v>
      </c>
      <c r="B32" s="8">
        <v>9704</v>
      </c>
      <c r="C32" s="69">
        <f>164253+2891</f>
        <v>167144</v>
      </c>
      <c r="D32" s="8">
        <v>0</v>
      </c>
      <c r="E32" s="69">
        <v>588</v>
      </c>
      <c r="F32" s="69">
        <v>0</v>
      </c>
      <c r="G32" s="69">
        <f>O32-N32-M32-L32-I32-E32-C32-B32</f>
        <v>304810</v>
      </c>
      <c r="H32" s="8">
        <v>0</v>
      </c>
      <c r="I32" s="82">
        <v>1391061</v>
      </c>
      <c r="J32" s="8"/>
      <c r="K32" s="8"/>
      <c r="L32" s="82">
        <v>178500</v>
      </c>
      <c r="M32" s="8">
        <v>47514</v>
      </c>
      <c r="N32" s="69">
        <f>298344-176161</f>
        <v>122183</v>
      </c>
      <c r="O32" s="8">
        <v>2221504</v>
      </c>
      <c r="P32" s="17">
        <f>O32/O$39</f>
        <v>0.74095455053340964</v>
      </c>
      <c r="Q32" s="18" t="s">
        <v>36</v>
      </c>
      <c r="R32" s="3"/>
      <c r="S32" s="57" t="str">
        <f>M29</f>
        <v>Övrigt</v>
      </c>
      <c r="T32" s="9">
        <f>M42</f>
        <v>47514</v>
      </c>
      <c r="U32" s="46">
        <f>M43</f>
        <v>1.5484593673364067E-2</v>
      </c>
    </row>
    <row r="33" spans="1:48" ht="16" x14ac:dyDescent="0.2">
      <c r="A33" s="4" t="s">
        <v>37</v>
      </c>
      <c r="B33" s="8">
        <v>23754</v>
      </c>
      <c r="C33" s="8">
        <v>476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18674</v>
      </c>
      <c r="O33" s="8">
        <v>42904</v>
      </c>
      <c r="P33" s="17">
        <f>O33/O$39</f>
        <v>1.4310086336142273E-2</v>
      </c>
      <c r="Q33" s="18" t="s">
        <v>38</v>
      </c>
      <c r="R33" s="3"/>
      <c r="S33" s="55" t="s">
        <v>34</v>
      </c>
      <c r="T33" s="12">
        <f>C42/1000</f>
        <v>527.47</v>
      </c>
      <c r="U33" s="14">
        <f>C43</f>
        <v>0.17190004261668865</v>
      </c>
    </row>
    <row r="34" spans="1:48" ht="16" x14ac:dyDescent="0.2">
      <c r="A34" s="4" t="s">
        <v>39</v>
      </c>
      <c r="B34" s="8">
        <v>0</v>
      </c>
      <c r="C34" s="8">
        <v>341321</v>
      </c>
      <c r="D34" s="8">
        <v>0</v>
      </c>
      <c r="E34" s="8">
        <v>0</v>
      </c>
      <c r="F34" s="8">
        <v>28867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2736</v>
      </c>
      <c r="O34" s="8">
        <v>372924</v>
      </c>
      <c r="P34" s="17">
        <f>O34/O$39</f>
        <v>0.12438408159657657</v>
      </c>
      <c r="Q34" s="18" t="s">
        <v>40</v>
      </c>
      <c r="R34" s="3"/>
      <c r="S34" s="3"/>
      <c r="T34" s="12">
        <f>SUM(T22:T33)</f>
        <v>50534.955280000002</v>
      </c>
      <c r="U34" s="13">
        <f>SUM(U22:U33)</f>
        <v>0.99999999999999989</v>
      </c>
    </row>
    <row r="35" spans="1:48" ht="16" x14ac:dyDescent="0.2">
      <c r="A35" s="4" t="s">
        <v>41</v>
      </c>
      <c r="B35" s="8">
        <v>20176</v>
      </c>
      <c r="C35" s="8">
        <v>13239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60828</v>
      </c>
      <c r="O35" s="8">
        <v>94243</v>
      </c>
      <c r="P35" s="17">
        <f>O35/O$39</f>
        <v>3.1433560194318859E-2</v>
      </c>
      <c r="Q35" s="18" t="s">
        <v>42</v>
      </c>
      <c r="R35" s="18"/>
    </row>
    <row r="36" spans="1:48" ht="16" x14ac:dyDescent="0.2">
      <c r="A36" s="4" t="s">
        <v>43</v>
      </c>
      <c r="B36" s="8">
        <v>14815</v>
      </c>
      <c r="C36" s="8">
        <v>746</v>
      </c>
      <c r="D36" s="8">
        <v>0</v>
      </c>
      <c r="E36" s="8">
        <v>0</v>
      </c>
      <c r="F36" s="8">
        <v>0</v>
      </c>
      <c r="G36" s="8">
        <v>59885</v>
      </c>
      <c r="H36" s="8">
        <v>0</v>
      </c>
      <c r="I36" s="8"/>
      <c r="J36" s="8"/>
      <c r="K36" s="8"/>
      <c r="L36" s="8"/>
      <c r="M36" s="27"/>
      <c r="N36" s="8">
        <v>88436</v>
      </c>
      <c r="O36" s="8">
        <v>163882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66972</v>
      </c>
      <c r="C37" s="8">
        <v>263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12364</v>
      </c>
      <c r="O37" s="8">
        <v>79599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13832</v>
      </c>
      <c r="O38" s="8">
        <v>13832</v>
      </c>
      <c r="P38" s="18">
        <f>SUM(P31:P35)</f>
        <v>0.91417650462866451</v>
      </c>
      <c r="Q38" s="18"/>
      <c r="R38" s="3"/>
      <c r="S38" s="7" t="s">
        <v>46</v>
      </c>
      <c r="T38" s="19">
        <f>O45/1000</f>
        <v>40.079279999999997</v>
      </c>
      <c r="U38" s="7"/>
    </row>
    <row r="39" spans="1:48" ht="16" x14ac:dyDescent="0.2">
      <c r="A39" s="4" t="s">
        <v>15</v>
      </c>
      <c r="B39" s="8">
        <v>135421</v>
      </c>
      <c r="C39" s="69">
        <f>SUM(C31:C38)</f>
        <v>526206</v>
      </c>
      <c r="D39" s="8">
        <v>0</v>
      </c>
      <c r="E39" s="69">
        <f>SUM(E31:E38)</f>
        <v>588</v>
      </c>
      <c r="F39" s="69">
        <f>SUM(F31:F38)</f>
        <v>29164</v>
      </c>
      <c r="G39" s="69">
        <f>SUM(G31:G38)</f>
        <v>364695</v>
      </c>
      <c r="H39" s="8">
        <v>0</v>
      </c>
      <c r="I39" s="82">
        <f>SUM(I32:I38)</f>
        <v>1391061</v>
      </c>
      <c r="J39" s="82"/>
      <c r="K39" s="82"/>
      <c r="L39" s="82">
        <f>SUM(L32:L38)</f>
        <v>178500</v>
      </c>
      <c r="M39" s="82">
        <f>SUM(M32:M38)</f>
        <v>47514</v>
      </c>
      <c r="N39" s="69">
        <f>SUM(N31:N38)</f>
        <v>325016</v>
      </c>
      <c r="O39" s="8">
        <v>2998165</v>
      </c>
      <c r="P39" s="3"/>
      <c r="Q39" s="3"/>
      <c r="R39" s="3"/>
      <c r="S39" s="7" t="s">
        <v>47</v>
      </c>
      <c r="T39" s="20">
        <f>O41/1000</f>
        <v>257.31299999999999</v>
      </c>
      <c r="U39" s="13">
        <f>P41</f>
        <v>8.5823495371335462E-2</v>
      </c>
    </row>
    <row r="40" spans="1:48" x14ac:dyDescent="0.2">
      <c r="O40" s="9"/>
      <c r="S40" s="7" t="s">
        <v>48</v>
      </c>
      <c r="T40" s="20">
        <f>O35/1000</f>
        <v>94.242999999999995</v>
      </c>
      <c r="U40" s="14">
        <f>P35</f>
        <v>3.1433560194318859E-2</v>
      </c>
    </row>
    <row r="41" spans="1:48" ht="16" x14ac:dyDescent="0.2">
      <c r="A41" s="21" t="s">
        <v>49</v>
      </c>
      <c r="B41" s="22">
        <f>B38+B37+B36</f>
        <v>81787</v>
      </c>
      <c r="C41" s="22">
        <f t="shared" ref="C41:O41" si="0">C38+C37+C36</f>
        <v>1009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59885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114632</v>
      </c>
      <c r="O41" s="22">
        <f t="shared" si="0"/>
        <v>257313</v>
      </c>
      <c r="P41" s="17">
        <f>O41/O$39</f>
        <v>8.5823495371335462E-2</v>
      </c>
      <c r="Q41" s="17" t="s">
        <v>50</v>
      </c>
      <c r="R41" s="7"/>
      <c r="S41" s="7" t="s">
        <v>51</v>
      </c>
      <c r="T41" s="20">
        <f>O33/1000</f>
        <v>42.904000000000003</v>
      </c>
      <c r="U41" s="13">
        <f>P33</f>
        <v>1.4310086336142273E-2</v>
      </c>
    </row>
    <row r="42" spans="1:48" ht="16" x14ac:dyDescent="0.2">
      <c r="A42" s="23" t="s">
        <v>52</v>
      </c>
      <c r="B42" s="22"/>
      <c r="C42" s="24">
        <f>C39+C23+C10</f>
        <v>527470</v>
      </c>
      <c r="D42" s="24">
        <f t="shared" ref="D42:M42" si="1">D39+D23+D10</f>
        <v>0</v>
      </c>
      <c r="E42" s="24">
        <f t="shared" si="1"/>
        <v>2340</v>
      </c>
      <c r="F42" s="24">
        <f t="shared" si="1"/>
        <v>29164</v>
      </c>
      <c r="G42" s="24">
        <f t="shared" si="1"/>
        <v>577403</v>
      </c>
      <c r="H42" s="24">
        <f t="shared" si="1"/>
        <v>0</v>
      </c>
      <c r="I42" s="24">
        <f t="shared" si="1"/>
        <v>1391061</v>
      </c>
      <c r="J42" s="24">
        <f t="shared" si="1"/>
        <v>0</v>
      </c>
      <c r="K42" s="24">
        <f t="shared" si="1"/>
        <v>0</v>
      </c>
      <c r="L42" s="24">
        <f t="shared" si="1"/>
        <v>178500</v>
      </c>
      <c r="M42" s="24">
        <f t="shared" si="1"/>
        <v>47514</v>
      </c>
      <c r="N42" s="24">
        <f>N39+N23-B6+N45</f>
        <v>315017.28000000003</v>
      </c>
      <c r="O42" s="25">
        <f>SUM(C42:N42)</f>
        <v>3068469.2800000003</v>
      </c>
      <c r="P42" s="7"/>
      <c r="Q42" s="7"/>
      <c r="R42" s="7"/>
      <c r="S42" s="7" t="s">
        <v>33</v>
      </c>
      <c r="T42" s="20">
        <f>O31/1000</f>
        <v>9.2769999999999992</v>
      </c>
      <c r="U42" s="13">
        <f>P31</f>
        <v>3.0942259682172264E-3</v>
      </c>
    </row>
    <row r="43" spans="1:48" ht="16" x14ac:dyDescent="0.2">
      <c r="A43" s="23" t="s">
        <v>53</v>
      </c>
      <c r="B43" s="22"/>
      <c r="C43" s="17">
        <f t="shared" ref="C43:N43" si="2">C42/$O42</f>
        <v>0.17190004261668865</v>
      </c>
      <c r="D43" s="17">
        <f t="shared" si="2"/>
        <v>0</v>
      </c>
      <c r="E43" s="17">
        <f t="shared" si="2"/>
        <v>7.6259521816037206E-4</v>
      </c>
      <c r="F43" s="17">
        <f t="shared" si="2"/>
        <v>9.5044132232602954E-3</v>
      </c>
      <c r="G43" s="17">
        <f t="shared" si="2"/>
        <v>0.18817297724421081</v>
      </c>
      <c r="H43" s="17">
        <f t="shared" si="2"/>
        <v>0</v>
      </c>
      <c r="I43" s="17">
        <f t="shared" si="2"/>
        <v>0.45334037041426722</v>
      </c>
      <c r="J43" s="17">
        <f t="shared" si="2"/>
        <v>0</v>
      </c>
      <c r="K43" s="17">
        <f t="shared" si="2"/>
        <v>0</v>
      </c>
      <c r="L43" s="17">
        <f t="shared" si="2"/>
        <v>5.817232753915659E-2</v>
      </c>
      <c r="M43" s="17">
        <f t="shared" si="2"/>
        <v>1.5484593673364067E-2</v>
      </c>
      <c r="N43" s="17">
        <f t="shared" si="2"/>
        <v>0.1026626800708919</v>
      </c>
      <c r="O43" s="17">
        <f>SUM(C43:N43)</f>
        <v>0.99999999999999989</v>
      </c>
      <c r="P43" s="7"/>
      <c r="Q43" s="7"/>
      <c r="R43" s="7"/>
      <c r="S43" s="7" t="s">
        <v>54</v>
      </c>
      <c r="T43" s="20">
        <f>O32/1000</f>
        <v>2221.5039999999999</v>
      </c>
      <c r="U43" s="14">
        <f>P32</f>
        <v>0.74095455053340964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372.92399999999998</v>
      </c>
      <c r="U44" s="14">
        <f>P34</f>
        <v>0.12438408159657657</v>
      </c>
    </row>
    <row r="45" spans="1:48" ht="16" x14ac:dyDescent="0.2">
      <c r="A45" s="6" t="s">
        <v>56</v>
      </c>
      <c r="B45" s="6">
        <f>B23-B39</f>
        <v>14078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26001.279999999999</v>
      </c>
      <c r="O45" s="25">
        <f>B45+N45</f>
        <v>40079.279999999999</v>
      </c>
      <c r="P45" s="7"/>
      <c r="Q45" s="7"/>
      <c r="R45" s="7"/>
      <c r="S45" s="7" t="s">
        <v>57</v>
      </c>
      <c r="T45" s="20">
        <f>SUM(T39:T44)</f>
        <v>2998.165</v>
      </c>
      <c r="U45" s="13">
        <f>SUM(U39:U44)</f>
        <v>1</v>
      </c>
    </row>
    <row r="46" spans="1:48" ht="16" x14ac:dyDescent="0.2">
      <c r="A46" s="6"/>
      <c r="B46" s="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37"/>
      <c r="B50" s="8"/>
      <c r="C50" s="8"/>
      <c r="D50" s="8"/>
      <c r="E50" s="73"/>
      <c r="F50" s="8"/>
      <c r="G50" s="8"/>
      <c r="I50" s="8"/>
      <c r="J50" s="8"/>
      <c r="K50" s="8"/>
      <c r="L50" s="72"/>
      <c r="M50" s="8"/>
      <c r="N50" s="8"/>
      <c r="O50" s="8"/>
      <c r="P50" s="8"/>
      <c r="Q50" s="8"/>
      <c r="R50" s="8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6" x14ac:dyDescent="0.2">
      <c r="A51" s="3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/>
      <c r="Q52" s="40"/>
      <c r="R52" s="37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8"/>
      <c r="O53" s="38"/>
      <c r="P53" s="40"/>
      <c r="Q53" s="40"/>
      <c r="R53" s="37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5"/>
      <c r="B54" s="7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40"/>
      <c r="N54" s="38"/>
      <c r="O54" s="38"/>
      <c r="P54" s="40"/>
      <c r="Q54" s="40"/>
      <c r="R54" s="37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5"/>
      <c r="C55" s="6"/>
      <c r="D55" s="6"/>
      <c r="E55" s="38"/>
      <c r="F55" s="38"/>
      <c r="G55" s="38"/>
      <c r="H55" s="38"/>
      <c r="I55" s="38"/>
      <c r="J55" s="38"/>
      <c r="K55" s="38"/>
      <c r="L55" s="38"/>
      <c r="M55" s="40"/>
      <c r="N55" s="38"/>
      <c r="O55" s="38"/>
      <c r="P55" s="40"/>
      <c r="Q55" s="40"/>
      <c r="R55" s="37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5"/>
      <c r="B56" s="74"/>
      <c r="C56" s="6"/>
      <c r="D56" s="6"/>
      <c r="E56" s="38"/>
      <c r="F56" s="39"/>
      <c r="G56" s="38"/>
      <c r="H56" s="38"/>
      <c r="I56" s="38"/>
      <c r="J56" s="38"/>
      <c r="K56" s="38"/>
      <c r="L56" s="38"/>
      <c r="M56" s="40"/>
      <c r="N56" s="38"/>
      <c r="O56" s="38"/>
      <c r="P56" s="40"/>
      <c r="Q56" s="40"/>
      <c r="R56" s="37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5"/>
      <c r="B57" s="74"/>
      <c r="C57" s="6"/>
      <c r="D57" s="31"/>
      <c r="E57" s="38"/>
      <c r="F57" s="39"/>
      <c r="G57" s="38"/>
      <c r="H57" s="38"/>
      <c r="I57" s="38"/>
      <c r="J57" s="38"/>
      <c r="K57" s="38"/>
      <c r="L57" s="38"/>
      <c r="M57" s="40"/>
      <c r="N57" s="38"/>
      <c r="O57" s="38"/>
      <c r="P57" s="40"/>
      <c r="Q57" s="40"/>
      <c r="R57" s="37"/>
      <c r="S57" s="7"/>
      <c r="T57" s="6"/>
      <c r="U57" s="30"/>
    </row>
    <row r="58" spans="1:48" ht="16" x14ac:dyDescent="0.2">
      <c r="A58" s="5"/>
      <c r="B58" s="74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7"/>
      <c r="T58" s="6"/>
      <c r="U58" s="30"/>
    </row>
    <row r="59" spans="1:48" ht="16" x14ac:dyDescent="0.2">
      <c r="A59" s="5"/>
      <c r="B59" s="74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7"/>
      <c r="T59" s="6"/>
      <c r="U59" s="30"/>
    </row>
    <row r="60" spans="1:48" ht="16" x14ac:dyDescent="0.2">
      <c r="A60" s="5"/>
      <c r="B60" s="74"/>
      <c r="C60" s="6"/>
      <c r="D60" s="9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7"/>
      <c r="T60" s="6"/>
      <c r="U60" s="30"/>
    </row>
    <row r="61" spans="1:48" ht="16" x14ac:dyDescent="0.2">
      <c r="A61" s="5"/>
      <c r="B61" s="74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3"/>
      <c r="Q61" s="7"/>
      <c r="R61" s="7"/>
      <c r="S61" s="7"/>
      <c r="T61" s="31"/>
      <c r="U61" s="32"/>
    </row>
    <row r="62" spans="1:48" ht="16" x14ac:dyDescent="0.2">
      <c r="C62" s="9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3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9"/>
      <c r="Q66" s="29"/>
      <c r="R66" s="7"/>
      <c r="S66" s="7"/>
      <c r="T66" s="6"/>
      <c r="U66" s="30"/>
    </row>
    <row r="67" spans="1:21" ht="16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29"/>
      <c r="R67" s="7"/>
      <c r="S67" s="7"/>
      <c r="T67" s="6"/>
      <c r="U67" s="30"/>
    </row>
    <row r="68" spans="1:21" ht="16" x14ac:dyDescent="0.2">
      <c r="A68" s="4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6"/>
      <c r="Q68" s="29"/>
      <c r="R68" s="66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30DFB87-3D25-44A0-B543-14EAA4A7DCC9}"/>
</file>

<file path=customXml/itemProps2.xml><?xml version="1.0" encoding="utf-8"?>
<ds:datastoreItem xmlns:ds="http://schemas.openxmlformats.org/officeDocument/2006/customXml" ds:itemID="{4A3DD4F5-FB1F-465E-B8A8-52A0F9BC1AFD}"/>
</file>

<file path=customXml/itemProps3.xml><?xml version="1.0" encoding="utf-8"?>
<ds:datastoreItem xmlns:ds="http://schemas.openxmlformats.org/officeDocument/2006/customXml" ds:itemID="{4F130F42-D7C1-4CDE-9DF7-F7AAB5392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Gävleborg</vt:lpstr>
      <vt:lpstr>Ockelbo</vt:lpstr>
      <vt:lpstr>Hofors</vt:lpstr>
      <vt:lpstr>Ovanåker</vt:lpstr>
      <vt:lpstr>Nordanstig</vt:lpstr>
      <vt:lpstr>Ljusdal</vt:lpstr>
      <vt:lpstr>Gävle</vt:lpstr>
      <vt:lpstr>Sandviken</vt:lpstr>
      <vt:lpstr>Söderhamn</vt:lpstr>
      <vt:lpstr>Bollnäs</vt:lpstr>
      <vt:lpstr>Hudiksvall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2016-02-15T22:09:51Z</dcterms:created>
  <dcterms:modified xsi:type="dcterms:W3CDTF">2017-08-29T13:05:50Z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