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omments3.xml" ContentType="application/vnd.openxmlformats-officedocument.spreadsheetml.comments+xml"/>
  <Override PartName="/xl/comments5.xml" ContentType="application/vnd.openxmlformats-officedocument.spreadsheetml.comments+xml"/>
  <Override PartName="/xl/comments2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715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Kaj/RushFiles/Energistatistik+LEKS+2017/Energibalanser till kund/"/>
    </mc:Choice>
  </mc:AlternateContent>
  <bookViews>
    <workbookView xWindow="0" yWindow="460" windowWidth="28800" windowHeight="17460" tabRatio="736"/>
  </bookViews>
  <sheets>
    <sheet name="Halland" sheetId="10" r:id="rId1"/>
    <sheet name="Hylte" sheetId="2" r:id="rId2"/>
    <sheet name="Halmstad" sheetId="3" r:id="rId3"/>
    <sheet name="Laholm" sheetId="4" r:id="rId4"/>
    <sheet name="Falkenberg" sheetId="5" r:id="rId5"/>
    <sheet name="Varberg" sheetId="6" r:id="rId6"/>
    <sheet name="Kungsbacka" sheetId="7" r:id="rId7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26" i="10" l="1"/>
  <c r="U25" i="10"/>
  <c r="T25" i="10"/>
  <c r="C42" i="10"/>
  <c r="O42" i="10"/>
  <c r="M43" i="10"/>
  <c r="U32" i="10"/>
  <c r="T32" i="10"/>
  <c r="L42" i="6"/>
  <c r="E32" i="6"/>
  <c r="O32" i="6"/>
  <c r="E35" i="6"/>
  <c r="O35" i="6"/>
  <c r="E36" i="6"/>
  <c r="O36" i="6"/>
  <c r="O37" i="6"/>
  <c r="O39" i="6"/>
  <c r="N39" i="6"/>
  <c r="N32" i="2"/>
  <c r="G32" i="3"/>
  <c r="C34" i="3"/>
  <c r="C35" i="3"/>
  <c r="B35" i="3"/>
  <c r="B32" i="3"/>
  <c r="N32" i="3"/>
  <c r="N32" i="10"/>
  <c r="N31" i="10"/>
  <c r="B37" i="7"/>
  <c r="B36" i="7"/>
  <c r="B33" i="7"/>
  <c r="N33" i="7"/>
  <c r="N33" i="10"/>
  <c r="N39" i="7"/>
  <c r="N37" i="7"/>
  <c r="B35" i="7"/>
  <c r="N35" i="7"/>
  <c r="N34" i="7"/>
  <c r="N34" i="10"/>
  <c r="N35" i="10"/>
  <c r="N36" i="3"/>
  <c r="N36" i="10"/>
  <c r="N37" i="3"/>
  <c r="N37" i="10"/>
  <c r="N38" i="10"/>
  <c r="N39" i="10"/>
  <c r="N45" i="10"/>
  <c r="N17" i="10"/>
  <c r="N18" i="10"/>
  <c r="N23" i="10"/>
  <c r="B6" i="10"/>
  <c r="N42" i="10"/>
  <c r="C31" i="10"/>
  <c r="C34" i="7"/>
  <c r="C32" i="7"/>
  <c r="C32" i="10"/>
  <c r="C33" i="10"/>
  <c r="C34" i="10"/>
  <c r="C35" i="10"/>
  <c r="C36" i="10"/>
  <c r="C37" i="10"/>
  <c r="C38" i="10"/>
  <c r="C39" i="10"/>
  <c r="C17" i="10"/>
  <c r="C18" i="10"/>
  <c r="C23" i="10"/>
  <c r="C6" i="10"/>
  <c r="C7" i="10"/>
  <c r="C10" i="10"/>
  <c r="D31" i="10"/>
  <c r="D32" i="10"/>
  <c r="D33" i="10"/>
  <c r="D34" i="10"/>
  <c r="D35" i="10"/>
  <c r="D36" i="10"/>
  <c r="D37" i="10"/>
  <c r="D38" i="10"/>
  <c r="D39" i="10"/>
  <c r="D17" i="10"/>
  <c r="D18" i="10"/>
  <c r="D23" i="10"/>
  <c r="D6" i="10"/>
  <c r="D7" i="10"/>
  <c r="D10" i="10"/>
  <c r="D42" i="10"/>
  <c r="E31" i="10"/>
  <c r="O37" i="4"/>
  <c r="O36" i="4"/>
  <c r="G36" i="4"/>
  <c r="G32" i="4"/>
  <c r="E32" i="4"/>
  <c r="E39" i="5"/>
  <c r="E32" i="5"/>
  <c r="E32" i="10"/>
  <c r="E33" i="10"/>
  <c r="E35" i="10"/>
  <c r="E36" i="10"/>
  <c r="E37" i="10"/>
  <c r="E38" i="10"/>
  <c r="E39" i="10"/>
  <c r="E17" i="10"/>
  <c r="E18" i="10"/>
  <c r="E23" i="10"/>
  <c r="E6" i="10"/>
  <c r="E7" i="10"/>
  <c r="E10" i="10"/>
  <c r="E42" i="10"/>
  <c r="F31" i="10"/>
  <c r="F32" i="10"/>
  <c r="F33" i="10"/>
  <c r="F34" i="10"/>
  <c r="F35" i="10"/>
  <c r="F36" i="10"/>
  <c r="F37" i="10"/>
  <c r="F38" i="10"/>
  <c r="F39" i="10"/>
  <c r="F17" i="10"/>
  <c r="F18" i="10"/>
  <c r="F23" i="10"/>
  <c r="F6" i="10"/>
  <c r="F7" i="10"/>
  <c r="F10" i="10"/>
  <c r="F42" i="10"/>
  <c r="G31" i="10"/>
  <c r="G32" i="2"/>
  <c r="G36" i="7"/>
  <c r="G32" i="7"/>
  <c r="G32" i="10"/>
  <c r="G33" i="10"/>
  <c r="G34" i="10"/>
  <c r="G35" i="10"/>
  <c r="G36" i="10"/>
  <c r="G37" i="10"/>
  <c r="G38" i="10"/>
  <c r="G39" i="10"/>
  <c r="G17" i="3"/>
  <c r="G17" i="10"/>
  <c r="G18" i="5"/>
  <c r="G18" i="10"/>
  <c r="G23" i="10"/>
  <c r="G6" i="10"/>
  <c r="G7" i="10"/>
  <c r="G10" i="10"/>
  <c r="G42" i="10"/>
  <c r="H31" i="10"/>
  <c r="H32" i="10"/>
  <c r="H33" i="10"/>
  <c r="H35" i="10"/>
  <c r="H36" i="10"/>
  <c r="H37" i="10"/>
  <c r="H38" i="10"/>
  <c r="H39" i="10"/>
  <c r="H17" i="10"/>
  <c r="H18" i="10"/>
  <c r="H23" i="10"/>
  <c r="H6" i="10"/>
  <c r="H7" i="10"/>
  <c r="H10" i="10"/>
  <c r="H42" i="10"/>
  <c r="I31" i="10"/>
  <c r="I32" i="10"/>
  <c r="I33" i="10"/>
  <c r="I34" i="10"/>
  <c r="I35" i="10"/>
  <c r="I36" i="10"/>
  <c r="I37" i="10"/>
  <c r="I38" i="10"/>
  <c r="I39" i="10"/>
  <c r="I17" i="10"/>
  <c r="I18" i="10"/>
  <c r="I23" i="10"/>
  <c r="I6" i="10"/>
  <c r="I7" i="10"/>
  <c r="I10" i="10"/>
  <c r="I42" i="10"/>
  <c r="J31" i="10"/>
  <c r="J32" i="10"/>
  <c r="J33" i="10"/>
  <c r="J34" i="10"/>
  <c r="J35" i="10"/>
  <c r="J36" i="10"/>
  <c r="J37" i="10"/>
  <c r="J38" i="10"/>
  <c r="J39" i="10"/>
  <c r="J17" i="10"/>
  <c r="J18" i="10"/>
  <c r="J23" i="10"/>
  <c r="J6" i="10"/>
  <c r="J7" i="10"/>
  <c r="J10" i="10"/>
  <c r="J42" i="10"/>
  <c r="K31" i="10"/>
  <c r="K32" i="10"/>
  <c r="K33" i="10"/>
  <c r="K34" i="10"/>
  <c r="K35" i="10"/>
  <c r="K36" i="10"/>
  <c r="K37" i="10"/>
  <c r="K38" i="10"/>
  <c r="K39" i="10"/>
  <c r="K17" i="3"/>
  <c r="K17" i="10"/>
  <c r="K18" i="10"/>
  <c r="K23" i="10"/>
  <c r="K6" i="10"/>
  <c r="K7" i="10"/>
  <c r="K10" i="10"/>
  <c r="K42" i="10"/>
  <c r="L31" i="10"/>
  <c r="L32" i="10"/>
  <c r="L33" i="10"/>
  <c r="L34" i="10"/>
  <c r="L35" i="10"/>
  <c r="L36" i="10"/>
  <c r="L37" i="10"/>
  <c r="L38" i="10"/>
  <c r="L39" i="10"/>
  <c r="L17" i="10"/>
  <c r="L18" i="10"/>
  <c r="L23" i="10"/>
  <c r="L42" i="10"/>
  <c r="M31" i="10"/>
  <c r="M32" i="10"/>
  <c r="M33" i="10"/>
  <c r="M34" i="10"/>
  <c r="M35" i="10"/>
  <c r="M36" i="10"/>
  <c r="M37" i="10"/>
  <c r="M38" i="10"/>
  <c r="M39" i="10"/>
  <c r="M17" i="10"/>
  <c r="M18" i="10"/>
  <c r="M23" i="10"/>
  <c r="M6" i="10"/>
  <c r="M7" i="10"/>
  <c r="M10" i="10"/>
  <c r="M42" i="10"/>
  <c r="L43" i="10"/>
  <c r="S25" i="10"/>
  <c r="N43" i="10"/>
  <c r="U23" i="10"/>
  <c r="G43" i="10"/>
  <c r="U24" i="10"/>
  <c r="J43" i="10"/>
  <c r="E43" i="10"/>
  <c r="U27" i="10"/>
  <c r="D43" i="10"/>
  <c r="U28" i="10"/>
  <c r="K43" i="10"/>
  <c r="U29" i="10"/>
  <c r="I43" i="10"/>
  <c r="U30" i="10"/>
  <c r="H43" i="10"/>
  <c r="U31" i="10"/>
  <c r="C43" i="10"/>
  <c r="U33" i="10"/>
  <c r="U34" i="10"/>
  <c r="T23" i="10"/>
  <c r="T24" i="10"/>
  <c r="T26" i="10"/>
  <c r="T27" i="10"/>
  <c r="T28" i="10"/>
  <c r="T29" i="10"/>
  <c r="T30" i="10"/>
  <c r="T31" i="10"/>
  <c r="T33" i="10"/>
  <c r="T34" i="10"/>
  <c r="B32" i="7"/>
  <c r="B32" i="10"/>
  <c r="O32" i="10"/>
  <c r="B33" i="3"/>
  <c r="B33" i="10"/>
  <c r="O33" i="10"/>
  <c r="B34" i="10"/>
  <c r="O34" i="10"/>
  <c r="B35" i="10"/>
  <c r="O35" i="10"/>
  <c r="B36" i="10"/>
  <c r="O36" i="10"/>
  <c r="B37" i="10"/>
  <c r="O37" i="10"/>
  <c r="B38" i="10"/>
  <c r="O38" i="10"/>
  <c r="B31" i="10"/>
  <c r="O31" i="10"/>
  <c r="O39" i="10"/>
  <c r="B39" i="10"/>
  <c r="O18" i="10"/>
  <c r="O17" i="10"/>
  <c r="O23" i="10"/>
  <c r="B17" i="3"/>
  <c r="B17" i="10"/>
  <c r="B18" i="2"/>
  <c r="B18" i="7"/>
  <c r="B18" i="10"/>
  <c r="B19" i="10"/>
  <c r="B20" i="10"/>
  <c r="B21" i="10"/>
  <c r="B22" i="10"/>
  <c r="B23" i="10"/>
  <c r="L7" i="6"/>
  <c r="L7" i="10"/>
  <c r="N7" i="10"/>
  <c r="O7" i="10"/>
  <c r="L6" i="10"/>
  <c r="N6" i="10"/>
  <c r="O6" i="10"/>
  <c r="L10" i="10"/>
  <c r="N10" i="10"/>
  <c r="O10" i="10"/>
  <c r="B4" i="2"/>
  <c r="B4" i="3"/>
  <c r="B4" i="4"/>
  <c r="B4" i="5"/>
  <c r="B4" i="6"/>
  <c r="B4" i="7"/>
  <c r="B4" i="10"/>
  <c r="B7" i="10"/>
  <c r="B10" i="2"/>
  <c r="B8" i="2"/>
  <c r="B10" i="3"/>
  <c r="B8" i="3"/>
  <c r="B8" i="10"/>
  <c r="B9" i="10"/>
  <c r="B10" i="10"/>
  <c r="B10" i="6"/>
  <c r="D23" i="3"/>
  <c r="O39" i="2"/>
  <c r="O39" i="7"/>
  <c r="H39" i="6"/>
  <c r="O32" i="2"/>
  <c r="E39" i="2"/>
  <c r="E39" i="6"/>
  <c r="E39" i="4"/>
  <c r="B10" i="7"/>
  <c r="B10" i="5"/>
  <c r="B10" i="4"/>
  <c r="B39" i="4"/>
  <c r="N39" i="2"/>
  <c r="C10" i="6"/>
  <c r="O6" i="3"/>
  <c r="O10" i="3"/>
  <c r="O7" i="6"/>
  <c r="O10" i="6"/>
  <c r="D10" i="3"/>
  <c r="D42" i="3"/>
  <c r="T29" i="3"/>
  <c r="G10" i="3"/>
  <c r="K10" i="3"/>
  <c r="L10" i="6"/>
  <c r="M39" i="2"/>
  <c r="G39" i="2"/>
  <c r="O33" i="3"/>
  <c r="O38" i="3"/>
  <c r="O37" i="3"/>
  <c r="G39" i="6"/>
  <c r="F39" i="6"/>
  <c r="L39" i="6"/>
  <c r="I39" i="6"/>
  <c r="O32" i="7"/>
  <c r="O17" i="7"/>
  <c r="O18" i="7"/>
  <c r="O23" i="7"/>
  <c r="G23" i="7"/>
  <c r="F23" i="7"/>
  <c r="B23" i="7"/>
  <c r="B23" i="2"/>
  <c r="B23" i="4"/>
  <c r="B45" i="10"/>
  <c r="O18" i="5"/>
  <c r="O23" i="5"/>
  <c r="G23" i="5"/>
  <c r="N23" i="3"/>
  <c r="K23" i="3"/>
  <c r="G23" i="3"/>
  <c r="G23" i="2"/>
  <c r="E23" i="3"/>
  <c r="C23" i="3"/>
  <c r="O17" i="3"/>
  <c r="O23" i="3"/>
  <c r="O17" i="2"/>
  <c r="O18" i="2"/>
  <c r="O23" i="2"/>
  <c r="O18" i="4"/>
  <c r="O23" i="4"/>
  <c r="L23" i="2"/>
  <c r="D42" i="6"/>
  <c r="N45" i="6"/>
  <c r="N42" i="6"/>
  <c r="F42" i="6"/>
  <c r="G42" i="6"/>
  <c r="C42" i="6"/>
  <c r="E42" i="6"/>
  <c r="H42" i="6"/>
  <c r="I42" i="6"/>
  <c r="J42" i="6"/>
  <c r="K42" i="6"/>
  <c r="M42" i="6"/>
  <c r="O42" i="6"/>
  <c r="T21" i="6"/>
  <c r="E23" i="4"/>
  <c r="O41" i="10"/>
  <c r="P41" i="10"/>
  <c r="U39" i="10"/>
  <c r="P35" i="10"/>
  <c r="U40" i="10"/>
  <c r="P33" i="10"/>
  <c r="U41" i="10"/>
  <c r="P31" i="10"/>
  <c r="U42" i="10"/>
  <c r="P32" i="10"/>
  <c r="U43" i="10"/>
  <c r="P34" i="10"/>
  <c r="U44" i="10"/>
  <c r="U45" i="10"/>
  <c r="T39" i="10"/>
  <c r="T40" i="10"/>
  <c r="T41" i="10"/>
  <c r="T42" i="10"/>
  <c r="T43" i="10"/>
  <c r="T44" i="10"/>
  <c r="T45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P38" i="10"/>
  <c r="O41" i="2"/>
  <c r="P41" i="2"/>
  <c r="U39" i="2"/>
  <c r="P35" i="2"/>
  <c r="U40" i="2"/>
  <c r="P33" i="2"/>
  <c r="U41" i="2"/>
  <c r="P31" i="2"/>
  <c r="U42" i="2"/>
  <c r="P32" i="2"/>
  <c r="U43" i="2"/>
  <c r="P34" i="2"/>
  <c r="U44" i="2"/>
  <c r="U45" i="2"/>
  <c r="T39" i="2"/>
  <c r="T40" i="2"/>
  <c r="T41" i="2"/>
  <c r="T42" i="2"/>
  <c r="T43" i="2"/>
  <c r="T44" i="2"/>
  <c r="T45" i="2"/>
  <c r="B45" i="2"/>
  <c r="N45" i="2"/>
  <c r="O45" i="2"/>
  <c r="T38" i="2"/>
  <c r="P38" i="2"/>
  <c r="N42" i="2"/>
  <c r="C42" i="2"/>
  <c r="D42" i="2"/>
  <c r="E42" i="2"/>
  <c r="G42" i="2"/>
  <c r="M42" i="2"/>
  <c r="F42" i="2"/>
  <c r="H42" i="2"/>
  <c r="I42" i="2"/>
  <c r="J42" i="2"/>
  <c r="K42" i="2"/>
  <c r="L42" i="2"/>
  <c r="O42" i="2"/>
  <c r="N43" i="2"/>
  <c r="U24" i="2"/>
  <c r="G43" i="2"/>
  <c r="U25" i="2"/>
  <c r="J43" i="2"/>
  <c r="U26" i="2"/>
  <c r="F43" i="2"/>
  <c r="U27" i="2"/>
  <c r="E43" i="2"/>
  <c r="U28" i="2"/>
  <c r="D43" i="2"/>
  <c r="U29" i="2"/>
  <c r="K43" i="2"/>
  <c r="U30" i="2"/>
  <c r="I43" i="2"/>
  <c r="U31" i="2"/>
  <c r="H43" i="2"/>
  <c r="U32" i="2"/>
  <c r="U34" i="2"/>
  <c r="T24" i="2"/>
  <c r="T25" i="2"/>
  <c r="T28" i="2"/>
  <c r="T26" i="2"/>
  <c r="T27" i="2"/>
  <c r="T29" i="2"/>
  <c r="T30" i="2"/>
  <c r="T31" i="2"/>
  <c r="T32" i="2"/>
  <c r="T34" i="2"/>
  <c r="C43" i="2"/>
  <c r="U33" i="2"/>
  <c r="T33" i="2"/>
  <c r="T21" i="2"/>
  <c r="O41" i="3"/>
  <c r="P41" i="3"/>
  <c r="U39" i="3"/>
  <c r="P33" i="3"/>
  <c r="U41" i="3"/>
  <c r="P35" i="3"/>
  <c r="U40" i="3"/>
  <c r="P31" i="3"/>
  <c r="U42" i="3"/>
  <c r="P32" i="3"/>
  <c r="U43" i="3"/>
  <c r="P34" i="3"/>
  <c r="U44" i="3"/>
  <c r="U45" i="3"/>
  <c r="T39" i="3"/>
  <c r="T41" i="3"/>
  <c r="T40" i="3"/>
  <c r="T42" i="3"/>
  <c r="T43" i="3"/>
  <c r="T44" i="3"/>
  <c r="T45" i="3"/>
  <c r="B45" i="3"/>
  <c r="N45" i="3"/>
  <c r="O45" i="3"/>
  <c r="T38" i="3"/>
  <c r="P38" i="3"/>
  <c r="N42" i="3"/>
  <c r="C42" i="3"/>
  <c r="T24" i="3"/>
  <c r="G42" i="3"/>
  <c r="T25" i="3"/>
  <c r="T33" i="3"/>
  <c r="H42" i="3"/>
  <c r="T32" i="3"/>
  <c r="I42" i="3"/>
  <c r="T31" i="3"/>
  <c r="E42" i="3"/>
  <c r="T28" i="3"/>
  <c r="F42" i="3"/>
  <c r="T27" i="3"/>
  <c r="J42" i="3"/>
  <c r="T26" i="3"/>
  <c r="O41" i="4"/>
  <c r="P41" i="4"/>
  <c r="U39" i="4"/>
  <c r="P35" i="4"/>
  <c r="U40" i="4"/>
  <c r="P33" i="4"/>
  <c r="U41" i="4"/>
  <c r="P31" i="4"/>
  <c r="U42" i="4"/>
  <c r="P32" i="4"/>
  <c r="U43" i="4"/>
  <c r="P34" i="4"/>
  <c r="U44" i="4"/>
  <c r="U45" i="4"/>
  <c r="T39" i="4"/>
  <c r="T40" i="4"/>
  <c r="T41" i="4"/>
  <c r="T42" i="4"/>
  <c r="T43" i="4"/>
  <c r="T44" i="4"/>
  <c r="T45" i="4"/>
  <c r="B45" i="4"/>
  <c r="N45" i="4"/>
  <c r="O45" i="4"/>
  <c r="T38" i="4"/>
  <c r="P38" i="4"/>
  <c r="N42" i="4"/>
  <c r="C42" i="4"/>
  <c r="D42" i="4"/>
  <c r="E42" i="4"/>
  <c r="F42" i="4"/>
  <c r="G42" i="4"/>
  <c r="H42" i="4"/>
  <c r="I42" i="4"/>
  <c r="J42" i="4"/>
  <c r="K42" i="4"/>
  <c r="L42" i="4"/>
  <c r="M42" i="4"/>
  <c r="O42" i="4"/>
  <c r="N43" i="4"/>
  <c r="U24" i="4"/>
  <c r="G43" i="4"/>
  <c r="U25" i="4"/>
  <c r="J43" i="4"/>
  <c r="U26" i="4"/>
  <c r="F43" i="4"/>
  <c r="U27" i="4"/>
  <c r="E43" i="4"/>
  <c r="U28" i="4"/>
  <c r="D43" i="4"/>
  <c r="U29" i="4"/>
  <c r="K43" i="4"/>
  <c r="U30" i="4"/>
  <c r="I43" i="4"/>
  <c r="U31" i="4"/>
  <c r="H43" i="4"/>
  <c r="U32" i="4"/>
  <c r="U34" i="4"/>
  <c r="T24" i="4"/>
  <c r="T25" i="4"/>
  <c r="T26" i="4"/>
  <c r="T27" i="4"/>
  <c r="T28" i="4"/>
  <c r="T29" i="4"/>
  <c r="T30" i="4"/>
  <c r="T31" i="4"/>
  <c r="T32" i="4"/>
  <c r="T34" i="4"/>
  <c r="C43" i="4"/>
  <c r="U33" i="4"/>
  <c r="T33" i="4"/>
  <c r="T21" i="4"/>
  <c r="O41" i="5"/>
  <c r="P41" i="5"/>
  <c r="U39" i="5"/>
  <c r="P35" i="5"/>
  <c r="U40" i="5"/>
  <c r="P33" i="5"/>
  <c r="U41" i="5"/>
  <c r="P31" i="5"/>
  <c r="U42" i="5"/>
  <c r="P32" i="5"/>
  <c r="U43" i="5"/>
  <c r="P34" i="5"/>
  <c r="U44" i="5"/>
  <c r="U45" i="5"/>
  <c r="T39" i="5"/>
  <c r="T40" i="5"/>
  <c r="T41" i="5"/>
  <c r="T42" i="5"/>
  <c r="T43" i="5"/>
  <c r="T44" i="5"/>
  <c r="T45" i="5"/>
  <c r="B45" i="5"/>
  <c r="N45" i="5"/>
  <c r="O45" i="5"/>
  <c r="T38" i="5"/>
  <c r="P38" i="5"/>
  <c r="N42" i="5"/>
  <c r="C42" i="5"/>
  <c r="D42" i="5"/>
  <c r="E42" i="5"/>
  <c r="G42" i="5"/>
  <c r="F42" i="5"/>
  <c r="H42" i="5"/>
  <c r="I42" i="5"/>
  <c r="J42" i="5"/>
  <c r="K42" i="5"/>
  <c r="L42" i="5"/>
  <c r="M42" i="5"/>
  <c r="O42" i="5"/>
  <c r="N43" i="5"/>
  <c r="U24" i="5"/>
  <c r="G43" i="5"/>
  <c r="U25" i="5"/>
  <c r="J43" i="5"/>
  <c r="U26" i="5"/>
  <c r="F43" i="5"/>
  <c r="U27" i="5"/>
  <c r="E43" i="5"/>
  <c r="U28" i="5"/>
  <c r="D43" i="5"/>
  <c r="U29" i="5"/>
  <c r="K43" i="5"/>
  <c r="U30" i="5"/>
  <c r="I43" i="5"/>
  <c r="U31" i="5"/>
  <c r="H43" i="5"/>
  <c r="U32" i="5"/>
  <c r="U34" i="5"/>
  <c r="T24" i="5"/>
  <c r="T25" i="5"/>
  <c r="T26" i="5"/>
  <c r="T27" i="5"/>
  <c r="T28" i="5"/>
  <c r="T29" i="5"/>
  <c r="T30" i="5"/>
  <c r="T31" i="5"/>
  <c r="T32" i="5"/>
  <c r="T34" i="5"/>
  <c r="C43" i="5"/>
  <c r="U33" i="5"/>
  <c r="T33" i="5"/>
  <c r="T21" i="5"/>
  <c r="O41" i="6"/>
  <c r="P41" i="6"/>
  <c r="U39" i="6"/>
  <c r="P35" i="6"/>
  <c r="U40" i="6"/>
  <c r="P33" i="6"/>
  <c r="U41" i="6"/>
  <c r="P31" i="6"/>
  <c r="U42" i="6"/>
  <c r="P32" i="6"/>
  <c r="U43" i="6"/>
  <c r="P34" i="6"/>
  <c r="U44" i="6"/>
  <c r="U45" i="6"/>
  <c r="T39" i="6"/>
  <c r="T40" i="6"/>
  <c r="T41" i="6"/>
  <c r="T42" i="6"/>
  <c r="T43" i="6"/>
  <c r="T44" i="6"/>
  <c r="T45" i="6"/>
  <c r="B45" i="6"/>
  <c r="O45" i="6"/>
  <c r="T38" i="6"/>
  <c r="P38" i="6"/>
  <c r="N43" i="6"/>
  <c r="U24" i="6"/>
  <c r="G43" i="6"/>
  <c r="U25" i="6"/>
  <c r="J43" i="6"/>
  <c r="U26" i="6"/>
  <c r="F43" i="6"/>
  <c r="U27" i="6"/>
  <c r="E43" i="6"/>
  <c r="U28" i="6"/>
  <c r="D43" i="6"/>
  <c r="U29" i="6"/>
  <c r="K43" i="6"/>
  <c r="U30" i="6"/>
  <c r="I43" i="6"/>
  <c r="U31" i="6"/>
  <c r="H43" i="6"/>
  <c r="U32" i="6"/>
  <c r="U34" i="6"/>
  <c r="T24" i="6"/>
  <c r="T25" i="6"/>
  <c r="T29" i="6"/>
  <c r="T27" i="6"/>
  <c r="T28" i="6"/>
  <c r="T32" i="6"/>
  <c r="T26" i="6"/>
  <c r="T30" i="6"/>
  <c r="T31" i="6"/>
  <c r="T34" i="6"/>
  <c r="C43" i="6"/>
  <c r="U33" i="6"/>
  <c r="T33" i="6"/>
  <c r="O41" i="7"/>
  <c r="P41" i="7"/>
  <c r="U39" i="7"/>
  <c r="P35" i="7"/>
  <c r="U40" i="7"/>
  <c r="P33" i="7"/>
  <c r="U41" i="7"/>
  <c r="P31" i="7"/>
  <c r="U42" i="7"/>
  <c r="P32" i="7"/>
  <c r="U43" i="7"/>
  <c r="P34" i="7"/>
  <c r="U44" i="7"/>
  <c r="U45" i="7"/>
  <c r="T39" i="7"/>
  <c r="T40" i="7"/>
  <c r="T41" i="7"/>
  <c r="T42" i="7"/>
  <c r="T43" i="7"/>
  <c r="T44" i="7"/>
  <c r="T45" i="7"/>
  <c r="B45" i="7"/>
  <c r="N45" i="7"/>
  <c r="O45" i="7"/>
  <c r="T38" i="7"/>
  <c r="P38" i="7"/>
  <c r="N42" i="7"/>
  <c r="C42" i="7"/>
  <c r="D42" i="7"/>
  <c r="E42" i="7"/>
  <c r="F42" i="7"/>
  <c r="G42" i="7"/>
  <c r="L42" i="7"/>
  <c r="H42" i="7"/>
  <c r="I42" i="7"/>
  <c r="J42" i="7"/>
  <c r="K42" i="7"/>
  <c r="M42" i="7"/>
  <c r="O42" i="7"/>
  <c r="N43" i="7"/>
  <c r="U24" i="7"/>
  <c r="G43" i="7"/>
  <c r="U25" i="7"/>
  <c r="J43" i="7"/>
  <c r="U26" i="7"/>
  <c r="F43" i="7"/>
  <c r="U27" i="7"/>
  <c r="E43" i="7"/>
  <c r="U28" i="7"/>
  <c r="D43" i="7"/>
  <c r="U29" i="7"/>
  <c r="K43" i="7"/>
  <c r="U30" i="7"/>
  <c r="I43" i="7"/>
  <c r="U31" i="7"/>
  <c r="H43" i="7"/>
  <c r="U32" i="7"/>
  <c r="U34" i="7"/>
  <c r="T24" i="7"/>
  <c r="T25" i="7"/>
  <c r="T26" i="7"/>
  <c r="T27" i="7"/>
  <c r="T28" i="7"/>
  <c r="T29" i="7"/>
  <c r="T30" i="7"/>
  <c r="T31" i="7"/>
  <c r="T32" i="7"/>
  <c r="T34" i="7"/>
  <c r="C43" i="7"/>
  <c r="U33" i="7"/>
  <c r="T33" i="7"/>
  <c r="T21" i="7"/>
  <c r="L43" i="2"/>
  <c r="M43" i="2"/>
  <c r="O43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M42" i="3"/>
  <c r="L42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L43" i="4"/>
  <c r="M43" i="4"/>
  <c r="O43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L43" i="5"/>
  <c r="M43" i="5"/>
  <c r="O43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L43" i="6"/>
  <c r="M43" i="6"/>
  <c r="O43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L43" i="7"/>
  <c r="M43" i="7"/>
  <c r="O43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O45" i="10"/>
  <c r="T38" i="10"/>
  <c r="K42" i="3"/>
  <c r="T30" i="3"/>
  <c r="T34" i="3"/>
  <c r="O42" i="3"/>
  <c r="G43" i="3"/>
  <c r="U25" i="3"/>
  <c r="L43" i="3"/>
  <c r="J43" i="3"/>
  <c r="U26" i="3"/>
  <c r="M43" i="3"/>
  <c r="F43" i="3"/>
  <c r="U27" i="3"/>
  <c r="C43" i="3"/>
  <c r="H43" i="3"/>
  <c r="U32" i="3"/>
  <c r="E43" i="3"/>
  <c r="U28" i="3"/>
  <c r="I43" i="3"/>
  <c r="U31" i="3"/>
  <c r="K43" i="3"/>
  <c r="U30" i="3"/>
  <c r="T21" i="3"/>
  <c r="D43" i="3"/>
  <c r="U29" i="3"/>
  <c r="N43" i="3"/>
  <c r="U24" i="3"/>
  <c r="T20" i="10"/>
  <c r="F43" i="10"/>
  <c r="U33" i="3"/>
  <c r="O43" i="3"/>
  <c r="U34" i="3"/>
  <c r="O43" i="10"/>
</calcChain>
</file>

<file path=xl/comments1.xml><?xml version="1.0" encoding="utf-8"?>
<comments xmlns="http://schemas.openxmlformats.org/spreadsheetml/2006/main">
  <authors>
    <author>Kaj</author>
    <author>www.statistikdatabasen.scb.se</author>
    <author>Rickard</author>
  </authors>
  <commentList>
    <comment ref="N17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El till elpannor och värmepumpar.</t>
        </r>
      </text>
    </comment>
    <comment ref="A19" authorId="1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1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M29" authorId="2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Svärta, avloppslam, metanol, natriumformiat</t>
        </r>
      </text>
    </comment>
  </commentList>
</comments>
</file>

<file path=xl/comments2.xml><?xml version="1.0" encoding="utf-8"?>
<comments xmlns="http://schemas.openxmlformats.org/spreadsheetml/2006/main">
  <authors>
    <author>Rickard</author>
    <author>www.statistikdatabasen.scb.se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Hyltebruk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Unnaryd+Landeryd</t>
        </r>
      </text>
    </comment>
    <comment ref="A19" authorId="1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1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B21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Hyltebruk
</t>
        </r>
      </text>
    </comment>
    <comment ref="E32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Stora Enso MR + resterande mängd i länet</t>
        </r>
      </text>
    </comment>
    <comment ref="G32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Stora Enso MR + resterande mängd energi inom industri på ca 0,6 GWh</t>
        </r>
      </text>
    </comment>
    <comment ref="M32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Svärta och avloppsslam</t>
        </r>
      </text>
    </comment>
    <comment ref="N32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Justerat för mottryck</t>
        </r>
      </text>
    </comment>
    <comment ref="O32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Justerat för mottryck
</t>
        </r>
      </text>
    </comment>
    <comment ref="N39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Justerad för mottryck</t>
        </r>
      </text>
    </comment>
    <comment ref="O39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Justerat för mottryck</t>
        </r>
      </text>
    </comment>
  </commentList>
</comments>
</file>

<file path=xl/comments3.xml><?xml version="1.0" encoding="utf-8"?>
<comments xmlns="http://schemas.openxmlformats.org/spreadsheetml/2006/main">
  <authors>
    <author>Rickard</author>
    <author>www.statistikdatabasen.scb.se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SvFj och Fjvk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Resterande i kolumnen</t>
        </r>
      </text>
    </comment>
    <comment ref="A19" authorId="1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1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N32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Resterande på rad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Resterande inom transport</t>
        </r>
      </text>
    </comment>
    <comment ref="B35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Resterande inom övriga tjänster</t>
        </r>
      </text>
    </comment>
    <comment ref="C35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Resterande i kolumnen</t>
        </r>
      </text>
    </comment>
    <comment ref="N36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Resterande på rad</t>
        </r>
      </text>
    </comment>
    <comment ref="B37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Fjärrvärmekollen</t>
        </r>
      </text>
    </comment>
    <comment ref="N37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Resterande i kolumn</t>
        </r>
      </text>
    </comment>
    <comment ref="N38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Medelvärdet 2011-2013</t>
        </r>
      </text>
    </comment>
  </commentList>
</comments>
</file>

<file path=xl/comments4.xml><?xml version="1.0" encoding="utf-8"?>
<comments xmlns="http://schemas.openxmlformats.org/spreadsheetml/2006/main">
  <authors>
    <author>Rickard</author>
    <author>www.statistikdatabasen.scb.se</author>
  </authors>
  <commentList>
    <comment ref="B18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Medelvärdet från åren 2009-2013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Medelvärdet från åren 2009-2013</t>
        </r>
      </text>
    </comment>
    <comment ref="A19" authorId="1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1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B37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Medelvärdet från åren 2009-2013</t>
        </r>
      </text>
    </comment>
  </commentList>
</comments>
</file>

<file path=xl/comments5.xml><?xml version="1.0" encoding="utf-8"?>
<comments xmlns="http://schemas.openxmlformats.org/spreadsheetml/2006/main">
  <authors>
    <author>www.statistikdatabasen.scb.se</author>
    <author>Rickard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E32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Resterande inom industri</t>
        </r>
      </text>
    </comment>
    <comment ref="H32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Antagen noll i enlighet med föregående års statistik</t>
        </r>
      </text>
    </comment>
  </commentList>
</comments>
</file>

<file path=xl/comments6.xml><?xml version="1.0" encoding="utf-8"?>
<comments xmlns="http://schemas.openxmlformats.org/spreadsheetml/2006/main">
  <authors>
    <author>www.statistikdatabasen.scb.se</author>
    <author>Rickard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E32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Från Varberg Energi</t>
        </r>
      </text>
    </comment>
    <comment ref="M32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Metanol och natriumformiat</t>
        </r>
      </text>
    </comment>
    <comment ref="N32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Justerad för mottryck</t>
        </r>
      </text>
    </comment>
    <comment ref="O32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Justerad för att stämma in på redovisade mängder</t>
        </r>
      </text>
    </comment>
    <comment ref="N39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Justerad för mottryck</t>
        </r>
      </text>
    </comment>
    <comment ref="O39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Justerad för mottryck</t>
        </r>
      </text>
    </comment>
  </commentList>
</comments>
</file>

<file path=xl/comments7.xml><?xml version="1.0" encoding="utf-8"?>
<comments xmlns="http://schemas.openxmlformats.org/spreadsheetml/2006/main">
  <authors>
    <author>Rickard</author>
    <author>www.statistikdatabasen.scb.se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SvF och Fjvk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Fjvk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Kungsbacka + eksta</t>
        </r>
      </text>
    </comment>
    <comment ref="A19" authorId="1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1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G32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Resterand i kolumn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Resterande inom transporter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Summa kungsbacka+eksta</t>
        </r>
      </text>
    </comment>
    <comment ref="G36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Resterande inom småhus</t>
        </r>
      </text>
    </comment>
    <comment ref="B37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Summa Kungsbacka+Eksta, Samfälligheter inkluderat</t>
        </r>
      </text>
    </comment>
  </commentList>
</comments>
</file>

<file path=xl/sharedStrings.xml><?xml version="1.0" encoding="utf-8"?>
<sst xmlns="http://schemas.openxmlformats.org/spreadsheetml/2006/main" count="678" uniqueCount="71">
  <si>
    <t>Elproduktion och bränsleanvändning (MWh) efter tid, region, produktionssätt och bränsletyp</t>
  </si>
  <si>
    <t>1315 Hylte</t>
  </si>
  <si>
    <t>Elproduktion</t>
  </si>
  <si>
    <t>Kol och koks</t>
  </si>
  <si>
    <t>Gasol/naturgas</t>
  </si>
  <si>
    <t>Avlutar</t>
  </si>
  <si>
    <t>Biogas</t>
  </si>
  <si>
    <t>Torv</t>
  </si>
  <si>
    <t>Avfall</t>
  </si>
  <si>
    <t>Övrigt</t>
  </si>
  <si>
    <t>El</t>
  </si>
  <si>
    <t>Summa produktionssätt</t>
  </si>
  <si>
    <t>kraftvärmeverk + industriellt mottryck</t>
  </si>
  <si>
    <t>övrig värmekraft (kärnkraft, kondenskraft o.dyl.)</t>
  </si>
  <si>
    <t>vattenkraft</t>
  </si>
  <si>
    <t>vindkraft</t>
  </si>
  <si>
    <t>summa bränsletyp</t>
  </si>
  <si>
    <t>Fjärrvärmeproduktion och bränsleanvändning (MWh) efter tid, region, produktionssätt och bränsletyp</t>
  </si>
  <si>
    <t>Fjärrvärmeproduktion</t>
  </si>
  <si>
    <t>Bioolja</t>
  </si>
  <si>
    <t>kraftvärmeverk</t>
  </si>
  <si>
    <t>fristående värmeverk</t>
  </si>
  <si>
    <t>elpannor (1)</t>
  </si>
  <si>
    <t>värmepumpar (2)</t>
  </si>
  <si>
    <t>spillvärme</t>
  </si>
  <si>
    <t>rökgaskondens</t>
  </si>
  <si>
    <t>Total energitillörsel</t>
  </si>
  <si>
    <t>GWh</t>
  </si>
  <si>
    <t>Procent</t>
  </si>
  <si>
    <t>Slutanvändning (MWh) efter tid, region, förbrukarkategori och bränsletyp</t>
  </si>
  <si>
    <t>Fjärrvärme</t>
  </si>
  <si>
    <t>Biodrivmedel</t>
  </si>
  <si>
    <t>Summa förbrukarkategori</t>
  </si>
  <si>
    <t>slutanv. jordbruk,skogsbruk,fiske</t>
  </si>
  <si>
    <t>Jord, skog</t>
  </si>
  <si>
    <t>Oljeprodukter</t>
  </si>
  <si>
    <t>slutanv. industri, byggverks.</t>
  </si>
  <si>
    <t>industri</t>
  </si>
  <si>
    <t>slutanv. offentlig verksamhet</t>
  </si>
  <si>
    <t>offentligt</t>
  </si>
  <si>
    <t>slutanv. transporter</t>
  </si>
  <si>
    <t>transporter</t>
  </si>
  <si>
    <t>slutanv. övriga tjänster</t>
  </si>
  <si>
    <t>övriga tjänster</t>
  </si>
  <si>
    <t>slutanv. småhus</t>
  </si>
  <si>
    <t>slutanv. flerbostadshus</t>
  </si>
  <si>
    <t>slutanv. fritidshus</t>
  </si>
  <si>
    <t>Distributionsförluster</t>
  </si>
  <si>
    <t>Hushåll</t>
  </si>
  <si>
    <t>Övriga tjänster</t>
  </si>
  <si>
    <t>Slutanvändning hushåll</t>
  </si>
  <si>
    <t>hushåll</t>
  </si>
  <si>
    <t>Offentlig verks</t>
  </si>
  <si>
    <t>Total energitillförsel</t>
  </si>
  <si>
    <t>Andel av total tillförsel i procent</t>
  </si>
  <si>
    <t>Industri</t>
  </si>
  <si>
    <t>Transporter</t>
  </si>
  <si>
    <t>Distributionsförluster el och fjärrvärme</t>
  </si>
  <si>
    <t>Total slutlig anv.</t>
  </si>
  <si>
    <t>1380 Halmstad</t>
  </si>
  <si>
    <t>1381 Laholm</t>
  </si>
  <si>
    <t>1382 Falkenberg</t>
  </si>
  <si>
    <t>1383 Varberg</t>
  </si>
  <si>
    <t>1384 Kungsbacka</t>
  </si>
  <si>
    <t>Hallands län</t>
  </si>
  <si>
    <t>Biobränslen</t>
  </si>
  <si>
    <t>Köpt hetvatten</t>
  </si>
  <si>
    <t>Träbränslen</t>
  </si>
  <si>
    <t>Beckolja</t>
  </si>
  <si>
    <t>Kärnbränsle</t>
  </si>
  <si>
    <t>Solceller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</si>
</sst>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0.0"/>
  </numFmts>
  <fonts count="3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b/>
      <sz val="12"/>
      <color indexed="8"/>
      <name val="Calibri"/>
      <family val="2"/>
    </font>
    <font>
      <sz val="8"/>
      <color indexed="8"/>
      <name val="Tahoma"/>
      <family val="2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color rgb="FF000000"/>
      <name val="Tahoma"/>
      <family val="2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u/>
      <sz val="12"/>
      <name val="Calibri"/>
      <family val="2"/>
      <scheme val="minor"/>
    </font>
    <font>
      <u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97">
    <xf numFmtId="0" fontId="0" fillId="0" borderId="0"/>
    <xf numFmtId="0" fontId="5" fillId="0" borderId="0" applyNumberFormat="0" applyBorder="0" applyAlignment="0"/>
    <xf numFmtId="9" fontId="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6" fillId="0" borderId="0" xfId="1" applyFont="1" applyFill="1" applyProtection="1"/>
    <xf numFmtId="0" fontId="5" fillId="0" borderId="0" xfId="1" applyFill="1" applyProtection="1"/>
    <xf numFmtId="0" fontId="7" fillId="0" borderId="0" xfId="1" applyFont="1"/>
    <xf numFmtId="0" fontId="8" fillId="0" borderId="0" xfId="0" applyFont="1"/>
    <xf numFmtId="0" fontId="9" fillId="0" borderId="0" xfId="1" applyFont="1" applyFill="1" applyProtection="1"/>
    <xf numFmtId="3" fontId="5" fillId="0" borderId="0" xfId="1" applyNumberFormat="1"/>
    <xf numFmtId="0" fontId="5" fillId="0" borderId="0" xfId="1"/>
    <xf numFmtId="0" fontId="9" fillId="0" borderId="0" xfId="0" applyFont="1" applyFill="1" applyProtection="1"/>
    <xf numFmtId="3" fontId="10" fillId="0" borderId="0" xfId="0" applyNumberFormat="1" applyFont="1"/>
    <xf numFmtId="3" fontId="10" fillId="0" borderId="0" xfId="0" applyNumberFormat="1" applyFont="1" applyAlignment="1">
      <alignment horizontal="right"/>
    </xf>
    <xf numFmtId="3" fontId="5" fillId="0" borderId="0" xfId="1" applyNumberFormat="1" applyFill="1" applyProtection="1"/>
    <xf numFmtId="3" fontId="11" fillId="0" borderId="0" xfId="1" applyNumberFormat="1" applyFont="1" applyFill="1" applyProtection="1"/>
    <xf numFmtId="164" fontId="5" fillId="0" borderId="0" xfId="1" applyNumberFormat="1"/>
    <xf numFmtId="4" fontId="5" fillId="0" borderId="0" xfId="1" applyNumberFormat="1"/>
    <xf numFmtId="165" fontId="5" fillId="0" borderId="0" xfId="1" applyNumberFormat="1"/>
    <xf numFmtId="10" fontId="5" fillId="0" borderId="0" xfId="1" applyNumberFormat="1"/>
    <xf numFmtId="165" fontId="12" fillId="0" borderId="0" xfId="1" applyNumberFormat="1" applyFont="1"/>
    <xf numFmtId="165" fontId="7" fillId="0" borderId="0" xfId="1" applyNumberFormat="1" applyFont="1"/>
    <xf numFmtId="166" fontId="5" fillId="0" borderId="0" xfId="1" applyNumberFormat="1"/>
    <xf numFmtId="2" fontId="5" fillId="0" borderId="0" xfId="1" applyNumberFormat="1"/>
    <xf numFmtId="0" fontId="13" fillId="0" borderId="0" xfId="1" applyFont="1"/>
    <xf numFmtId="3" fontId="13" fillId="0" borderId="0" xfId="1" applyNumberFormat="1" applyFont="1"/>
    <xf numFmtId="3" fontId="12" fillId="0" borderId="0" xfId="1" applyNumberFormat="1" applyFont="1"/>
    <xf numFmtId="3" fontId="12" fillId="2" borderId="0" xfId="1" applyNumberFormat="1" applyFont="1" applyFill="1"/>
    <xf numFmtId="3" fontId="14" fillId="2" borderId="0" xfId="1" applyNumberFormat="1" applyFont="1" applyFill="1"/>
    <xf numFmtId="3" fontId="5" fillId="2" borderId="0" xfId="1" applyNumberFormat="1" applyFill="1"/>
    <xf numFmtId="0" fontId="10" fillId="0" borderId="0" xfId="0" applyFont="1"/>
    <xf numFmtId="0" fontId="10" fillId="0" borderId="0" xfId="0" applyFont="1" applyAlignment="1">
      <alignment horizontal="right"/>
    </xf>
    <xf numFmtId="1" fontId="5" fillId="0" borderId="0" xfId="1" applyNumberFormat="1"/>
    <xf numFmtId="165" fontId="12" fillId="0" borderId="0" xfId="2" applyNumberFormat="1" applyFont="1"/>
    <xf numFmtId="165" fontId="4" fillId="0" borderId="0" xfId="2" applyNumberFormat="1" applyFont="1"/>
    <xf numFmtId="3" fontId="14" fillId="0" borderId="0" xfId="1" applyNumberFormat="1" applyFont="1"/>
    <xf numFmtId="9" fontId="14" fillId="0" borderId="0" xfId="2" applyFont="1"/>
    <xf numFmtId="0" fontId="5" fillId="0" borderId="0" xfId="1" applyAlignment="1">
      <alignment horizontal="right"/>
    </xf>
    <xf numFmtId="3" fontId="5" fillId="0" borderId="0" xfId="1" applyNumberFormat="1" applyAlignment="1">
      <alignment horizontal="right"/>
    </xf>
    <xf numFmtId="9" fontId="14" fillId="0" borderId="0" xfId="2" applyNumberFormat="1" applyFont="1"/>
    <xf numFmtId="9" fontId="4" fillId="0" borderId="0" xfId="2" applyFont="1"/>
    <xf numFmtId="9" fontId="0" fillId="0" borderId="0" xfId="94" applyFont="1"/>
    <xf numFmtId="3" fontId="0" fillId="0" borderId="0" xfId="0" applyNumberFormat="1" applyFill="1" applyProtection="1"/>
    <xf numFmtId="0" fontId="0" fillId="0" borderId="0" xfId="0" applyFill="1" applyProtection="1"/>
    <xf numFmtId="3" fontId="0" fillId="0" borderId="0" xfId="0" applyNumberFormat="1" applyFill="1" applyAlignment="1" applyProtection="1">
      <alignment horizontal="right"/>
    </xf>
    <xf numFmtId="165" fontId="5" fillId="0" borderId="0" xfId="1" applyNumberFormat="1" applyFill="1" applyProtection="1"/>
    <xf numFmtId="165" fontId="1" fillId="0" borderId="0" xfId="2" applyNumberFormat="1" applyFont="1"/>
    <xf numFmtId="3" fontId="0" fillId="0" borderId="0" xfId="1" applyNumberFormat="1" applyFont="1"/>
    <xf numFmtId="0" fontId="10" fillId="0" borderId="0" xfId="95" applyFont="1"/>
    <xf numFmtId="9" fontId="1" fillId="0" borderId="0" xfId="2" applyFont="1"/>
    <xf numFmtId="0" fontId="5" fillId="0" borderId="0" xfId="1" applyFont="1" applyFill="1" applyProtection="1"/>
    <xf numFmtId="3" fontId="21" fillId="0" borderId="0" xfId="0" applyNumberFormat="1" applyFont="1" applyFill="1" applyAlignment="1" applyProtection="1">
      <alignment horizontal="right"/>
    </xf>
    <xf numFmtId="3" fontId="22" fillId="0" borderId="0" xfId="0" applyNumberFormat="1" applyFont="1" applyFill="1" applyProtection="1"/>
    <xf numFmtId="3" fontId="23" fillId="0" borderId="0" xfId="0" applyNumberFormat="1" applyFont="1" applyFill="1" applyAlignment="1" applyProtection="1">
      <alignment horizontal="right"/>
    </xf>
    <xf numFmtId="9" fontId="0" fillId="0" borderId="0" xfId="96" applyFont="1"/>
    <xf numFmtId="3" fontId="26" fillId="0" borderId="0" xfId="0" applyNumberFormat="1" applyFont="1" applyFill="1" applyAlignment="1" applyProtection="1">
      <alignment horizontal="right"/>
    </xf>
    <xf numFmtId="3" fontId="23" fillId="0" borderId="0" xfId="0" applyNumberFormat="1" applyFont="1" applyFill="1" applyProtection="1"/>
    <xf numFmtId="3" fontId="21" fillId="0" borderId="0" xfId="0" applyNumberFormat="1" applyFont="1" applyFill="1" applyProtection="1"/>
    <xf numFmtId="3" fontId="26" fillId="0" borderId="0" xfId="0" applyNumberFormat="1" applyFont="1" applyFill="1" applyProtection="1"/>
    <xf numFmtId="3" fontId="0" fillId="0" borderId="0" xfId="0" applyNumberFormat="1" applyFont="1" applyFill="1" applyProtection="1"/>
    <xf numFmtId="166" fontId="5" fillId="0" borderId="0" xfId="1" applyNumberFormat="1" applyFill="1" applyProtection="1"/>
    <xf numFmtId="3" fontId="27" fillId="0" borderId="0" xfId="0" applyNumberFormat="1" applyFont="1" applyFill="1" applyAlignment="1" applyProtection="1">
      <alignment horizontal="right"/>
    </xf>
    <xf numFmtId="3" fontId="27" fillId="0" borderId="0" xfId="0" applyNumberFormat="1" applyFont="1" applyFill="1" applyProtection="1"/>
    <xf numFmtId="0" fontId="27" fillId="0" borderId="0" xfId="0" applyFont="1" applyFill="1" applyProtection="1"/>
    <xf numFmtId="3" fontId="28" fillId="0" borderId="0" xfId="0" applyNumberFormat="1" applyFont="1" applyFill="1" applyAlignment="1" applyProtection="1">
      <alignment horizontal="right"/>
    </xf>
    <xf numFmtId="3" fontId="29" fillId="0" borderId="0" xfId="0" applyNumberFormat="1" applyFont="1" applyFill="1" applyAlignment="1" applyProtection="1">
      <alignment horizontal="right"/>
    </xf>
    <xf numFmtId="3" fontId="30" fillId="0" borderId="0" xfId="0" applyNumberFormat="1" applyFont="1" applyAlignment="1">
      <alignment horizontal="right"/>
    </xf>
    <xf numFmtId="3" fontId="7" fillId="0" borderId="0" xfId="1" applyNumberFormat="1" applyFont="1"/>
    <xf numFmtId="3" fontId="28" fillId="0" borderId="0" xfId="0" applyNumberFormat="1" applyFont="1" applyFill="1" applyProtection="1"/>
    <xf numFmtId="10" fontId="12" fillId="0" borderId="0" xfId="1" applyNumberFormat="1" applyFont="1"/>
  </cellXfs>
  <cellStyles count="97"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2" builtinId="9" hidden="1"/>
    <cellStyle name="Följd hyperlänk" xfId="54" builtinId="9" hidden="1"/>
    <cellStyle name="Följd hyperlänk" xfId="56" builtinId="9" hidden="1"/>
    <cellStyle name="Följd hyperlänk" xfId="58" builtinId="9" hidden="1"/>
    <cellStyle name="Följd hyperlänk" xfId="60" builtinId="9" hidden="1"/>
    <cellStyle name="Följd hyperlänk" xfId="62" builtinId="9" hidden="1"/>
    <cellStyle name="Följd hyperlänk" xfId="64" builtinId="9" hidden="1"/>
    <cellStyle name="Följd hyperlänk" xfId="66" builtinId="9" hidden="1"/>
    <cellStyle name="Följd hyperlänk" xfId="69" builtinId="9" hidden="1"/>
    <cellStyle name="Följd hyperlänk" xfId="71" builtinId="9" hidden="1"/>
    <cellStyle name="Följd hyperlänk" xfId="73" builtinId="9" hidden="1"/>
    <cellStyle name="Följd hyperlänk" xfId="75" builtinId="9" hidden="1"/>
    <cellStyle name="Följd hyperlänk" xfId="77" builtinId="9" hidden="1"/>
    <cellStyle name="Följd hyperlänk" xfId="79" builtinId="9" hidden="1"/>
    <cellStyle name="Följd hyperlänk" xfId="81" builtinId="9" hidden="1"/>
    <cellStyle name="Följd hyperlänk" xfId="83" builtinId="9" hidden="1"/>
    <cellStyle name="Följd hyperlänk" xfId="85" builtinId="9" hidden="1"/>
    <cellStyle name="Följd hyperlänk" xfId="87" builtinId="9" hidden="1"/>
    <cellStyle name="Följd hyperlänk" xfId="89" builtinId="9" hidden="1"/>
    <cellStyle name="Följd hyperlänk" xfId="91" builtinId="9" hidden="1"/>
    <cellStyle name="Följd hyperlänk" xfId="93" builtinId="9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1" builtinId="8" hidden="1"/>
    <cellStyle name="Hyperlänk" xfId="53" builtinId="8" hidden="1"/>
    <cellStyle name="Hyperlänk" xfId="55" builtinId="8" hidden="1"/>
    <cellStyle name="Hyperlänk" xfId="57" builtinId="8" hidden="1"/>
    <cellStyle name="Hyperlänk" xfId="59" builtinId="8" hidden="1"/>
    <cellStyle name="Hyperlänk" xfId="61" builtinId="8" hidden="1"/>
    <cellStyle name="Hyperlänk" xfId="63" builtinId="8" hidden="1"/>
    <cellStyle name="Hyperlänk" xfId="65" builtinId="8" hidden="1"/>
    <cellStyle name="Hyperlänk" xfId="68" builtinId="8" hidden="1"/>
    <cellStyle name="Hyperlänk" xfId="70" builtinId="8" hidden="1"/>
    <cellStyle name="Hyperlänk" xfId="72" builtinId="8" hidden="1"/>
    <cellStyle name="Hyperlänk" xfId="74" builtinId="8" hidden="1"/>
    <cellStyle name="Hyperlänk" xfId="76" builtinId="8" hidden="1"/>
    <cellStyle name="Hyperlänk" xfId="78" builtinId="8" hidden="1"/>
    <cellStyle name="Hyperlänk" xfId="80" builtinId="8" hidden="1"/>
    <cellStyle name="Hyperlänk" xfId="82" builtinId="8" hidden="1"/>
    <cellStyle name="Hyperlänk" xfId="84" builtinId="8" hidden="1"/>
    <cellStyle name="Hyperlänk" xfId="86" builtinId="8" hidden="1"/>
    <cellStyle name="Hyperlänk" xfId="88" builtinId="8" hidden="1"/>
    <cellStyle name="Hyperlänk" xfId="90" builtinId="8" hidden="1"/>
    <cellStyle name="Hyperlänk" xfId="92" builtinId="8" hidden="1"/>
    <cellStyle name="Normal" xfId="0" builtinId="0"/>
    <cellStyle name="Normal 2" xfId="1"/>
    <cellStyle name="Normal 3" xfId="95"/>
    <cellStyle name="Percent 2" xfId="2"/>
    <cellStyle name="Percent 3" xfId="67"/>
    <cellStyle name="Percent 4" xfId="94"/>
    <cellStyle name="Procent" xfId="96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Relationship Id="rId2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Relationship Id="rId2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vmlDrawing" Target="../drawings/vmlDrawing7.vml"/><Relationship Id="rId3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 enableFormatConditionsCalculation="0"/>
  <dimension ref="A1:AV74"/>
  <sheetViews>
    <sheetView tabSelected="1" topLeftCell="A7" workbookViewId="0">
      <selection activeCell="I43" sqref="I43"/>
    </sheetView>
  </sheetViews>
  <sheetFormatPr baseColWidth="10" defaultColWidth="8.6640625" defaultRowHeight="15" x14ac:dyDescent="0.2"/>
  <cols>
    <col min="1" max="1" width="23" style="2" customWidth="1"/>
    <col min="2" max="21" width="10" style="2" customWidth="1"/>
    <col min="22" max="22" width="8.6640625" style="2"/>
    <col min="23" max="23" width="10.1640625" style="2" customWidth="1"/>
    <col min="24" max="16384" width="8.6640625" style="2"/>
  </cols>
  <sheetData>
    <row r="1" spans="1:21" ht="19" x14ac:dyDescent="0.25">
      <c r="A1" s="1" t="s">
        <v>0</v>
      </c>
      <c r="P1" s="3"/>
      <c r="Q1" s="3"/>
      <c r="R1" s="3"/>
      <c r="S1" s="3"/>
      <c r="T1" s="3"/>
      <c r="U1" s="3"/>
    </row>
    <row r="2" spans="1:21" ht="16" x14ac:dyDescent="0.2">
      <c r="A2" s="4" t="s">
        <v>64</v>
      </c>
      <c r="P2" s="3"/>
      <c r="Q2" s="3"/>
      <c r="R2" s="3"/>
      <c r="S2" s="3"/>
      <c r="T2" s="3"/>
      <c r="U2" s="3"/>
    </row>
    <row r="3" spans="1:21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65</v>
      </c>
      <c r="H3" s="6" t="s">
        <v>6</v>
      </c>
      <c r="I3" s="6" t="s">
        <v>5</v>
      </c>
      <c r="J3" s="6" t="s">
        <v>7</v>
      </c>
      <c r="K3" s="6" t="s">
        <v>8</v>
      </c>
      <c r="L3" s="6" t="s">
        <v>69</v>
      </c>
      <c r="M3" s="6" t="s">
        <v>9</v>
      </c>
      <c r="N3" s="6"/>
      <c r="O3" s="7" t="s">
        <v>11</v>
      </c>
      <c r="P3" s="3"/>
      <c r="Q3" s="3"/>
      <c r="R3" s="3"/>
      <c r="S3" s="3"/>
      <c r="T3" s="3"/>
      <c r="U3" s="3"/>
    </row>
    <row r="4" spans="1:21" ht="16" x14ac:dyDescent="0.2">
      <c r="A4" s="8" t="s">
        <v>70</v>
      </c>
      <c r="B4" s="10">
        <f>SUM(Hylte:Kungsbacka!B4)</f>
        <v>13068.199999999999</v>
      </c>
      <c r="C4" s="9"/>
      <c r="D4" s="11"/>
      <c r="S4" s="3"/>
      <c r="T4" s="3"/>
      <c r="U4" s="3"/>
    </row>
    <row r="5" spans="1:21" ht="16" x14ac:dyDescent="0.2">
      <c r="A5" s="5"/>
      <c r="B5" s="10"/>
      <c r="C5" s="40"/>
      <c r="D5" s="40"/>
      <c r="E5" s="40"/>
      <c r="F5" s="40"/>
      <c r="G5" s="40"/>
      <c r="S5" s="3"/>
      <c r="T5" s="3"/>
      <c r="U5" s="3"/>
    </row>
    <row r="6" spans="1:21" ht="16" x14ac:dyDescent="0.2">
      <c r="A6" s="8" t="s">
        <v>12</v>
      </c>
      <c r="B6" s="10">
        <f>SUM(Hylte:Kungsbacka!B6)</f>
        <v>70500</v>
      </c>
      <c r="C6" s="10">
        <f>SUM(Hylte:Kungsbacka!C6)</f>
        <v>0</v>
      </c>
      <c r="D6" s="10">
        <f>SUM(Hylte:Kungsbacka!D6)</f>
        <v>0</v>
      </c>
      <c r="E6" s="10">
        <f>SUM(Hylte:Kungsbacka!E6)</f>
        <v>0</v>
      </c>
      <c r="F6" s="10">
        <f>SUM(Hylte:Kungsbacka!F6)</f>
        <v>0</v>
      </c>
      <c r="G6" s="10">
        <f>SUM(Hylte:Kungsbacka!G6)</f>
        <v>0</v>
      </c>
      <c r="H6" s="10">
        <f>SUM(Hylte:Kungsbacka!H6)</f>
        <v>0</v>
      </c>
      <c r="I6" s="10">
        <f>SUM(Hylte:Kungsbacka!I6)</f>
        <v>0</v>
      </c>
      <c r="J6" s="10">
        <f>SUM(Hylte:Kungsbacka!J6)</f>
        <v>0</v>
      </c>
      <c r="K6" s="10">
        <f>SUM(Hylte:Kungsbacka!K6)</f>
        <v>0</v>
      </c>
      <c r="L6" s="10">
        <f>SUM(Hylte:Kungsbacka!L6)</f>
        <v>0</v>
      </c>
      <c r="M6" s="10">
        <f>SUM(Hylte:Kungsbacka!M6)</f>
        <v>0</v>
      </c>
      <c r="N6" s="10">
        <f>SUM(Hylte:Kungsbacka!N6)</f>
        <v>0</v>
      </c>
      <c r="O6" s="10">
        <f>SUM(C6:N6)</f>
        <v>0</v>
      </c>
      <c r="S6" s="3"/>
      <c r="T6" s="3"/>
      <c r="U6" s="3"/>
    </row>
    <row r="7" spans="1:21" ht="16" x14ac:dyDescent="0.2">
      <c r="A7" s="8" t="s">
        <v>13</v>
      </c>
      <c r="B7" s="10">
        <f>SUM(Hylte:Kungsbacka!B7)</f>
        <v>21325970</v>
      </c>
      <c r="C7" s="10">
        <f>SUM(Hylte:Kungsbacka!C7)</f>
        <v>13214</v>
      </c>
      <c r="D7" s="10">
        <f>SUM(Hylte:Kungsbacka!D7)</f>
        <v>0</v>
      </c>
      <c r="E7" s="10">
        <f>SUM(Hylte:Kungsbacka!E7)</f>
        <v>0</v>
      </c>
      <c r="F7" s="10">
        <f>SUM(Hylte:Kungsbacka!F7)</f>
        <v>0</v>
      </c>
      <c r="G7" s="10">
        <f>SUM(Hylte:Kungsbacka!G7)</f>
        <v>0</v>
      </c>
      <c r="H7" s="10">
        <f>SUM(Hylte:Kungsbacka!H7)</f>
        <v>0</v>
      </c>
      <c r="I7" s="10">
        <f>SUM(Hylte:Kungsbacka!I7)</f>
        <v>0</v>
      </c>
      <c r="J7" s="10">
        <f>SUM(Hylte:Kungsbacka!J7)</f>
        <v>0</v>
      </c>
      <c r="K7" s="10">
        <f>SUM(Hylte:Kungsbacka!K7)</f>
        <v>0</v>
      </c>
      <c r="L7" s="10">
        <f>SUM(Hylte:Kungsbacka!L7)</f>
        <v>60925714.285714291</v>
      </c>
      <c r="M7" s="10">
        <f>SUM(Hylte:Kungsbacka!M7)</f>
        <v>0</v>
      </c>
      <c r="N7" s="10">
        <f>SUM(Hylte:Kungsbacka!N7)</f>
        <v>0</v>
      </c>
      <c r="O7" s="10">
        <f>SUM(C7:N7)</f>
        <v>60938928.285714291</v>
      </c>
      <c r="S7" s="3"/>
      <c r="T7" s="3"/>
      <c r="U7" s="3"/>
    </row>
    <row r="8" spans="1:21" ht="16" x14ac:dyDescent="0.2">
      <c r="A8" s="8" t="s">
        <v>14</v>
      </c>
      <c r="B8" s="10">
        <f>SUM(Hylte:Kungsbacka!B8)</f>
        <v>838702.25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S8" s="3"/>
      <c r="T8" s="3"/>
      <c r="U8" s="3"/>
    </row>
    <row r="9" spans="1:21" ht="16" x14ac:dyDescent="0.2">
      <c r="A9" s="8" t="s">
        <v>15</v>
      </c>
      <c r="B9" s="10">
        <f>SUM(Hylte:Kungsbacka!B9)</f>
        <v>1155074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S9" s="3"/>
      <c r="T9" s="3"/>
      <c r="U9" s="3"/>
    </row>
    <row r="10" spans="1:21" ht="16" x14ac:dyDescent="0.2">
      <c r="A10" s="8" t="s">
        <v>16</v>
      </c>
      <c r="B10" s="10">
        <f>SUM(B4:B9)</f>
        <v>23403314.449999999</v>
      </c>
      <c r="C10" s="10">
        <f t="shared" ref="C10:O10" si="0">SUM(C4:C9)</f>
        <v>13214</v>
      </c>
      <c r="D10" s="10">
        <f t="shared" si="0"/>
        <v>0</v>
      </c>
      <c r="E10" s="10">
        <f t="shared" si="0"/>
        <v>0</v>
      </c>
      <c r="F10" s="10">
        <f t="shared" si="0"/>
        <v>0</v>
      </c>
      <c r="G10" s="10">
        <f t="shared" si="0"/>
        <v>0</v>
      </c>
      <c r="H10" s="10">
        <f t="shared" si="0"/>
        <v>0</v>
      </c>
      <c r="I10" s="10">
        <f t="shared" si="0"/>
        <v>0</v>
      </c>
      <c r="J10" s="10">
        <f t="shared" si="0"/>
        <v>0</v>
      </c>
      <c r="K10" s="10">
        <f t="shared" si="0"/>
        <v>0</v>
      </c>
      <c r="L10" s="10">
        <f t="shared" si="0"/>
        <v>60925714.285714291</v>
      </c>
      <c r="M10" s="10">
        <f t="shared" si="0"/>
        <v>0</v>
      </c>
      <c r="N10" s="10">
        <f t="shared" si="0"/>
        <v>0</v>
      </c>
      <c r="O10" s="10">
        <f t="shared" si="0"/>
        <v>60938928.285714291</v>
      </c>
      <c r="S10" s="3"/>
      <c r="T10" s="3"/>
      <c r="U10" s="3"/>
    </row>
    <row r="11" spans="1:21" ht="16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S11" s="3"/>
      <c r="T11" s="3"/>
      <c r="U11" s="3"/>
    </row>
    <row r="12" spans="1:21" ht="16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S12" s="3"/>
      <c r="T12" s="3"/>
      <c r="U12" s="3"/>
    </row>
    <row r="13" spans="1:21" ht="19" x14ac:dyDescent="0.25">
      <c r="A13" s="1" t="s">
        <v>17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2"/>
      <c r="S13" s="3"/>
      <c r="T13" s="3"/>
      <c r="U13" s="3"/>
    </row>
    <row r="14" spans="1:21" ht="16" x14ac:dyDescent="0.2">
      <c r="A14" s="4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S14" s="3"/>
      <c r="T14" s="3"/>
      <c r="U14" s="3"/>
    </row>
    <row r="15" spans="1:21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65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9</v>
      </c>
      <c r="M15" s="6" t="s">
        <v>9</v>
      </c>
      <c r="N15" s="6" t="s">
        <v>10</v>
      </c>
      <c r="O15" s="11" t="s">
        <v>11</v>
      </c>
      <c r="S15" s="3"/>
      <c r="T15" s="3"/>
      <c r="U15" s="3"/>
    </row>
    <row r="16" spans="1:21" ht="16" x14ac:dyDescent="0.2">
      <c r="B16" s="11"/>
      <c r="C16" s="40"/>
      <c r="D16" s="40"/>
      <c r="E16" s="40"/>
      <c r="F16" s="40"/>
      <c r="G16" s="40"/>
      <c r="H16" s="11"/>
      <c r="I16" s="11"/>
      <c r="J16" s="11"/>
      <c r="K16" s="11"/>
      <c r="L16" s="11"/>
      <c r="M16" s="11"/>
      <c r="N16" s="11"/>
      <c r="O16" s="11"/>
      <c r="S16" s="3"/>
      <c r="T16" s="3"/>
      <c r="U16" s="3"/>
    </row>
    <row r="17" spans="1:21" ht="16" x14ac:dyDescent="0.2">
      <c r="A17" s="8" t="s">
        <v>20</v>
      </c>
      <c r="B17" s="10">
        <f>SUM(Hylte:Kungsbacka!B17)</f>
        <v>619000</v>
      </c>
      <c r="C17" s="10">
        <f>SUM(Hylte:Kungsbacka!C17)</f>
        <v>2108</v>
      </c>
      <c r="D17" s="10">
        <f>SUM(Hylte:Kungsbacka!D17)</f>
        <v>200</v>
      </c>
      <c r="E17" s="10">
        <f>SUM(Hylte:Kungsbacka!E17)</f>
        <v>10400</v>
      </c>
      <c r="F17" s="10">
        <f>SUM(Hylte:Kungsbacka!F17)</f>
        <v>0</v>
      </c>
      <c r="G17" s="10">
        <f>SUM(Hylte:Kungsbacka!G17)</f>
        <v>180825</v>
      </c>
      <c r="H17" s="10">
        <f>SUM(Hylte:Kungsbacka!H17)</f>
        <v>0</v>
      </c>
      <c r="I17" s="10">
        <f>SUM(Hylte:Kungsbacka!I17)</f>
        <v>0</v>
      </c>
      <c r="J17" s="10">
        <f>SUM(Hylte:Kungsbacka!J17)</f>
        <v>0</v>
      </c>
      <c r="K17" s="10">
        <f>SUM(Hylte:Kungsbacka!K17)</f>
        <v>521953</v>
      </c>
      <c r="L17" s="10">
        <f>SUM(Hylte:Kungsbacka!L17)</f>
        <v>0</v>
      </c>
      <c r="M17" s="10">
        <f>SUM(Hylte:Kungsbacka!M17)</f>
        <v>0</v>
      </c>
      <c r="N17" s="10">
        <f>SUM(Hylte:Kungsbacka!N17)</f>
        <v>21729</v>
      </c>
      <c r="O17" s="10">
        <f>SUM(C17:N17)</f>
        <v>737215</v>
      </c>
      <c r="S17" s="3"/>
      <c r="T17" s="3"/>
      <c r="U17" s="3"/>
    </row>
    <row r="18" spans="1:21" ht="16" x14ac:dyDescent="0.2">
      <c r="A18" s="8" t="s">
        <v>21</v>
      </c>
      <c r="B18" s="10">
        <f>SUM(Hylte:Kungsbacka!B18)</f>
        <v>315297</v>
      </c>
      <c r="C18" s="10">
        <f>SUM(Hylte:Kungsbacka!C18)</f>
        <v>2129</v>
      </c>
      <c r="D18" s="10">
        <f>SUM(Hylte:Kungsbacka!D18)</f>
        <v>0</v>
      </c>
      <c r="E18" s="10">
        <f>SUM(Hylte:Kungsbacka!E18)</f>
        <v>9909</v>
      </c>
      <c r="F18" s="10">
        <f>SUM(Hylte:Kungsbacka!F18)</f>
        <v>5777</v>
      </c>
      <c r="G18" s="10">
        <f>SUM(Hylte:Kungsbacka!G18)</f>
        <v>310079</v>
      </c>
      <c r="H18" s="10">
        <f>SUM(Hylte:Kungsbacka!H18)</f>
        <v>0</v>
      </c>
      <c r="I18" s="10">
        <f>SUM(Hylte:Kungsbacka!I18)</f>
        <v>0</v>
      </c>
      <c r="J18" s="10">
        <f>SUM(Hylte:Kungsbacka!J18)</f>
        <v>0</v>
      </c>
      <c r="K18" s="10">
        <f>SUM(Hylte:Kungsbacka!K18)</f>
        <v>0</v>
      </c>
      <c r="L18" s="10">
        <f>SUM(Hylte:Kungsbacka!L18)</f>
        <v>500</v>
      </c>
      <c r="M18" s="10">
        <f>SUM(Hylte:Kungsbacka!M18)</f>
        <v>0</v>
      </c>
      <c r="N18" s="10">
        <f>SUM(Hylte:Kungsbacka!N18)</f>
        <v>0</v>
      </c>
      <c r="O18" s="10">
        <f>SUM(C18:N18)</f>
        <v>328394</v>
      </c>
      <c r="S18" s="3"/>
      <c r="T18" s="3"/>
      <c r="U18" s="3"/>
    </row>
    <row r="19" spans="1:21" ht="16" x14ac:dyDescent="0.2">
      <c r="A19" s="8" t="s">
        <v>22</v>
      </c>
      <c r="B19" s="10">
        <f>SUM(Hylte:Kungsbacka!B19)</f>
        <v>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/>
      <c r="O19" s="10"/>
      <c r="S19" s="3"/>
      <c r="T19" s="3"/>
      <c r="U19" s="3"/>
    </row>
    <row r="20" spans="1:21" ht="16" x14ac:dyDescent="0.2">
      <c r="A20" s="8" t="s">
        <v>23</v>
      </c>
      <c r="B20" s="10">
        <f>SUM(Hylte:Kungsbacka!B20)</f>
        <v>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0"/>
      <c r="O20" s="10"/>
      <c r="S20" s="3" t="s">
        <v>26</v>
      </c>
      <c r="T20" s="13">
        <f>O42/1000</f>
        <v>13171.08452</v>
      </c>
      <c r="U20" s="3"/>
    </row>
    <row r="21" spans="1:21" ht="16" x14ac:dyDescent="0.2">
      <c r="A21" s="8" t="s">
        <v>24</v>
      </c>
      <c r="B21" s="10">
        <f>SUM(Hylte:Kungsbacka!B21)</f>
        <v>126753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/>
      <c r="S21" s="3"/>
      <c r="T21" s="3"/>
      <c r="U21" s="3"/>
    </row>
    <row r="22" spans="1:21" ht="16" x14ac:dyDescent="0.2">
      <c r="A22" s="8" t="s">
        <v>25</v>
      </c>
      <c r="B22" s="10">
        <f>SUM(Hylte:Kungsbacka!B22)</f>
        <v>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/>
      <c r="S22" s="3"/>
      <c r="T22" s="3" t="s">
        <v>27</v>
      </c>
      <c r="U22" s="3" t="s">
        <v>28</v>
      </c>
    </row>
    <row r="23" spans="1:21" ht="16" x14ac:dyDescent="0.2">
      <c r="A23" s="8" t="s">
        <v>16</v>
      </c>
      <c r="B23" s="10">
        <f>SUM(B17:B22)</f>
        <v>1061050</v>
      </c>
      <c r="C23" s="10">
        <f t="shared" ref="C23:O23" si="1">SUM(C17:C22)</f>
        <v>4237</v>
      </c>
      <c r="D23" s="10">
        <f t="shared" si="1"/>
        <v>200</v>
      </c>
      <c r="E23" s="10">
        <f t="shared" si="1"/>
        <v>20309</v>
      </c>
      <c r="F23" s="10">
        <f t="shared" si="1"/>
        <v>5777</v>
      </c>
      <c r="G23" s="10">
        <f t="shared" si="1"/>
        <v>490904</v>
      </c>
      <c r="H23" s="10">
        <f t="shared" si="1"/>
        <v>0</v>
      </c>
      <c r="I23" s="10">
        <f t="shared" si="1"/>
        <v>0</v>
      </c>
      <c r="J23" s="10">
        <f t="shared" si="1"/>
        <v>0</v>
      </c>
      <c r="K23" s="10">
        <f t="shared" si="1"/>
        <v>521953</v>
      </c>
      <c r="L23" s="10">
        <f t="shared" si="1"/>
        <v>500</v>
      </c>
      <c r="M23" s="10">
        <f t="shared" si="1"/>
        <v>0</v>
      </c>
      <c r="N23" s="10">
        <f t="shared" si="1"/>
        <v>21729</v>
      </c>
      <c r="O23" s="10">
        <f t="shared" si="1"/>
        <v>1065609</v>
      </c>
      <c r="S23" s="3" t="s">
        <v>10</v>
      </c>
      <c r="T23" s="14">
        <f>N42/1000</f>
        <v>4314.2605199999998</v>
      </c>
      <c r="U23" s="15">
        <f>N43</f>
        <v>0.32755545023258265</v>
      </c>
    </row>
    <row r="24" spans="1:21" ht="1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S24" s="3" t="s">
        <v>65</v>
      </c>
      <c r="T24" s="14">
        <f>G42/1000</f>
        <v>1784.4010000000001</v>
      </c>
      <c r="U24" s="16">
        <f>G43</f>
        <v>0.13547866899574038</v>
      </c>
    </row>
    <row r="25" spans="1:21" ht="1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S25" s="64" t="str">
        <f>L29</f>
        <v>Beckolja</v>
      </c>
      <c r="T25" s="14">
        <f>L32/1000</f>
        <v>128.548</v>
      </c>
      <c r="U25" s="15">
        <f>L43</f>
        <v>9.7978264283433512E-3</v>
      </c>
    </row>
    <row r="26" spans="1:21" ht="1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S26" s="3" t="s">
        <v>31</v>
      </c>
      <c r="T26" s="14">
        <f>F42/1000</f>
        <v>278.59100000000001</v>
      </c>
      <c r="U26" s="15">
        <f>F43</f>
        <v>2.1151713025375076E-2</v>
      </c>
    </row>
    <row r="27" spans="1:21" ht="19" x14ac:dyDescent="0.25">
      <c r="A27" s="1" t="s">
        <v>29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11"/>
      <c r="S27" s="3" t="s">
        <v>4</v>
      </c>
      <c r="T27" s="13">
        <f>E42/1000</f>
        <v>281.95800000000003</v>
      </c>
      <c r="U27" s="15">
        <f>E43</f>
        <v>2.1407348770092018E-2</v>
      </c>
    </row>
    <row r="28" spans="1:21" ht="16" x14ac:dyDescent="0.2">
      <c r="A28" s="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3"/>
      <c r="Q28" s="3"/>
      <c r="R28" s="3"/>
      <c r="S28" s="2" t="s">
        <v>3</v>
      </c>
      <c r="T28" s="2">
        <f>D42/1000</f>
        <v>0.2</v>
      </c>
      <c r="U28" s="42">
        <f>D43</f>
        <v>1.5184778420964837E-5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65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68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8</v>
      </c>
      <c r="T29" s="2">
        <f>K42/1000</f>
        <v>521.95299999999997</v>
      </c>
      <c r="U29" s="42">
        <f>K43</f>
        <v>3.9628703255789301E-2</v>
      </c>
    </row>
    <row r="30" spans="1:21" ht="16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3"/>
      <c r="Q30" s="3"/>
      <c r="R30" s="3"/>
      <c r="S30" s="3" t="s">
        <v>5</v>
      </c>
      <c r="T30" s="14">
        <f>I42/1000</f>
        <v>2302.5050000000001</v>
      </c>
      <c r="U30" s="15">
        <f>I43</f>
        <v>0.1748151411908182</v>
      </c>
    </row>
    <row r="31" spans="1:21" ht="16" x14ac:dyDescent="0.2">
      <c r="A31" s="5" t="s">
        <v>33</v>
      </c>
      <c r="B31" s="10">
        <f>SUM(Hylte:Kungsbacka!B31)</f>
        <v>0</v>
      </c>
      <c r="C31" s="10">
        <f>SUM(Hylte:Kungsbacka!C31)</f>
        <v>115627</v>
      </c>
      <c r="D31" s="10">
        <f>SUM(Hylte:Kungsbacka!D31)</f>
        <v>0</v>
      </c>
      <c r="E31" s="10">
        <f>SUM(Hylte:Kungsbacka!E31)</f>
        <v>0</v>
      </c>
      <c r="F31" s="10">
        <f>SUM(Hylte:Kungsbacka!F31)</f>
        <v>11223</v>
      </c>
      <c r="G31" s="10">
        <f>SUM(Hylte:Kungsbacka!G31)</f>
        <v>0</v>
      </c>
      <c r="H31" s="10">
        <f>SUM(Hylte:Kungsbacka!H31)</f>
        <v>0</v>
      </c>
      <c r="I31" s="10">
        <f>SUM(Hylte:Kungsbacka!I31)</f>
        <v>0</v>
      </c>
      <c r="J31" s="10">
        <f>SUM(Hylte:Kungsbacka!J31)</f>
        <v>0</v>
      </c>
      <c r="K31" s="10">
        <f>SUM(Hylte:Kungsbacka!K31)</f>
        <v>0</v>
      </c>
      <c r="L31" s="10">
        <f>SUM(Hylte:Kungsbacka!L31)</f>
        <v>0</v>
      </c>
      <c r="M31" s="10">
        <f>SUM(Hylte:Kungsbacka!M31)</f>
        <v>0</v>
      </c>
      <c r="N31" s="10">
        <f>SUM(Hylte:Kungsbacka!N31)</f>
        <v>166352</v>
      </c>
      <c r="O31" s="10">
        <f>SUM(B31:N31)</f>
        <v>293202</v>
      </c>
      <c r="P31" s="17">
        <f>O31/O$39</f>
        <v>2.2946212550757E-2</v>
      </c>
      <c r="Q31" s="18" t="s">
        <v>34</v>
      </c>
      <c r="R31" s="3"/>
      <c r="S31" s="3" t="s">
        <v>6</v>
      </c>
      <c r="T31" s="14">
        <f>H42/1000</f>
        <v>25.26</v>
      </c>
      <c r="U31" s="15">
        <f>H43</f>
        <v>1.917837514567859E-3</v>
      </c>
    </row>
    <row r="32" spans="1:21" ht="16" x14ac:dyDescent="0.2">
      <c r="A32" s="5" t="s">
        <v>36</v>
      </c>
      <c r="B32" s="10">
        <f>SUM(Hylte:Kungsbacka!B32)</f>
        <v>138853.94702522369</v>
      </c>
      <c r="C32" s="10">
        <f>SUM(Hylte:Kungsbacka!C32)</f>
        <v>80485.382040317636</v>
      </c>
      <c r="D32" s="10">
        <f>SUM(Hylte:Kungsbacka!D32)</f>
        <v>0</v>
      </c>
      <c r="E32" s="10">
        <f>SUM(Hylte:Kungsbacka!E32)</f>
        <v>235817</v>
      </c>
      <c r="F32" s="10">
        <f>SUM(Hylte:Kungsbacka!F32)</f>
        <v>1620</v>
      </c>
      <c r="G32" s="10">
        <f>SUM(Hylte:Kungsbacka!G32)</f>
        <v>865471</v>
      </c>
      <c r="H32" s="10">
        <f>SUM(Hylte:Kungsbacka!H32)</f>
        <v>1000</v>
      </c>
      <c r="I32" s="10">
        <f>SUM(Hylte:Kungsbacka!I32)</f>
        <v>2302505</v>
      </c>
      <c r="J32" s="10">
        <f>SUM(Hylte:Kungsbacka!J32)</f>
        <v>0</v>
      </c>
      <c r="K32" s="10">
        <f>SUM(Hylte:Kungsbacka!K32)</f>
        <v>0</v>
      </c>
      <c r="L32" s="10">
        <f>SUM(Hylte:Kungsbacka!L32)</f>
        <v>128548</v>
      </c>
      <c r="M32" s="10">
        <f>SUM(Hylte:Kungsbacka!M32)</f>
        <v>146815</v>
      </c>
      <c r="N32" s="10">
        <f>SUM(Hylte:Kungsbacka!N32)</f>
        <v>1482851.6709344587</v>
      </c>
      <c r="O32" s="10">
        <f t="shared" ref="O32:O38" si="2">SUM(B32:N32)</f>
        <v>5383967</v>
      </c>
      <c r="P32" s="17">
        <f>O32/O$39</f>
        <v>0.42135337121936928</v>
      </c>
      <c r="Q32" s="18" t="s">
        <v>37</v>
      </c>
      <c r="R32" s="3"/>
      <c r="S32" s="2" t="s">
        <v>9</v>
      </c>
      <c r="T32" s="14">
        <f>M42/1000</f>
        <v>146.815</v>
      </c>
      <c r="U32" s="15">
        <f>M43</f>
        <v>1.1146766219369763E-2</v>
      </c>
    </row>
    <row r="33" spans="1:48" ht="16" x14ac:dyDescent="0.2">
      <c r="A33" s="5" t="s">
        <v>38</v>
      </c>
      <c r="B33" s="10">
        <f>SUM(Hylte:Kungsbacka!B33)</f>
        <v>111177.56122156921</v>
      </c>
      <c r="C33" s="10">
        <f>SUM(Hylte:Kungsbacka!C33)</f>
        <v>5127</v>
      </c>
      <c r="D33" s="10">
        <f>SUM(Hylte:Kungsbacka!D33)</f>
        <v>0</v>
      </c>
      <c r="E33" s="10">
        <f>SUM(Hylte:Kungsbacka!E33)</f>
        <v>0</v>
      </c>
      <c r="F33" s="10">
        <f>SUM(Hylte:Kungsbacka!F33)</f>
        <v>0</v>
      </c>
      <c r="G33" s="10">
        <f>SUM(Hylte:Kungsbacka!G33)</f>
        <v>0</v>
      </c>
      <c r="H33" s="10">
        <f>SUM(Hylte:Kungsbacka!H33)</f>
        <v>0</v>
      </c>
      <c r="I33" s="10">
        <f>SUM(Hylte:Kungsbacka!I33)</f>
        <v>0</v>
      </c>
      <c r="J33" s="10">
        <f>SUM(Hylte:Kungsbacka!J33)</f>
        <v>0</v>
      </c>
      <c r="K33" s="10">
        <f>SUM(Hylte:Kungsbacka!K33)</f>
        <v>0</v>
      </c>
      <c r="L33" s="10">
        <f>SUM(Hylte:Kungsbacka!L33)</f>
        <v>0</v>
      </c>
      <c r="M33" s="10">
        <f>SUM(Hylte:Kungsbacka!M33)</f>
        <v>0</v>
      </c>
      <c r="N33" s="10">
        <f>SUM(Hylte:Kungsbacka!N33)</f>
        <v>277619.10971288942</v>
      </c>
      <c r="O33" s="10">
        <f t="shared" si="2"/>
        <v>393923.67093445861</v>
      </c>
      <c r="P33" s="17">
        <f>O33/O$39</f>
        <v>3.0828767477836253E-2</v>
      </c>
      <c r="Q33" s="18" t="s">
        <v>39</v>
      </c>
      <c r="R33" s="3"/>
      <c r="S33" s="3" t="s">
        <v>35</v>
      </c>
      <c r="T33" s="14">
        <f>C42/1000</f>
        <v>3386.0929999999998</v>
      </c>
      <c r="U33" s="16">
        <f>C43</f>
        <v>0.25708535958890044</v>
      </c>
    </row>
    <row r="34" spans="1:48" ht="16" x14ac:dyDescent="0.2">
      <c r="A34" s="5" t="s">
        <v>40</v>
      </c>
      <c r="B34" s="10">
        <f>SUM(Hylte:Kungsbacka!B34)</f>
        <v>0</v>
      </c>
      <c r="C34" s="10">
        <f>SUM(Hylte:Kungsbacka!C34)</f>
        <v>3097961.6179596824</v>
      </c>
      <c r="D34" s="10">
        <f>SUM(Hylte:Kungsbacka!D34)</f>
        <v>0</v>
      </c>
      <c r="E34" s="63">
        <v>14732</v>
      </c>
      <c r="F34" s="10">
        <f>SUM(Hylte:Kungsbacka!F34)</f>
        <v>259971</v>
      </c>
      <c r="G34" s="10">
        <f>SUM(Hylte:Kungsbacka!G34)</f>
        <v>0</v>
      </c>
      <c r="H34" s="63">
        <v>24160</v>
      </c>
      <c r="I34" s="10">
        <f>SUM(Hylte:Kungsbacka!I34)</f>
        <v>0</v>
      </c>
      <c r="J34" s="10">
        <f>SUM(Hylte:Kungsbacka!J34)</f>
        <v>0</v>
      </c>
      <c r="K34" s="10">
        <f>SUM(Hylte:Kungsbacka!K34)</f>
        <v>0</v>
      </c>
      <c r="L34" s="10">
        <f>SUM(Hylte:Kungsbacka!L34)</f>
        <v>0</v>
      </c>
      <c r="M34" s="10">
        <f>SUM(Hylte:Kungsbacka!M34)</f>
        <v>0</v>
      </c>
      <c r="N34" s="10">
        <f>SUM(Hylte:Kungsbacka!N34)</f>
        <v>35426.382040317651</v>
      </c>
      <c r="O34" s="10">
        <f t="shared" si="2"/>
        <v>3432251</v>
      </c>
      <c r="P34" s="17">
        <f>O34/O$39</f>
        <v>0.26861058578573221</v>
      </c>
      <c r="Q34" s="18" t="s">
        <v>41</v>
      </c>
      <c r="R34" s="3"/>
      <c r="S34" s="3"/>
      <c r="T34" s="14">
        <f>SUM(T23:T33)</f>
        <v>13170.58452</v>
      </c>
      <c r="U34" s="15">
        <f>SUM(U23:U33)</f>
        <v>1</v>
      </c>
    </row>
    <row r="35" spans="1:48" ht="16" x14ac:dyDescent="0.2">
      <c r="A35" s="5" t="s">
        <v>42</v>
      </c>
      <c r="B35" s="10">
        <f>SUM(Hylte:Kungsbacka!B35)</f>
        <v>127896.49175320708</v>
      </c>
      <c r="C35" s="10">
        <f>SUM(Hylte:Kungsbacka!C35)</f>
        <v>74058</v>
      </c>
      <c r="D35" s="10">
        <f>SUM(Hylte:Kungsbacka!D35)</f>
        <v>0</v>
      </c>
      <c r="E35" s="10">
        <f>SUM(Hylte:Kungsbacka!E35)</f>
        <v>8880</v>
      </c>
      <c r="F35" s="10">
        <f>SUM(Hylte:Kungsbacka!F35)</f>
        <v>0</v>
      </c>
      <c r="G35" s="10">
        <f>SUM(Hylte:Kungsbacka!G35)</f>
        <v>0</v>
      </c>
      <c r="H35" s="10">
        <f>SUM(Hylte:Kungsbacka!H35)</f>
        <v>0</v>
      </c>
      <c r="I35" s="10">
        <f>SUM(Hylte:Kungsbacka!I35)</f>
        <v>0</v>
      </c>
      <c r="J35" s="10">
        <f>SUM(Hylte:Kungsbacka!J35)</f>
        <v>0</v>
      </c>
      <c r="K35" s="10">
        <f>SUM(Hylte:Kungsbacka!K35)</f>
        <v>0</v>
      </c>
      <c r="L35" s="10">
        <f>SUM(Hylte:Kungsbacka!L35)</f>
        <v>0</v>
      </c>
      <c r="M35" s="10">
        <f>SUM(Hylte:Kungsbacka!M35)</f>
        <v>0</v>
      </c>
      <c r="N35" s="10">
        <f>SUM(Hylte:Kungsbacka!N35)</f>
        <v>723513.50824679295</v>
      </c>
      <c r="O35" s="10">
        <f t="shared" si="2"/>
        <v>934348</v>
      </c>
      <c r="P35" s="17">
        <f>O35/O$39</f>
        <v>7.3122788399719987E-2</v>
      </c>
      <c r="Q35" s="18" t="s">
        <v>43</v>
      </c>
      <c r="R35" s="18"/>
    </row>
    <row r="36" spans="1:48" ht="16" x14ac:dyDescent="0.2">
      <c r="A36" s="5" t="s">
        <v>44</v>
      </c>
      <c r="B36" s="10">
        <f>SUM(Hylte:Kungsbacka!B36)</f>
        <v>110475</v>
      </c>
      <c r="C36" s="10">
        <f>SUM(Hylte:Kungsbacka!C36)</f>
        <v>6854</v>
      </c>
      <c r="D36" s="10">
        <f>SUM(Hylte:Kungsbacka!D36)</f>
        <v>0</v>
      </c>
      <c r="E36" s="10">
        <f>SUM(Hylte:Kungsbacka!E36)</f>
        <v>1170</v>
      </c>
      <c r="F36" s="10">
        <f>SUM(Hylte:Kungsbacka!F36)</f>
        <v>0</v>
      </c>
      <c r="G36" s="10">
        <f>SUM(Hylte:Kungsbacka!G36)</f>
        <v>428026</v>
      </c>
      <c r="H36" s="10">
        <f>SUM(Hylte:Kungsbacka!H36)</f>
        <v>100</v>
      </c>
      <c r="I36" s="10">
        <f>SUM(Hylte:Kungsbacka!I36)</f>
        <v>0</v>
      </c>
      <c r="J36" s="10">
        <f>SUM(Hylte:Kungsbacka!J36)</f>
        <v>0</v>
      </c>
      <c r="K36" s="10">
        <f>SUM(Hylte:Kungsbacka!K36)</f>
        <v>0</v>
      </c>
      <c r="L36" s="10">
        <f>SUM(Hylte:Kungsbacka!L36)</f>
        <v>0</v>
      </c>
      <c r="M36" s="10">
        <f>SUM(Hylte:Kungsbacka!M36)</f>
        <v>0</v>
      </c>
      <c r="N36" s="10">
        <f>SUM(Hylte:Kungsbacka!N36)</f>
        <v>1021225</v>
      </c>
      <c r="O36" s="10">
        <f t="shared" si="2"/>
        <v>1567850</v>
      </c>
      <c r="P36" s="18"/>
      <c r="Q36" s="18"/>
      <c r="R36" s="3"/>
      <c r="S36" s="7"/>
      <c r="T36" s="7"/>
      <c r="U36" s="7"/>
    </row>
    <row r="37" spans="1:48" ht="16" x14ac:dyDescent="0.2">
      <c r="A37" s="5" t="s">
        <v>45</v>
      </c>
      <c r="B37" s="10">
        <f>SUM(Hylte:Kungsbacka!B37)</f>
        <v>436604</v>
      </c>
      <c r="C37" s="10">
        <f>SUM(Hylte:Kungsbacka!C37)</f>
        <v>1743</v>
      </c>
      <c r="D37" s="10">
        <f>SUM(Hylte:Kungsbacka!D37)</f>
        <v>0</v>
      </c>
      <c r="E37" s="10">
        <f>SUM(Hylte:Kungsbacka!E37)</f>
        <v>1050</v>
      </c>
      <c r="F37" s="10">
        <f>SUM(Hylte:Kungsbacka!F37)</f>
        <v>0</v>
      </c>
      <c r="G37" s="10">
        <f>SUM(Hylte:Kungsbacka!G37)</f>
        <v>0</v>
      </c>
      <c r="H37" s="10">
        <f>SUM(Hylte:Kungsbacka!H37)</f>
        <v>0</v>
      </c>
      <c r="I37" s="10">
        <f>SUM(Hylte:Kungsbacka!I37)</f>
        <v>0</v>
      </c>
      <c r="J37" s="10">
        <f>SUM(Hylte:Kungsbacka!J37)</f>
        <v>0</v>
      </c>
      <c r="K37" s="10">
        <f>SUM(Hylte:Kungsbacka!K37)</f>
        <v>0</v>
      </c>
      <c r="L37" s="10">
        <f>SUM(Hylte:Kungsbacka!L37)</f>
        <v>0</v>
      </c>
      <c r="M37" s="10">
        <f>SUM(Hylte:Kungsbacka!M37)</f>
        <v>0</v>
      </c>
      <c r="N37" s="10">
        <f>SUM(Hylte:Kungsbacka!N37)</f>
        <v>204889.32906554139</v>
      </c>
      <c r="O37" s="10">
        <f t="shared" si="2"/>
        <v>644286.32906554139</v>
      </c>
      <c r="P37" s="18"/>
      <c r="Q37" s="18"/>
      <c r="R37" s="3"/>
      <c r="S37" s="7"/>
      <c r="T37" s="7" t="s">
        <v>27</v>
      </c>
      <c r="U37" s="7" t="s">
        <v>28</v>
      </c>
    </row>
    <row r="38" spans="1:48" ht="16" x14ac:dyDescent="0.2">
      <c r="A38" s="5" t="s">
        <v>46</v>
      </c>
      <c r="B38" s="10">
        <f>SUM(Hylte:Kungsbacka!B38)</f>
        <v>0</v>
      </c>
      <c r="C38" s="10">
        <f>SUM(Hylte:Kungsbacka!C38)</f>
        <v>0</v>
      </c>
      <c r="D38" s="10">
        <f>SUM(Hylte:Kungsbacka!D38)</f>
        <v>0</v>
      </c>
      <c r="E38" s="10">
        <f>SUM(Hylte:Kungsbacka!E38)</f>
        <v>0</v>
      </c>
      <c r="F38" s="10">
        <f>SUM(Hylte:Kungsbacka!F38)</f>
        <v>0</v>
      </c>
      <c r="G38" s="10">
        <f>SUM(Hylte:Kungsbacka!G38)</f>
        <v>0</v>
      </c>
      <c r="H38" s="10">
        <f>SUM(Hylte:Kungsbacka!H38)</f>
        <v>0</v>
      </c>
      <c r="I38" s="10">
        <f>SUM(Hylte:Kungsbacka!I38)</f>
        <v>0</v>
      </c>
      <c r="J38" s="10">
        <f>SUM(Hylte:Kungsbacka!J38)</f>
        <v>0</v>
      </c>
      <c r="K38" s="10">
        <f>SUM(Hylte:Kungsbacka!K38)</f>
        <v>0</v>
      </c>
      <c r="L38" s="10">
        <f>SUM(Hylte:Kungsbacka!L38)</f>
        <v>0</v>
      </c>
      <c r="M38" s="10">
        <f>SUM(Hylte:Kungsbacka!M38)</f>
        <v>0</v>
      </c>
      <c r="N38" s="10">
        <f>SUM(Hylte:Kungsbacka!N38)</f>
        <v>127967</v>
      </c>
      <c r="O38" s="10">
        <f t="shared" si="2"/>
        <v>127967</v>
      </c>
      <c r="P38" s="18">
        <f>SUM(P31:P35)</f>
        <v>0.81686172543341473</v>
      </c>
      <c r="Q38" s="18"/>
      <c r="R38" s="3"/>
      <c r="S38" s="7" t="s">
        <v>47</v>
      </c>
      <c r="T38" s="19">
        <f>O45/1000</f>
        <v>459.23052000000001</v>
      </c>
      <c r="U38" s="7"/>
    </row>
    <row r="39" spans="1:48" ht="16" x14ac:dyDescent="0.2">
      <c r="A39" s="5" t="s">
        <v>16</v>
      </c>
      <c r="B39" s="10">
        <f>SUM(B31:B38)</f>
        <v>925007</v>
      </c>
      <c r="C39" s="10">
        <f t="shared" ref="C39:O39" si="3">SUM(C31:C38)</f>
        <v>3381856</v>
      </c>
      <c r="D39" s="10">
        <f t="shared" si="3"/>
        <v>0</v>
      </c>
      <c r="E39" s="10">
        <f t="shared" si="3"/>
        <v>261649</v>
      </c>
      <c r="F39" s="10">
        <f t="shared" si="3"/>
        <v>272814</v>
      </c>
      <c r="G39" s="10">
        <f t="shared" si="3"/>
        <v>1293497</v>
      </c>
      <c r="H39" s="10">
        <f t="shared" si="3"/>
        <v>25260</v>
      </c>
      <c r="I39" s="10">
        <f t="shared" si="3"/>
        <v>2302505</v>
      </c>
      <c r="J39" s="10">
        <f t="shared" si="3"/>
        <v>0</v>
      </c>
      <c r="K39" s="10">
        <f t="shared" si="3"/>
        <v>0</v>
      </c>
      <c r="L39" s="10">
        <f t="shared" si="3"/>
        <v>128548</v>
      </c>
      <c r="M39" s="10">
        <f t="shared" si="3"/>
        <v>146815</v>
      </c>
      <c r="N39" s="10">
        <f t="shared" si="3"/>
        <v>4039844</v>
      </c>
      <c r="O39" s="10">
        <f t="shared" si="3"/>
        <v>12777794.999999998</v>
      </c>
      <c r="P39" s="3"/>
      <c r="Q39" s="3"/>
      <c r="R39" s="3"/>
      <c r="S39" s="7" t="s">
        <v>48</v>
      </c>
      <c r="T39" s="20">
        <f>O41/1000</f>
        <v>2340.1033290655414</v>
      </c>
      <c r="U39" s="15">
        <f>P41</f>
        <v>0.18313827456658535</v>
      </c>
    </row>
    <row r="40" spans="1:48" x14ac:dyDescent="0.2">
      <c r="S40" s="7" t="s">
        <v>49</v>
      </c>
      <c r="T40" s="20">
        <f>O35/1000</f>
        <v>934.34799999999996</v>
      </c>
      <c r="U40" s="16">
        <f>P35</f>
        <v>7.3122788399719987E-2</v>
      </c>
    </row>
    <row r="41" spans="1:48" ht="16" x14ac:dyDescent="0.2">
      <c r="A41" s="21" t="s">
        <v>50</v>
      </c>
      <c r="B41" s="22">
        <f>B38+B37+B36</f>
        <v>547079</v>
      </c>
      <c r="C41" s="22">
        <f t="shared" ref="C41:O41" si="4">C38+C37+C36</f>
        <v>8597</v>
      </c>
      <c r="D41" s="22">
        <f t="shared" si="4"/>
        <v>0</v>
      </c>
      <c r="E41" s="22">
        <f t="shared" si="4"/>
        <v>2220</v>
      </c>
      <c r="F41" s="22">
        <f t="shared" si="4"/>
        <v>0</v>
      </c>
      <c r="G41" s="22">
        <f t="shared" si="4"/>
        <v>428026</v>
      </c>
      <c r="H41" s="22">
        <f t="shared" si="4"/>
        <v>100</v>
      </c>
      <c r="I41" s="22">
        <f t="shared" si="4"/>
        <v>0</v>
      </c>
      <c r="J41" s="22">
        <f t="shared" si="4"/>
        <v>0</v>
      </c>
      <c r="K41" s="22">
        <f t="shared" si="4"/>
        <v>0</v>
      </c>
      <c r="L41" s="22">
        <f t="shared" si="4"/>
        <v>0</v>
      </c>
      <c r="M41" s="22">
        <f t="shared" si="4"/>
        <v>0</v>
      </c>
      <c r="N41" s="22">
        <f t="shared" si="4"/>
        <v>1354081.3290655413</v>
      </c>
      <c r="O41" s="22">
        <f t="shared" si="4"/>
        <v>2340103.3290655413</v>
      </c>
      <c r="P41" s="17">
        <f>O41/O$39</f>
        <v>0.18313827456658535</v>
      </c>
      <c r="Q41" s="17" t="s">
        <v>51</v>
      </c>
      <c r="R41" s="7"/>
      <c r="S41" s="7" t="s">
        <v>52</v>
      </c>
      <c r="T41" s="20">
        <f>O33/1000</f>
        <v>393.92367093445858</v>
      </c>
      <c r="U41" s="15">
        <f>P33</f>
        <v>3.0828767477836253E-2</v>
      </c>
    </row>
    <row r="42" spans="1:48" ht="16" x14ac:dyDescent="0.2">
      <c r="A42" s="23" t="s">
        <v>53</v>
      </c>
      <c r="B42" s="22"/>
      <c r="C42" s="24">
        <f>C39+C23</f>
        <v>3386093</v>
      </c>
      <c r="D42" s="24">
        <f t="shared" ref="D42:M42" si="5">D39+D23+D10</f>
        <v>200</v>
      </c>
      <c r="E42" s="24">
        <f t="shared" si="5"/>
        <v>281958</v>
      </c>
      <c r="F42" s="24">
        <f t="shared" si="5"/>
        <v>278591</v>
      </c>
      <c r="G42" s="24">
        <f t="shared" si="5"/>
        <v>1784401</v>
      </c>
      <c r="H42" s="24">
        <f t="shared" si="5"/>
        <v>25260</v>
      </c>
      <c r="I42" s="24">
        <f t="shared" si="5"/>
        <v>2302505</v>
      </c>
      <c r="J42" s="24">
        <f t="shared" si="5"/>
        <v>0</v>
      </c>
      <c r="K42" s="24">
        <f t="shared" si="5"/>
        <v>521953</v>
      </c>
      <c r="L42" s="24">
        <f>L39+L23</f>
        <v>129048</v>
      </c>
      <c r="M42" s="24">
        <f t="shared" si="5"/>
        <v>146815</v>
      </c>
      <c r="N42" s="24">
        <f>N39+N23-B6+N45</f>
        <v>4314260.5199999996</v>
      </c>
      <c r="O42" s="25">
        <f>SUM(C42:N42)</f>
        <v>13171084.52</v>
      </c>
      <c r="P42" s="7"/>
      <c r="Q42" s="7"/>
      <c r="R42" s="7"/>
      <c r="S42" s="7" t="s">
        <v>34</v>
      </c>
      <c r="T42" s="20">
        <f>O31/1000</f>
        <v>293.202</v>
      </c>
      <c r="U42" s="15">
        <f>P31</f>
        <v>2.2946212550757E-2</v>
      </c>
    </row>
    <row r="43" spans="1:48" ht="16" x14ac:dyDescent="0.2">
      <c r="A43" s="23" t="s">
        <v>54</v>
      </c>
      <c r="B43" s="22"/>
      <c r="C43" s="17">
        <f t="shared" ref="C43:N43" si="6">C42/$O42</f>
        <v>0.25708535958890044</v>
      </c>
      <c r="D43" s="17">
        <f t="shared" si="6"/>
        <v>1.5184778420964837E-5</v>
      </c>
      <c r="E43" s="17">
        <f t="shared" si="6"/>
        <v>2.1407348770092018E-2</v>
      </c>
      <c r="F43" s="17">
        <f t="shared" si="6"/>
        <v>2.1151713025375076E-2</v>
      </c>
      <c r="G43" s="17">
        <f t="shared" si="6"/>
        <v>0.13547866899574038</v>
      </c>
      <c r="H43" s="17">
        <f t="shared" si="6"/>
        <v>1.917837514567859E-3</v>
      </c>
      <c r="I43" s="66">
        <f t="shared" si="6"/>
        <v>0.1748151411908182</v>
      </c>
      <c r="J43" s="17">
        <f t="shared" si="6"/>
        <v>0</v>
      </c>
      <c r="K43" s="17">
        <f t="shared" si="6"/>
        <v>3.9628703255789301E-2</v>
      </c>
      <c r="L43" s="17">
        <f t="shared" si="6"/>
        <v>9.7978264283433512E-3</v>
      </c>
      <c r="M43" s="17">
        <f t="shared" si="6"/>
        <v>1.1146766219369763E-2</v>
      </c>
      <c r="N43" s="17">
        <f t="shared" si="6"/>
        <v>0.32755545023258265</v>
      </c>
      <c r="O43" s="17">
        <f>SUM(C43:N43)</f>
        <v>1</v>
      </c>
      <c r="P43" s="7"/>
      <c r="Q43" s="7"/>
      <c r="R43" s="7"/>
      <c r="S43" s="7" t="s">
        <v>55</v>
      </c>
      <c r="T43" s="20">
        <f>O32/1000</f>
        <v>5383.9669999999996</v>
      </c>
      <c r="U43" s="16">
        <f>P32</f>
        <v>0.42135337121936928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3432.2510000000002</v>
      </c>
      <c r="U44" s="16">
        <f>P34</f>
        <v>0.26861058578573221</v>
      </c>
    </row>
    <row r="45" spans="1:48" ht="16" x14ac:dyDescent="0.2">
      <c r="A45" s="6" t="s">
        <v>57</v>
      </c>
      <c r="B45" s="6">
        <f>B23-B39</f>
        <v>136043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323187.52</v>
      </c>
      <c r="O45" s="25">
        <f>B45+N45</f>
        <v>459230.52</v>
      </c>
      <c r="P45" s="7"/>
      <c r="Q45" s="7"/>
      <c r="R45" s="7"/>
      <c r="S45" s="7" t="s">
        <v>58</v>
      </c>
      <c r="T45" s="20">
        <f>SUM(T39:T44)</f>
        <v>12777.795</v>
      </c>
      <c r="U45" s="15">
        <f>SUM(U39:U44)</f>
        <v>1</v>
      </c>
    </row>
    <row r="46" spans="1:48" ht="16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7"/>
      <c r="M46" s="10"/>
      <c r="N46" s="10"/>
      <c r="O46" s="10"/>
      <c r="P46" s="10"/>
      <c r="Q46" s="10"/>
      <c r="R46" s="10"/>
    </row>
    <row r="47" spans="1:48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4"/>
      <c r="T47" s="27"/>
      <c r="U47" s="27"/>
      <c r="AD47" s="27"/>
      <c r="AE47" s="27"/>
      <c r="AF47" s="27"/>
      <c r="AG47" s="27"/>
      <c r="AH47" s="4"/>
      <c r="AI47" s="4"/>
      <c r="AJ47" s="28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4"/>
      <c r="T48" s="27"/>
      <c r="U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4"/>
      <c r="T49" s="27"/>
      <c r="U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4"/>
      <c r="T50" s="27"/>
      <c r="U50" s="27"/>
      <c r="AD50" s="27"/>
      <c r="AE50" s="27"/>
      <c r="AF50" s="27"/>
      <c r="AG50" s="27"/>
      <c r="AH50" s="27"/>
      <c r="AI50" s="4"/>
      <c r="AJ50" s="28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4"/>
      <c r="T51" s="27"/>
      <c r="U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7"/>
      <c r="T57" s="6"/>
      <c r="U57" s="43"/>
    </row>
    <row r="58" spans="1:48" ht="16" x14ac:dyDescent="0.2">
      <c r="A58" s="7"/>
      <c r="B58" s="7"/>
      <c r="C58" s="29"/>
      <c r="D58" s="29"/>
      <c r="E58" s="29"/>
      <c r="F58" s="28"/>
      <c r="G58" s="27"/>
      <c r="H58" s="29"/>
      <c r="I58" s="9"/>
      <c r="J58" s="27"/>
      <c r="K58" s="29"/>
      <c r="L58" s="6"/>
      <c r="M58" s="6"/>
      <c r="N58" s="30"/>
      <c r="O58" s="7"/>
      <c r="P58" s="6"/>
      <c r="Q58" s="15"/>
      <c r="R58" s="7"/>
      <c r="S58" s="7"/>
      <c r="T58" s="6"/>
      <c r="U58" s="43"/>
    </row>
    <row r="59" spans="1:48" ht="16" x14ac:dyDescent="0.2">
      <c r="A59" s="7"/>
      <c r="B59" s="7"/>
      <c r="C59" s="29"/>
      <c r="D59" s="29"/>
      <c r="E59" s="29"/>
      <c r="F59" s="27"/>
      <c r="G59" s="27"/>
      <c r="H59" s="29"/>
      <c r="I59" s="9"/>
      <c r="J59" s="27"/>
      <c r="K59" s="29"/>
      <c r="L59" s="6"/>
      <c r="M59" s="6"/>
      <c r="N59" s="30"/>
      <c r="O59" s="7"/>
      <c r="P59" s="6"/>
      <c r="Q59" s="15"/>
      <c r="R59" s="7"/>
      <c r="S59" s="7"/>
      <c r="T59" s="6"/>
      <c r="U59" s="43"/>
    </row>
    <row r="60" spans="1:48" ht="16" x14ac:dyDescent="0.2">
      <c r="A60" s="23"/>
      <c r="B60" s="7"/>
      <c r="C60" s="29"/>
      <c r="D60" s="29"/>
      <c r="E60" s="29"/>
      <c r="F60" s="27"/>
      <c r="G60" s="27"/>
      <c r="H60" s="29"/>
      <c r="I60" s="9"/>
      <c r="J60" s="27"/>
      <c r="K60" s="29"/>
      <c r="L60" s="6"/>
      <c r="M60" s="6"/>
      <c r="N60" s="30"/>
      <c r="O60" s="7"/>
      <c r="P60" s="6"/>
      <c r="Q60" s="15"/>
      <c r="R60" s="7"/>
      <c r="S60" s="7"/>
      <c r="T60" s="6"/>
      <c r="U60" s="43"/>
    </row>
    <row r="61" spans="1:48" ht="16" x14ac:dyDescent="0.2">
      <c r="A61" s="7"/>
      <c r="B61" s="7"/>
      <c r="C61" s="7"/>
      <c r="D61" s="7"/>
      <c r="E61" s="7"/>
      <c r="F61" s="27"/>
      <c r="G61" s="27"/>
      <c r="H61" s="7"/>
      <c r="I61" s="9"/>
      <c r="J61" s="27"/>
      <c r="K61" s="6"/>
      <c r="L61" s="6"/>
      <c r="M61" s="6"/>
      <c r="N61" s="30"/>
      <c r="O61" s="7"/>
      <c r="P61" s="6"/>
      <c r="Q61" s="15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27"/>
      <c r="G62" s="27"/>
      <c r="H62" s="7"/>
      <c r="I62" s="9"/>
      <c r="J62" s="2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5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43"/>
    </row>
    <row r="65" spans="1:21" ht="16" x14ac:dyDescent="0.2">
      <c r="A65" s="7"/>
      <c r="B65" s="6"/>
      <c r="C65" s="7"/>
      <c r="D65" s="6"/>
      <c r="E65" s="44"/>
      <c r="F65" s="44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43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43"/>
    </row>
    <row r="67" spans="1:21" ht="16" x14ac:dyDescent="0.2">
      <c r="A67" s="45"/>
      <c r="B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43"/>
    </row>
    <row r="68" spans="1:21" ht="16" x14ac:dyDescent="0.2">
      <c r="D68" s="11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43"/>
    </row>
    <row r="69" spans="1:21" ht="16" x14ac:dyDescent="0.2"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43"/>
    </row>
    <row r="70" spans="1:21" ht="16" x14ac:dyDescent="0.2">
      <c r="A70" s="7"/>
      <c r="B70" s="32"/>
      <c r="C70" s="23"/>
      <c r="D70" s="23"/>
      <c r="E70" s="6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46"/>
      <c r="T70" s="32"/>
      <c r="U70" s="36"/>
    </row>
    <row r="71" spans="1:21" x14ac:dyDescent="0.2">
      <c r="C71" s="47"/>
      <c r="D71" s="47"/>
      <c r="E71" s="6"/>
    </row>
    <row r="72" spans="1:21" x14ac:dyDescent="0.2">
      <c r="E72" s="6"/>
    </row>
    <row r="73" spans="1:21" x14ac:dyDescent="0.2">
      <c r="E73" s="6"/>
    </row>
    <row r="74" spans="1:21" x14ac:dyDescent="0.2">
      <c r="D74" s="11"/>
      <c r="E74" s="11"/>
      <c r="F74" s="11"/>
    </row>
  </sheetData>
  <pageMargins left="0.75" right="0.75" top="0.75" bottom="0.5" header="0.5" footer="0.75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/>
  <dimension ref="A1:AV70"/>
  <sheetViews>
    <sheetView workbookViewId="0"/>
  </sheetViews>
  <sheetFormatPr baseColWidth="10" defaultColWidth="8.6640625" defaultRowHeight="15" x14ac:dyDescent="0.2"/>
  <cols>
    <col min="1" max="1" width="23" style="2" customWidth="1"/>
    <col min="2" max="21" width="10" style="2" customWidth="1"/>
    <col min="22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8" t="s">
        <v>1</v>
      </c>
      <c r="Q2" s="40"/>
      <c r="R2" s="8"/>
      <c r="AH2" s="40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65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40"/>
      <c r="R3" s="40"/>
      <c r="AH3" s="40"/>
      <c r="AI3" s="40"/>
    </row>
    <row r="4" spans="1:35" ht="15.75" x14ac:dyDescent="0.25">
      <c r="A4" s="8" t="s">
        <v>70</v>
      </c>
      <c r="B4" s="62">
        <f>0.95*249</f>
        <v>236.54999999999998</v>
      </c>
      <c r="Q4" s="40"/>
      <c r="R4" s="40"/>
      <c r="AH4" s="40"/>
      <c r="AI4" s="40"/>
    </row>
    <row r="5" spans="1:35" ht="15.75" x14ac:dyDescent="0.25">
      <c r="A5" s="40"/>
      <c r="Q5" s="40"/>
      <c r="R5" s="40"/>
      <c r="AH5" s="40"/>
      <c r="AI5" s="40"/>
    </row>
    <row r="6" spans="1:35" ht="16" x14ac:dyDescent="0.2">
      <c r="A6" s="8" t="s">
        <v>12</v>
      </c>
      <c r="B6" s="54">
        <v>0</v>
      </c>
      <c r="C6" s="54">
        <v>0</v>
      </c>
      <c r="D6" s="39">
        <v>0</v>
      </c>
      <c r="E6" s="54">
        <v>0</v>
      </c>
      <c r="F6" s="39">
        <v>0</v>
      </c>
      <c r="G6" s="54">
        <v>0</v>
      </c>
      <c r="H6" s="39">
        <v>0</v>
      </c>
      <c r="I6" s="39"/>
      <c r="J6" s="39"/>
      <c r="K6" s="39"/>
      <c r="L6" s="39"/>
      <c r="M6" s="39"/>
      <c r="N6" s="39"/>
      <c r="O6" s="54">
        <v>0</v>
      </c>
      <c r="Q6" s="40"/>
      <c r="R6" s="40"/>
      <c r="AH6" s="40"/>
      <c r="AI6" s="40"/>
    </row>
    <row r="7" spans="1:35" ht="16" x14ac:dyDescent="0.2">
      <c r="A7" s="8" t="s">
        <v>13</v>
      </c>
      <c r="B7" s="39">
        <v>0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/>
      <c r="J7" s="39"/>
      <c r="K7" s="39"/>
      <c r="L7" s="39"/>
      <c r="M7" s="39"/>
      <c r="N7" s="39"/>
      <c r="O7" s="39">
        <v>0</v>
      </c>
      <c r="P7" s="40"/>
      <c r="Q7" s="40"/>
      <c r="R7" s="40"/>
      <c r="AH7" s="40"/>
      <c r="AI7" s="40"/>
    </row>
    <row r="8" spans="1:35" ht="15.75" x14ac:dyDescent="0.25">
      <c r="A8" s="8" t="s">
        <v>14</v>
      </c>
      <c r="B8" s="48">
        <f>B10-B9-B6-B4</f>
        <v>191402.45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/>
      <c r="J8" s="39"/>
      <c r="K8" s="39"/>
      <c r="L8" s="39"/>
      <c r="M8" s="39"/>
      <c r="N8" s="39"/>
      <c r="O8" s="39">
        <v>0</v>
      </c>
      <c r="P8" s="40"/>
      <c r="Q8" s="40"/>
      <c r="R8" s="40"/>
      <c r="AH8" s="40"/>
      <c r="AI8" s="40"/>
    </row>
    <row r="9" spans="1:35" ht="15.75" x14ac:dyDescent="0.25">
      <c r="A9" s="8" t="s">
        <v>15</v>
      </c>
      <c r="B9" s="52">
        <v>125638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/>
      <c r="J9" s="39"/>
      <c r="K9" s="39"/>
      <c r="L9" s="39"/>
      <c r="M9" s="39"/>
      <c r="N9" s="39"/>
      <c r="O9" s="39">
        <v>0</v>
      </c>
      <c r="P9" s="40"/>
      <c r="Q9" s="40"/>
      <c r="R9" s="40"/>
      <c r="S9" s="8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40"/>
      <c r="AI9" s="40"/>
    </row>
    <row r="10" spans="1:35" ht="16" x14ac:dyDescent="0.2">
      <c r="A10" s="8" t="s">
        <v>16</v>
      </c>
      <c r="B10" s="54">
        <f>317040+237</f>
        <v>317277</v>
      </c>
      <c r="C10" s="54">
        <v>0</v>
      </c>
      <c r="D10" s="39">
        <v>0</v>
      </c>
      <c r="E10" s="54">
        <v>0</v>
      </c>
      <c r="F10" s="39">
        <v>0</v>
      </c>
      <c r="G10" s="54">
        <v>0</v>
      </c>
      <c r="H10" s="39">
        <v>0</v>
      </c>
      <c r="I10" s="39"/>
      <c r="J10" s="39"/>
      <c r="K10" s="39"/>
      <c r="L10" s="39"/>
      <c r="M10" s="39"/>
      <c r="N10" s="39"/>
      <c r="O10" s="39">
        <v>0</v>
      </c>
      <c r="P10" s="40"/>
      <c r="Q10" s="40"/>
      <c r="R10" s="40"/>
      <c r="S10" s="8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40"/>
      <c r="AI10" s="40"/>
    </row>
    <row r="11" spans="1:35" ht="15.75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3"/>
      <c r="Q11" s="3"/>
      <c r="R11" s="3"/>
      <c r="S11" s="3"/>
      <c r="T11" s="3"/>
      <c r="U11" s="3"/>
    </row>
    <row r="12" spans="1:35" ht="15.75" x14ac:dyDescent="0.2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2"/>
      <c r="P13" s="3"/>
      <c r="Q13" s="3"/>
      <c r="R13" s="3"/>
      <c r="S13" s="3"/>
      <c r="T13" s="3"/>
      <c r="U13" s="3"/>
    </row>
    <row r="14" spans="1:35" ht="15.75" x14ac:dyDescent="0.25">
      <c r="A14" s="4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65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66</v>
      </c>
      <c r="M15" s="6"/>
      <c r="N15" s="6" t="s">
        <v>10</v>
      </c>
      <c r="O15" s="11" t="s">
        <v>11</v>
      </c>
      <c r="P15" s="3"/>
      <c r="Q15" s="3"/>
      <c r="R15" s="3"/>
      <c r="S15" s="3"/>
      <c r="T15" s="3"/>
      <c r="U15" s="3"/>
    </row>
    <row r="16" spans="1:35" ht="15.75" x14ac:dyDescent="0.2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53">
        <v>7500</v>
      </c>
      <c r="C17" s="39">
        <v>0</v>
      </c>
      <c r="D17" s="39">
        <v>0</v>
      </c>
      <c r="E17" s="39">
        <v>0</v>
      </c>
      <c r="F17" s="39">
        <v>0</v>
      </c>
      <c r="G17" s="53">
        <v>7500</v>
      </c>
      <c r="H17" s="39">
        <v>0</v>
      </c>
      <c r="I17" s="39"/>
      <c r="J17" s="39"/>
      <c r="K17" s="39"/>
      <c r="L17" s="39"/>
      <c r="M17" s="39"/>
      <c r="N17" s="39"/>
      <c r="O17" s="53">
        <f>SUM(E17:N17)</f>
        <v>7500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53">
        <f>2300+500</f>
        <v>2800</v>
      </c>
      <c r="C18" s="39">
        <v>0</v>
      </c>
      <c r="D18" s="39">
        <v>0</v>
      </c>
      <c r="E18" s="39">
        <v>0</v>
      </c>
      <c r="F18" s="39">
        <v>0</v>
      </c>
      <c r="G18" s="53">
        <v>2300</v>
      </c>
      <c r="H18" s="39">
        <v>0</v>
      </c>
      <c r="I18" s="39"/>
      <c r="J18" s="39"/>
      <c r="K18" s="39"/>
      <c r="L18" s="53">
        <v>500</v>
      </c>
      <c r="M18" s="39"/>
      <c r="N18" s="39"/>
      <c r="O18" s="53">
        <f>SUM(F18:N18)</f>
        <v>2800</v>
      </c>
      <c r="P18" s="3"/>
      <c r="Q18" s="3"/>
      <c r="R18" s="3"/>
      <c r="S18" s="3"/>
      <c r="T18" s="3"/>
      <c r="U18" s="3"/>
    </row>
    <row r="19" spans="1:21" ht="15.75" x14ac:dyDescent="0.25">
      <c r="A19" s="8" t="s">
        <v>22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/>
      <c r="J19" s="39"/>
      <c r="K19" s="39"/>
      <c r="L19" s="39"/>
      <c r="M19" s="39"/>
      <c r="N19" s="39"/>
      <c r="O19" s="39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/>
      <c r="J20" s="39"/>
      <c r="K20" s="39"/>
      <c r="L20" s="39"/>
      <c r="M20" s="39"/>
      <c r="N20" s="39"/>
      <c r="O20" s="39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53">
        <v>13300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/>
      <c r="J21" s="39"/>
      <c r="K21" s="39"/>
      <c r="L21" s="39"/>
      <c r="M21" s="39"/>
      <c r="N21" s="39"/>
      <c r="O21" s="39">
        <v>0</v>
      </c>
      <c r="P21" s="3"/>
      <c r="Q21" s="3"/>
      <c r="R21" s="3"/>
      <c r="S21" s="3" t="s">
        <v>26</v>
      </c>
      <c r="T21" s="13">
        <f>O42/1000</f>
        <v>1696.0218799999998</v>
      </c>
      <c r="U21" s="3"/>
    </row>
    <row r="22" spans="1:21" ht="16" x14ac:dyDescent="0.2">
      <c r="A22" s="8" t="s">
        <v>25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/>
      <c r="J22" s="39"/>
      <c r="K22" s="39"/>
      <c r="L22" s="39"/>
      <c r="M22" s="39"/>
      <c r="N22" s="39"/>
      <c r="O22" s="39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53">
        <f>SUM(B17:B22)</f>
        <v>23600</v>
      </c>
      <c r="C23" s="39">
        <v>0</v>
      </c>
      <c r="D23" s="39">
        <v>0</v>
      </c>
      <c r="E23" s="39">
        <v>0</v>
      </c>
      <c r="F23" s="39">
        <v>0</v>
      </c>
      <c r="G23" s="53">
        <f>SUM(G17:G22)</f>
        <v>9800</v>
      </c>
      <c r="H23" s="39">
        <v>0</v>
      </c>
      <c r="I23" s="39"/>
      <c r="J23" s="39"/>
      <c r="K23" s="39"/>
      <c r="L23" s="53">
        <f>SUM(L18:L22)</f>
        <v>500</v>
      </c>
      <c r="M23" s="39"/>
      <c r="N23" s="39"/>
      <c r="O23" s="53">
        <f>SUM(O17:O22)</f>
        <v>10300</v>
      </c>
      <c r="P23" s="3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3"/>
      <c r="Q24" s="3"/>
      <c r="R24" s="3"/>
      <c r="S24" s="3" t="s">
        <v>10</v>
      </c>
      <c r="T24" s="14">
        <f>N42/1000</f>
        <v>933.18588</v>
      </c>
      <c r="U24" s="15">
        <f>N43</f>
        <v>0.55022042522234449</v>
      </c>
    </row>
    <row r="25" spans="1:21" ht="16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3"/>
      <c r="Q25" s="3"/>
      <c r="R25" s="3"/>
      <c r="S25" s="3" t="s">
        <v>65</v>
      </c>
      <c r="T25" s="14">
        <f>G42/1000</f>
        <v>493.76100000000002</v>
      </c>
      <c r="U25" s="16">
        <f>G43</f>
        <v>0.29112890925676033</v>
      </c>
    </row>
    <row r="26" spans="1:21" ht="15.75" x14ac:dyDescent="0.2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"/>
      <c r="Q26" s="3"/>
      <c r="R26" s="3"/>
      <c r="S26" s="3" t="s">
        <v>7</v>
      </c>
      <c r="T26" s="14">
        <f>J42/1000</f>
        <v>0</v>
      </c>
      <c r="U26" s="15">
        <f>J43</f>
        <v>0</v>
      </c>
    </row>
    <row r="27" spans="1:21" ht="19" x14ac:dyDescent="0.25">
      <c r="A27" s="1" t="s">
        <v>29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11"/>
      <c r="P27" s="3"/>
      <c r="Q27" s="3"/>
      <c r="R27" s="3"/>
      <c r="S27" s="3" t="s">
        <v>31</v>
      </c>
      <c r="T27" s="14">
        <f>F42/1000</f>
        <v>9.593</v>
      </c>
      <c r="U27" s="15">
        <f>F43</f>
        <v>5.6561770299802978E-3</v>
      </c>
    </row>
    <row r="28" spans="1:21" ht="15.75" x14ac:dyDescent="0.25">
      <c r="A28" s="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3"/>
      <c r="Q28" s="3"/>
      <c r="R28" s="3"/>
      <c r="S28" s="3" t="s">
        <v>4</v>
      </c>
      <c r="T28" s="13">
        <f>E42/1000</f>
        <v>28.456</v>
      </c>
      <c r="U28" s="15">
        <f>E43</f>
        <v>1.6778085433661976E-2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65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42">
        <f>D43</f>
        <v>0</v>
      </c>
    </row>
    <row r="30" spans="1:21" ht="15.75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3"/>
      <c r="Q30" s="3"/>
      <c r="R30" s="3"/>
      <c r="S30" s="2" t="s">
        <v>8</v>
      </c>
      <c r="T30" s="2">
        <f>K42/1000</f>
        <v>0</v>
      </c>
      <c r="U30" s="42">
        <f>K43</f>
        <v>0</v>
      </c>
    </row>
    <row r="31" spans="1:21" ht="15.75" x14ac:dyDescent="0.25">
      <c r="A31" s="8" t="s">
        <v>33</v>
      </c>
      <c r="B31" s="39">
        <v>0</v>
      </c>
      <c r="C31" s="39">
        <v>2736</v>
      </c>
      <c r="D31" s="39">
        <v>0</v>
      </c>
      <c r="E31" s="39">
        <v>0</v>
      </c>
      <c r="F31" s="39">
        <v>283</v>
      </c>
      <c r="G31" s="39">
        <v>0</v>
      </c>
      <c r="H31" s="39">
        <v>0</v>
      </c>
      <c r="I31" s="39"/>
      <c r="J31" s="39"/>
      <c r="K31" s="39"/>
      <c r="L31" s="39"/>
      <c r="M31" s="39"/>
      <c r="N31" s="39">
        <v>8926</v>
      </c>
      <c r="O31" s="39">
        <v>11945</v>
      </c>
      <c r="P31" s="17">
        <f>O31/O$39</f>
        <v>7.2909787185212226E-3</v>
      </c>
      <c r="Q31" s="18" t="s">
        <v>34</v>
      </c>
      <c r="R31" s="3"/>
      <c r="S31" s="3" t="s">
        <v>5</v>
      </c>
      <c r="T31" s="14">
        <f>I42/1000</f>
        <v>0</v>
      </c>
      <c r="U31" s="15">
        <f>I43</f>
        <v>0</v>
      </c>
    </row>
    <row r="32" spans="1:21" ht="15.75" x14ac:dyDescent="0.25">
      <c r="A32" s="8" t="s">
        <v>36</v>
      </c>
      <c r="B32" s="39">
        <v>1081</v>
      </c>
      <c r="C32" s="39">
        <v>5512</v>
      </c>
      <c r="D32" s="39">
        <v>0</v>
      </c>
      <c r="E32" s="61">
        <v>28456</v>
      </c>
      <c r="F32" s="39">
        <v>0</v>
      </c>
      <c r="G32" s="61">
        <f>452287+606</f>
        <v>452893</v>
      </c>
      <c r="H32" s="39">
        <v>0</v>
      </c>
      <c r="I32" s="39"/>
      <c r="J32" s="39"/>
      <c r="K32" s="39"/>
      <c r="L32" s="39"/>
      <c r="M32" s="59">
        <v>105647</v>
      </c>
      <c r="N32" s="54">
        <f>866495-76261</f>
        <v>790234</v>
      </c>
      <c r="O32" s="54">
        <f>1355825-76261+104259</f>
        <v>1383823</v>
      </c>
      <c r="P32" s="17">
        <f>O32/O$39</f>
        <v>0.84465668005024641</v>
      </c>
      <c r="Q32" s="18" t="s">
        <v>37</v>
      </c>
      <c r="R32" s="3"/>
      <c r="S32" s="3" t="s">
        <v>6</v>
      </c>
      <c r="T32" s="14">
        <f>H42/1000</f>
        <v>0</v>
      </c>
      <c r="U32" s="15">
        <f>H43</f>
        <v>0</v>
      </c>
    </row>
    <row r="33" spans="1:48" ht="15.75" x14ac:dyDescent="0.25">
      <c r="A33" s="8" t="s">
        <v>38</v>
      </c>
      <c r="B33" s="39">
        <v>6884</v>
      </c>
      <c r="C33" s="39">
        <v>453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/>
      <c r="J33" s="39"/>
      <c r="K33" s="39"/>
      <c r="L33" s="39"/>
      <c r="M33" s="39"/>
      <c r="N33" s="39">
        <v>9577</v>
      </c>
      <c r="O33" s="39">
        <v>16914</v>
      </c>
      <c r="P33" s="17">
        <f>O33/O$39</f>
        <v>1.0323952619930344E-2</v>
      </c>
      <c r="Q33" s="18" t="s">
        <v>39</v>
      </c>
      <c r="R33" s="3"/>
      <c r="S33" s="3" t="s">
        <v>35</v>
      </c>
      <c r="T33" s="14">
        <f>C42/1000</f>
        <v>124.879</v>
      </c>
      <c r="U33" s="16">
        <f>C43</f>
        <v>7.3630535945680142E-2</v>
      </c>
    </row>
    <row r="34" spans="1:48" ht="15.75" x14ac:dyDescent="0.25">
      <c r="A34" s="8" t="s">
        <v>40</v>
      </c>
      <c r="B34" s="39">
        <v>0</v>
      </c>
      <c r="C34" s="39">
        <v>112578</v>
      </c>
      <c r="D34" s="39">
        <v>0</v>
      </c>
      <c r="E34" s="39">
        <v>0</v>
      </c>
      <c r="F34" s="39">
        <v>9310</v>
      </c>
      <c r="G34" s="39">
        <v>0</v>
      </c>
      <c r="H34" s="39">
        <v>0</v>
      </c>
      <c r="I34" s="39"/>
      <c r="J34" s="39"/>
      <c r="K34" s="39"/>
      <c r="L34" s="39"/>
      <c r="M34" s="39"/>
      <c r="N34" s="39">
        <v>52</v>
      </c>
      <c r="O34" s="39">
        <v>121940</v>
      </c>
      <c r="P34" s="17">
        <f>O34/O$39</f>
        <v>7.4429631221136702E-2</v>
      </c>
      <c r="Q34" s="18" t="s">
        <v>41</v>
      </c>
      <c r="R34" s="3"/>
      <c r="S34" s="3"/>
      <c r="T34" s="14">
        <f>SUM(T24:T32)</f>
        <v>1464.9958799999999</v>
      </c>
      <c r="U34" s="15">
        <f>SUM(U24:U32)</f>
        <v>0.86378359694274709</v>
      </c>
    </row>
    <row r="35" spans="1:48" ht="16" x14ac:dyDescent="0.2">
      <c r="A35" s="8" t="s">
        <v>42</v>
      </c>
      <c r="B35" s="39">
        <v>1195</v>
      </c>
      <c r="C35" s="39">
        <v>2072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/>
      <c r="J35" s="39"/>
      <c r="K35" s="39"/>
      <c r="L35" s="39"/>
      <c r="M35" s="39"/>
      <c r="N35" s="39">
        <v>15031</v>
      </c>
      <c r="O35" s="39">
        <v>18298</v>
      </c>
      <c r="P35" s="17">
        <f>O35/O$39</f>
        <v>1.1168717337086758E-2</v>
      </c>
      <c r="Q35" s="18" t="s">
        <v>43</v>
      </c>
      <c r="R35" s="18"/>
    </row>
    <row r="36" spans="1:48" ht="16" x14ac:dyDescent="0.2">
      <c r="A36" s="8" t="s">
        <v>44</v>
      </c>
      <c r="B36" s="39">
        <v>3064</v>
      </c>
      <c r="C36" s="39">
        <v>705</v>
      </c>
      <c r="D36" s="39">
        <v>0</v>
      </c>
      <c r="E36" s="39">
        <v>0</v>
      </c>
      <c r="F36" s="39">
        <v>0</v>
      </c>
      <c r="G36" s="39">
        <v>31068</v>
      </c>
      <c r="H36" s="39">
        <v>0</v>
      </c>
      <c r="I36" s="39"/>
      <c r="J36" s="39"/>
      <c r="K36" s="39"/>
      <c r="L36" s="39"/>
      <c r="M36" s="39"/>
      <c r="N36" s="39">
        <v>24632</v>
      </c>
      <c r="O36" s="39">
        <v>59470</v>
      </c>
      <c r="P36" s="18"/>
      <c r="Q36" s="18"/>
      <c r="R36" s="3"/>
      <c r="S36" s="7"/>
      <c r="T36" s="7"/>
      <c r="U36" s="7"/>
    </row>
    <row r="37" spans="1:48" ht="15.75" x14ac:dyDescent="0.25">
      <c r="A37" s="8" t="s">
        <v>45</v>
      </c>
      <c r="B37" s="39">
        <v>9504</v>
      </c>
      <c r="C37" s="39">
        <v>823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/>
      <c r="J37" s="39"/>
      <c r="K37" s="39"/>
      <c r="L37" s="39"/>
      <c r="M37" s="39"/>
      <c r="N37" s="39">
        <v>12885</v>
      </c>
      <c r="O37" s="39">
        <v>23212</v>
      </c>
      <c r="P37" s="18"/>
      <c r="Q37" s="18"/>
      <c r="R37" s="3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39">
        <v>0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/>
      <c r="J38" s="39"/>
      <c r="K38" s="39"/>
      <c r="L38" s="39"/>
      <c r="M38" s="39"/>
      <c r="N38" s="39">
        <v>2724</v>
      </c>
      <c r="O38" s="39">
        <v>2724</v>
      </c>
      <c r="P38" s="18">
        <f>SUM(P31:P35)</f>
        <v>0.94786995994692147</v>
      </c>
      <c r="Q38" s="18"/>
      <c r="R38" s="3"/>
      <c r="S38" s="7" t="s">
        <v>47</v>
      </c>
      <c r="T38" s="19">
        <f>O45/1000</f>
        <v>70.996880000000004</v>
      </c>
      <c r="U38" s="7"/>
    </row>
    <row r="39" spans="1:48" ht="16" x14ac:dyDescent="0.2">
      <c r="A39" s="8" t="s">
        <v>16</v>
      </c>
      <c r="B39" s="39">
        <v>21728</v>
      </c>
      <c r="C39" s="39">
        <v>124879</v>
      </c>
      <c r="D39" s="39">
        <v>0</v>
      </c>
      <c r="E39" s="58">
        <f>SUM(E31:E38)</f>
        <v>28456</v>
      </c>
      <c r="F39" s="39">
        <v>9593</v>
      </c>
      <c r="G39" s="48">
        <f>SUM(G31:G38)</f>
        <v>483961</v>
      </c>
      <c r="H39" s="39">
        <v>0</v>
      </c>
      <c r="I39" s="39"/>
      <c r="J39" s="39"/>
      <c r="K39" s="39"/>
      <c r="L39" s="39"/>
      <c r="M39" s="59">
        <f>SUM(M32:M38)</f>
        <v>105647</v>
      </c>
      <c r="N39" s="54">
        <f>940322-76261</f>
        <v>864061</v>
      </c>
      <c r="O39" s="54">
        <f>1610328-76261+104259</f>
        <v>1638326</v>
      </c>
      <c r="P39" s="3"/>
      <c r="Q39" s="3"/>
      <c r="R39" s="3"/>
      <c r="S39" s="7" t="s">
        <v>48</v>
      </c>
      <c r="T39" s="20">
        <f>O41/1000</f>
        <v>85.406000000000006</v>
      </c>
      <c r="U39" s="15">
        <f>P41</f>
        <v>5.2130040053078572E-2</v>
      </c>
    </row>
    <row r="40" spans="1:48" x14ac:dyDescent="0.2">
      <c r="N40" s="11"/>
      <c r="O40" s="11"/>
      <c r="S40" s="7" t="s">
        <v>49</v>
      </c>
      <c r="T40" s="20">
        <f>O35/1000</f>
        <v>18.297999999999998</v>
      </c>
      <c r="U40" s="16">
        <f>P35</f>
        <v>1.1168717337086758E-2</v>
      </c>
    </row>
    <row r="41" spans="1:48" ht="16" x14ac:dyDescent="0.2">
      <c r="A41" s="21" t="s">
        <v>50</v>
      </c>
      <c r="B41" s="22">
        <f>B38+B37+B36</f>
        <v>12568</v>
      </c>
      <c r="C41" s="22">
        <f t="shared" ref="C41:O41" si="0">C38+C37+C36</f>
        <v>1528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31068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40241</v>
      </c>
      <c r="O41" s="22">
        <f t="shared" si="0"/>
        <v>85406</v>
      </c>
      <c r="P41" s="17">
        <f>O41/O$39</f>
        <v>5.2130040053078572E-2</v>
      </c>
      <c r="Q41" s="17" t="s">
        <v>51</v>
      </c>
      <c r="R41" s="7"/>
      <c r="S41" s="7" t="s">
        <v>52</v>
      </c>
      <c r="T41" s="20">
        <f>O33/1000</f>
        <v>16.914000000000001</v>
      </c>
      <c r="U41" s="15">
        <f>P33</f>
        <v>1.0323952619930344E-2</v>
      </c>
    </row>
    <row r="42" spans="1:48" ht="16" x14ac:dyDescent="0.2">
      <c r="A42" s="23" t="s">
        <v>53</v>
      </c>
      <c r="B42" s="22"/>
      <c r="C42" s="24">
        <f>C39+C23+C10</f>
        <v>124879</v>
      </c>
      <c r="D42" s="24">
        <f t="shared" ref="D42:M42" si="1">D39+D23+D10</f>
        <v>0</v>
      </c>
      <c r="E42" s="24">
        <f t="shared" si="1"/>
        <v>28456</v>
      </c>
      <c r="F42" s="24">
        <f t="shared" si="1"/>
        <v>9593</v>
      </c>
      <c r="G42" s="24">
        <f t="shared" si="1"/>
        <v>493761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500</v>
      </c>
      <c r="M42" s="24">
        <f t="shared" si="1"/>
        <v>105647</v>
      </c>
      <c r="N42" s="24">
        <f>N39+N23-B6+N45</f>
        <v>933185.88</v>
      </c>
      <c r="O42" s="25">
        <f>SUM(C42:N42)</f>
        <v>1696021.88</v>
      </c>
      <c r="P42" s="7"/>
      <c r="Q42" s="7"/>
      <c r="R42" s="7"/>
      <c r="S42" s="7" t="s">
        <v>34</v>
      </c>
      <c r="T42" s="20">
        <f>O31/1000</f>
        <v>11.945</v>
      </c>
      <c r="U42" s="15">
        <f>P31</f>
        <v>7.2909787185212226E-3</v>
      </c>
    </row>
    <row r="43" spans="1:48" ht="16" x14ac:dyDescent="0.2">
      <c r="A43" s="23" t="s">
        <v>54</v>
      </c>
      <c r="B43" s="22"/>
      <c r="C43" s="17">
        <f t="shared" ref="C43:N43" si="2">C42/$O42</f>
        <v>7.3630535945680142E-2</v>
      </c>
      <c r="D43" s="17">
        <f t="shared" si="2"/>
        <v>0</v>
      </c>
      <c r="E43" s="17">
        <f t="shared" si="2"/>
        <v>1.6778085433661976E-2</v>
      </c>
      <c r="F43" s="17">
        <f t="shared" si="2"/>
        <v>5.6561770299802978E-3</v>
      </c>
      <c r="G43" s="17">
        <f t="shared" si="2"/>
        <v>0.29112890925676033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2.948075174596215E-4</v>
      </c>
      <c r="M43" s="17">
        <f t="shared" si="2"/>
        <v>6.2291059594113261E-2</v>
      </c>
      <c r="N43" s="17">
        <f t="shared" si="2"/>
        <v>0.55022042522234449</v>
      </c>
      <c r="O43" s="17">
        <f>SUM(C43:N43)</f>
        <v>1</v>
      </c>
      <c r="P43" s="7"/>
      <c r="Q43" s="7"/>
      <c r="R43" s="7"/>
      <c r="S43" s="7" t="s">
        <v>55</v>
      </c>
      <c r="T43" s="20">
        <f>O32/1000</f>
        <v>1383.8230000000001</v>
      </c>
      <c r="U43" s="16">
        <f>P32</f>
        <v>0.84465668005024641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121.94</v>
      </c>
      <c r="U44" s="16">
        <f>P34</f>
        <v>7.4429631221136702E-2</v>
      </c>
    </row>
    <row r="45" spans="1:48" ht="16" x14ac:dyDescent="0.2">
      <c r="A45" s="6" t="s">
        <v>57</v>
      </c>
      <c r="B45" s="6">
        <f>B23-B39</f>
        <v>1872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69124.88</v>
      </c>
      <c r="O45" s="25">
        <f>B45+N45</f>
        <v>70996.88</v>
      </c>
      <c r="P45" s="7"/>
      <c r="Q45" s="7"/>
      <c r="R45" s="7"/>
      <c r="S45" s="7" t="s">
        <v>58</v>
      </c>
      <c r="T45" s="20">
        <f>SUM(T39:T44)</f>
        <v>1638.3260000000002</v>
      </c>
      <c r="U45" s="15">
        <f>SUM(U39:U44)</f>
        <v>1</v>
      </c>
    </row>
    <row r="46" spans="1:48" ht="16" x14ac:dyDescent="0.2">
      <c r="A46" s="6"/>
      <c r="B46" s="38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ht="16" x14ac:dyDescent="0.2">
      <c r="A49" s="4"/>
      <c r="B49" s="39"/>
      <c r="C49" s="39"/>
      <c r="D49" s="39"/>
      <c r="E49" s="49"/>
      <c r="F49" s="39"/>
      <c r="G49" s="39"/>
      <c r="I49" s="39"/>
      <c r="J49" s="39"/>
      <c r="K49" s="39"/>
      <c r="L49" s="56"/>
      <c r="M49" s="39"/>
      <c r="N49" s="39"/>
      <c r="O49" s="39"/>
      <c r="P49" s="39"/>
      <c r="Q49" s="39"/>
      <c r="R49" s="39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27"/>
      <c r="B50" s="4"/>
      <c r="C50" s="9"/>
      <c r="D50" s="9"/>
      <c r="E50" s="9"/>
      <c r="F50" s="9"/>
      <c r="G50" s="9"/>
      <c r="H50" s="9"/>
      <c r="I50" s="9"/>
      <c r="J50" s="9"/>
      <c r="K50" s="9"/>
      <c r="L50" s="9"/>
      <c r="M50" s="27"/>
      <c r="N50" s="9"/>
      <c r="O50" s="9"/>
      <c r="P50" s="27"/>
      <c r="Q50" s="27"/>
      <c r="R50" s="4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8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9"/>
      <c r="D51" s="9"/>
      <c r="E51" s="9"/>
      <c r="F51" s="9"/>
      <c r="G51" s="9"/>
      <c r="H51" s="9"/>
      <c r="I51" s="9"/>
      <c r="J51" s="9"/>
      <c r="K51" s="9"/>
      <c r="L51" s="9"/>
      <c r="M51" s="27"/>
      <c r="N51" s="9"/>
      <c r="O51" s="9"/>
      <c r="P51" s="27"/>
      <c r="Q51" s="27"/>
      <c r="R51" s="4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8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9"/>
      <c r="D52" s="9"/>
      <c r="E52" s="9"/>
      <c r="F52" s="9"/>
      <c r="G52" s="9"/>
      <c r="H52" s="9"/>
      <c r="I52" s="9"/>
      <c r="J52" s="9"/>
      <c r="K52" s="9"/>
      <c r="L52" s="9"/>
      <c r="M52" s="27"/>
      <c r="N52" s="9"/>
      <c r="O52" s="9"/>
      <c r="P52" s="27"/>
      <c r="Q52" s="27"/>
      <c r="R52" s="4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8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5"/>
      <c r="B53" s="7"/>
      <c r="C53" s="29"/>
      <c r="D53" s="29"/>
      <c r="E53" s="9"/>
      <c r="F53" s="9"/>
      <c r="G53" s="9"/>
      <c r="H53" s="9"/>
      <c r="I53" s="9"/>
      <c r="J53" s="9"/>
      <c r="K53" s="9"/>
      <c r="L53" s="9"/>
      <c r="M53" s="27"/>
      <c r="N53" s="9"/>
      <c r="O53" s="9"/>
      <c r="P53" s="27"/>
      <c r="Q53" s="27"/>
      <c r="R53" s="4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8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5"/>
      <c r="C54" s="6"/>
      <c r="D54" s="6"/>
      <c r="E54" s="9"/>
      <c r="F54" s="9"/>
      <c r="G54" s="9"/>
      <c r="H54" s="9"/>
      <c r="I54" s="9"/>
      <c r="J54" s="9"/>
      <c r="K54" s="9"/>
      <c r="L54" s="9"/>
      <c r="M54" s="27"/>
      <c r="N54" s="9"/>
      <c r="O54" s="9"/>
      <c r="P54" s="27"/>
      <c r="Q54" s="27"/>
      <c r="R54" s="4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8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5"/>
      <c r="B55" s="57"/>
      <c r="C55" s="6"/>
      <c r="D55" s="6"/>
      <c r="E55" s="9"/>
      <c r="F55" s="10"/>
      <c r="G55" s="9"/>
      <c r="H55" s="9"/>
      <c r="I55" s="9"/>
      <c r="J55" s="9"/>
      <c r="K55" s="9"/>
      <c r="L55" s="9"/>
      <c r="M55" s="27"/>
      <c r="N55" s="9"/>
      <c r="O55" s="9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ht="16" x14ac:dyDescent="0.2">
      <c r="A56" s="5"/>
      <c r="B56" s="57"/>
      <c r="C56" s="6"/>
      <c r="D56" s="32"/>
      <c r="E56" s="9"/>
      <c r="F56" s="10"/>
      <c r="G56" s="9"/>
      <c r="H56" s="9"/>
      <c r="I56" s="9"/>
      <c r="J56" s="9"/>
      <c r="K56" s="9"/>
      <c r="L56" s="9"/>
      <c r="M56" s="27"/>
      <c r="N56" s="9"/>
      <c r="O56" s="9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5"/>
      <c r="B57" s="57"/>
      <c r="C57" s="6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5"/>
      <c r="Q57" s="7"/>
      <c r="R57" s="7"/>
      <c r="S57" s="7"/>
      <c r="T57" s="6"/>
      <c r="U57" s="31"/>
    </row>
    <row r="58" spans="1:48" ht="16" x14ac:dyDescent="0.2">
      <c r="A58" s="5"/>
      <c r="B58" s="57"/>
      <c r="C58" s="6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5"/>
      <c r="Q58" s="7"/>
      <c r="R58" s="7"/>
      <c r="S58" s="7"/>
      <c r="T58" s="6"/>
      <c r="U58" s="31"/>
    </row>
    <row r="59" spans="1:48" ht="16" x14ac:dyDescent="0.2">
      <c r="A59" s="5"/>
      <c r="B59" s="57"/>
      <c r="C59" s="6"/>
      <c r="D59" s="11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5"/>
      <c r="Q59" s="7"/>
      <c r="R59" s="7"/>
      <c r="S59" s="7"/>
      <c r="T59" s="6"/>
      <c r="U59" s="31"/>
    </row>
    <row r="60" spans="1:48" ht="16" x14ac:dyDescent="0.2">
      <c r="A60" s="5"/>
      <c r="B60" s="57"/>
      <c r="C60" s="6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5"/>
      <c r="Q60" s="7"/>
      <c r="R60" s="7"/>
      <c r="S60" s="7"/>
      <c r="T60" s="6"/>
      <c r="U60" s="31"/>
    </row>
    <row r="61" spans="1:48" ht="16" x14ac:dyDescent="0.2">
      <c r="C61" s="11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5"/>
      <c r="Q61" s="7"/>
      <c r="R61" s="7"/>
      <c r="S61" s="7"/>
      <c r="T61" s="32"/>
      <c r="U61" s="33"/>
    </row>
    <row r="62" spans="1:48" x14ac:dyDescent="0.2">
      <c r="A62" s="7"/>
      <c r="B62" s="34"/>
      <c r="C62" s="34"/>
      <c r="D62" s="34"/>
      <c r="E62" s="34"/>
      <c r="F62" s="34"/>
      <c r="G62" s="34"/>
      <c r="H62" s="34"/>
      <c r="I62" s="34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ht="16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6"/>
      <c r="M63" s="6"/>
      <c r="N63" s="30"/>
      <c r="O63" s="7"/>
      <c r="P63" s="6"/>
      <c r="Q63" s="15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1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1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1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1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1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1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7"/>
      <c r="T70" s="32"/>
      <c r="U70" s="36"/>
    </row>
  </sheetData>
  <pageMargins left="0.75" right="0.75" top="0.75" bottom="0.5" header="0.5" footer="0.75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 enableFormatConditionsCalculation="0"/>
  <dimension ref="A1:AV70"/>
  <sheetViews>
    <sheetView workbookViewId="0"/>
  </sheetViews>
  <sheetFormatPr baseColWidth="10" defaultColWidth="8.6640625" defaultRowHeight="15" x14ac:dyDescent="0.2"/>
  <cols>
    <col min="1" max="1" width="23" style="2" customWidth="1"/>
    <col min="2" max="21" width="10" style="2" customWidth="1"/>
    <col min="22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8" t="s">
        <v>59</v>
      </c>
      <c r="Q2" s="40"/>
      <c r="R2" s="8"/>
      <c r="AH2" s="40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65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40"/>
      <c r="R3" s="40"/>
      <c r="AH3" s="40"/>
      <c r="AI3" s="40"/>
    </row>
    <row r="4" spans="1:35" ht="15.75" x14ac:dyDescent="0.25">
      <c r="A4" s="8" t="s">
        <v>70</v>
      </c>
      <c r="B4" s="62">
        <f>0.95*2696</f>
        <v>2561.1999999999998</v>
      </c>
      <c r="Q4" s="40"/>
      <c r="R4" s="40"/>
      <c r="AH4" s="40"/>
      <c r="AI4" s="40"/>
    </row>
    <row r="5" spans="1:35" ht="15.75" x14ac:dyDescent="0.25">
      <c r="A5" s="40"/>
      <c r="Q5" s="40"/>
      <c r="R5" s="40"/>
      <c r="AH5" s="40"/>
      <c r="AI5" s="40"/>
    </row>
    <row r="6" spans="1:35" ht="16" x14ac:dyDescent="0.2">
      <c r="A6" s="8" t="s">
        <v>12</v>
      </c>
      <c r="B6" s="50">
        <v>70500</v>
      </c>
      <c r="C6" s="39">
        <v>0</v>
      </c>
      <c r="D6" s="48">
        <v>0</v>
      </c>
      <c r="E6" s="39">
        <v>0</v>
      </c>
      <c r="F6" s="39">
        <v>0</v>
      </c>
      <c r="G6" s="48">
        <v>0</v>
      </c>
      <c r="H6" s="39">
        <v>0</v>
      </c>
      <c r="I6" s="39"/>
      <c r="J6" s="39"/>
      <c r="K6" s="48">
        <v>0</v>
      </c>
      <c r="L6" s="39"/>
      <c r="M6" s="39"/>
      <c r="N6" s="39"/>
      <c r="O6" s="48">
        <f>SUM(D6:N6)</f>
        <v>0</v>
      </c>
      <c r="Q6" s="40"/>
      <c r="R6" s="40"/>
      <c r="AH6" s="40"/>
      <c r="AI6" s="40"/>
    </row>
    <row r="7" spans="1:35" ht="16" x14ac:dyDescent="0.2">
      <c r="A7" s="8" t="s">
        <v>13</v>
      </c>
      <c r="B7" s="39">
        <v>1970</v>
      </c>
      <c r="C7" s="39">
        <v>6843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/>
      <c r="J7" s="39"/>
      <c r="K7" s="39"/>
      <c r="L7" s="39"/>
      <c r="M7" s="39"/>
      <c r="N7" s="39"/>
      <c r="O7" s="39">
        <v>6843</v>
      </c>
      <c r="P7" s="41"/>
      <c r="Q7" s="40"/>
      <c r="R7" s="40"/>
      <c r="AH7" s="40"/>
      <c r="AI7" s="40"/>
    </row>
    <row r="8" spans="1:35" ht="15.75" x14ac:dyDescent="0.25">
      <c r="A8" s="8" t="s">
        <v>14</v>
      </c>
      <c r="B8" s="48">
        <f>B10-B9-B7-B6-B4</f>
        <v>71899.8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/>
      <c r="J8" s="39"/>
      <c r="K8" s="39"/>
      <c r="L8" s="39"/>
      <c r="M8" s="39"/>
      <c r="N8" s="39"/>
      <c r="O8" s="39">
        <v>0</v>
      </c>
      <c r="P8" s="41"/>
      <c r="Q8" s="40"/>
      <c r="R8" s="40"/>
      <c r="AH8" s="40"/>
      <c r="AI8" s="40"/>
    </row>
    <row r="9" spans="1:35" ht="15.75" x14ac:dyDescent="0.25">
      <c r="A9" s="8" t="s">
        <v>15</v>
      </c>
      <c r="B9" s="39">
        <v>81488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/>
      <c r="J9" s="39"/>
      <c r="K9" s="39"/>
      <c r="L9" s="39"/>
      <c r="M9" s="39"/>
      <c r="N9" s="39"/>
      <c r="O9" s="39">
        <v>0</v>
      </c>
      <c r="P9" s="41"/>
      <c r="Q9" s="40"/>
      <c r="R9" s="40"/>
      <c r="S9" s="8"/>
      <c r="T9" s="41"/>
      <c r="U9" s="41"/>
      <c r="V9" s="41"/>
      <c r="W9" s="41"/>
      <c r="X9" s="39"/>
      <c r="Y9" s="41"/>
      <c r="Z9" s="39"/>
      <c r="AA9" s="39"/>
      <c r="AB9" s="39"/>
      <c r="AC9" s="39"/>
      <c r="AD9" s="39"/>
      <c r="AE9" s="39"/>
      <c r="AF9" s="39"/>
      <c r="AG9" s="41"/>
      <c r="AH9" s="40"/>
      <c r="AI9" s="40"/>
    </row>
    <row r="10" spans="1:35" ht="16" x14ac:dyDescent="0.2">
      <c r="A10" s="8" t="s">
        <v>16</v>
      </c>
      <c r="B10" s="54">
        <f>225858+2561</f>
        <v>228419</v>
      </c>
      <c r="C10" s="39">
        <v>6843</v>
      </c>
      <c r="D10" s="48">
        <f>SUM(D6:D9)</f>
        <v>0</v>
      </c>
      <c r="E10" s="39">
        <v>0</v>
      </c>
      <c r="F10" s="39">
        <v>0</v>
      </c>
      <c r="G10" s="48">
        <f>SUM(G6:G9)</f>
        <v>0</v>
      </c>
      <c r="H10" s="39">
        <v>0</v>
      </c>
      <c r="I10" s="39"/>
      <c r="J10" s="39"/>
      <c r="K10" s="48">
        <f>SUM(K6:K9)</f>
        <v>0</v>
      </c>
      <c r="L10" s="39"/>
      <c r="M10" s="39"/>
      <c r="N10" s="39"/>
      <c r="O10" s="48">
        <f>SUM(O6:O9)</f>
        <v>6843</v>
      </c>
      <c r="P10" s="41"/>
      <c r="Q10" s="40"/>
      <c r="R10" s="40"/>
      <c r="S10" s="8"/>
      <c r="T10" s="41"/>
      <c r="U10" s="41"/>
      <c r="V10" s="41"/>
      <c r="W10" s="41"/>
      <c r="X10" s="39"/>
      <c r="Y10" s="41"/>
      <c r="Z10" s="39"/>
      <c r="AA10" s="39"/>
      <c r="AB10" s="39"/>
      <c r="AC10" s="39"/>
      <c r="AD10" s="39"/>
      <c r="AE10" s="39"/>
      <c r="AF10" s="39"/>
      <c r="AG10" s="41"/>
      <c r="AH10" s="40"/>
      <c r="AI10" s="40"/>
    </row>
    <row r="11" spans="1:35" ht="15.75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3"/>
      <c r="Q11" s="3"/>
      <c r="R11" s="3"/>
      <c r="S11" s="3"/>
      <c r="T11" s="3"/>
      <c r="U11" s="3"/>
    </row>
    <row r="12" spans="1:35" ht="15.75" x14ac:dyDescent="0.2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2"/>
      <c r="P13" s="3"/>
      <c r="Q13" s="3"/>
      <c r="R13" s="3"/>
      <c r="S13" s="3"/>
      <c r="T13" s="3"/>
      <c r="U13" s="3"/>
    </row>
    <row r="14" spans="1:35" ht="15.75" x14ac:dyDescent="0.25">
      <c r="A14" s="4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65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/>
      <c r="N15" s="6" t="s">
        <v>10</v>
      </c>
      <c r="O15" s="11" t="s">
        <v>11</v>
      </c>
      <c r="P15" s="3"/>
      <c r="Q15" s="3"/>
      <c r="R15" s="3"/>
      <c r="S15" s="3"/>
      <c r="T15" s="3"/>
      <c r="U15" s="3"/>
    </row>
    <row r="16" spans="1:35" ht="15.75" x14ac:dyDescent="0.2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50">
        <f>609600</f>
        <v>609600</v>
      </c>
      <c r="C17" s="50">
        <v>2108</v>
      </c>
      <c r="D17" s="52">
        <v>200</v>
      </c>
      <c r="E17" s="50">
        <v>10400</v>
      </c>
      <c r="F17" s="39">
        <v>0</v>
      </c>
      <c r="G17" s="52">
        <f>139125+32200</f>
        <v>171325</v>
      </c>
      <c r="H17" s="39">
        <v>0</v>
      </c>
      <c r="I17" s="39"/>
      <c r="J17" s="39"/>
      <c r="K17" s="55">
        <f>389453+132500</f>
        <v>521953</v>
      </c>
      <c r="L17" s="39"/>
      <c r="M17" s="39"/>
      <c r="N17" s="53">
        <v>21729</v>
      </c>
      <c r="O17" s="55">
        <f>SUM(C17:N17)</f>
        <v>727715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/>
      <c r="J18" s="39"/>
      <c r="K18" s="39"/>
      <c r="L18" s="39"/>
      <c r="M18" s="39"/>
      <c r="N18" s="39"/>
      <c r="O18" s="39">
        <v>0</v>
      </c>
      <c r="P18" s="3"/>
      <c r="Q18" s="3"/>
      <c r="R18" s="3"/>
      <c r="S18" s="3"/>
      <c r="T18" s="3"/>
      <c r="U18" s="3"/>
    </row>
    <row r="19" spans="1:21" ht="15.75" x14ac:dyDescent="0.25">
      <c r="A19" s="8" t="s">
        <v>22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/>
      <c r="J19" s="39"/>
      <c r="K19" s="39"/>
      <c r="L19" s="39"/>
      <c r="M19" s="39"/>
      <c r="N19" s="39"/>
      <c r="O19" s="39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/>
      <c r="J20" s="39"/>
      <c r="K20" s="39"/>
      <c r="L20" s="39"/>
      <c r="M20" s="39"/>
      <c r="N20" s="39"/>
      <c r="O20" s="39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/>
      <c r="J21" s="39"/>
      <c r="K21" s="39"/>
      <c r="L21" s="39"/>
      <c r="M21" s="39"/>
      <c r="N21" s="39"/>
      <c r="O21" s="39">
        <v>0</v>
      </c>
      <c r="P21" s="3"/>
      <c r="Q21" s="3"/>
      <c r="R21" s="3"/>
      <c r="S21" s="3" t="s">
        <v>26</v>
      </c>
      <c r="T21" s="13">
        <f>O42/1000</f>
        <v>3320.2761600000003</v>
      </c>
      <c r="U21" s="3"/>
    </row>
    <row r="22" spans="1:21" ht="16" x14ac:dyDescent="0.2">
      <c r="A22" s="8" t="s">
        <v>25</v>
      </c>
      <c r="B22" s="48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/>
      <c r="J22" s="39"/>
      <c r="K22" s="39"/>
      <c r="L22" s="39"/>
      <c r="M22" s="39"/>
      <c r="N22" s="39"/>
      <c r="O22" s="39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50">
        <v>609600</v>
      </c>
      <c r="C23" s="50">
        <f>SUM(C17:C22)</f>
        <v>2108</v>
      </c>
      <c r="D23" s="55">
        <f>SUM(D17:D22)</f>
        <v>200</v>
      </c>
      <c r="E23" s="50">
        <f>SUM(E17:E22)</f>
        <v>10400</v>
      </c>
      <c r="F23" s="39">
        <v>0</v>
      </c>
      <c r="G23" s="55">
        <f>SUM(G17:G22)</f>
        <v>171325</v>
      </c>
      <c r="H23" s="39">
        <v>0</v>
      </c>
      <c r="I23" s="39"/>
      <c r="J23" s="39"/>
      <c r="K23" s="55">
        <f>SUM(K17:K22)</f>
        <v>521953</v>
      </c>
      <c r="L23" s="39"/>
      <c r="M23" s="39"/>
      <c r="N23" s="53">
        <f>SUM(N17:N22)</f>
        <v>21729</v>
      </c>
      <c r="O23" s="50">
        <f>SUM(O17:O22)</f>
        <v>727715</v>
      </c>
      <c r="P23" s="3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3"/>
      <c r="Q24" s="3"/>
      <c r="R24" s="3"/>
      <c r="S24" s="3" t="s">
        <v>10</v>
      </c>
      <c r="T24" s="14">
        <f>N42/1000</f>
        <v>1065.8451599999999</v>
      </c>
      <c r="U24" s="15">
        <f>N43</f>
        <v>0.32101099686840501</v>
      </c>
    </row>
    <row r="25" spans="1:21" ht="16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3"/>
      <c r="Q25" s="3"/>
      <c r="R25" s="3"/>
      <c r="S25" s="3" t="s">
        <v>65</v>
      </c>
      <c r="T25" s="14">
        <f>G42/1000</f>
        <v>273.08800000000002</v>
      </c>
      <c r="U25" s="16">
        <f>G43</f>
        <v>8.2248580190389942E-2</v>
      </c>
    </row>
    <row r="26" spans="1:21" ht="15.75" x14ac:dyDescent="0.2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"/>
      <c r="Q26" s="3"/>
      <c r="R26" s="3"/>
      <c r="S26" s="3" t="s">
        <v>7</v>
      </c>
      <c r="T26" s="14">
        <f>J42/1000</f>
        <v>0</v>
      </c>
      <c r="U26" s="15">
        <f>J43</f>
        <v>0</v>
      </c>
    </row>
    <row r="27" spans="1:21" ht="19" x14ac:dyDescent="0.25">
      <c r="A27" s="1" t="s">
        <v>29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11"/>
      <c r="P27" s="3"/>
      <c r="Q27" s="3"/>
      <c r="R27" s="3"/>
      <c r="S27" s="3" t="s">
        <v>31</v>
      </c>
      <c r="T27" s="14">
        <f>F42/1000</f>
        <v>103.90900000000001</v>
      </c>
      <c r="U27" s="15">
        <f>F43</f>
        <v>3.1295288401552719E-2</v>
      </c>
    </row>
    <row r="28" spans="1:21" ht="15.75" x14ac:dyDescent="0.25">
      <c r="A28" s="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3"/>
      <c r="Q28" s="3"/>
      <c r="R28" s="3"/>
      <c r="S28" s="3" t="s">
        <v>4</v>
      </c>
      <c r="T28" s="13">
        <f>E42/1000</f>
        <v>81.738</v>
      </c>
      <c r="U28" s="15">
        <f>E43</f>
        <v>2.4617831789028054E-2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65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0.2</v>
      </c>
      <c r="U29" s="42">
        <f>D43</f>
        <v>6.0235953385275032E-5</v>
      </c>
    </row>
    <row r="30" spans="1:21" ht="15.75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3"/>
      <c r="Q30" s="3"/>
      <c r="R30" s="3"/>
      <c r="S30" s="2" t="s">
        <v>8</v>
      </c>
      <c r="T30" s="2">
        <f>K42/1000</f>
        <v>521.95299999999997</v>
      </c>
      <c r="U30" s="42">
        <f>K43</f>
        <v>0.15720168288652231</v>
      </c>
    </row>
    <row r="31" spans="1:21" ht="15.75" x14ac:dyDescent="0.25">
      <c r="A31" s="8" t="s">
        <v>33</v>
      </c>
      <c r="B31" s="39">
        <v>0</v>
      </c>
      <c r="C31" s="39">
        <v>26282</v>
      </c>
      <c r="D31" s="39">
        <v>0</v>
      </c>
      <c r="E31" s="39">
        <v>0</v>
      </c>
      <c r="F31" s="39">
        <v>2625</v>
      </c>
      <c r="G31" s="39">
        <v>0</v>
      </c>
      <c r="H31" s="39">
        <v>0</v>
      </c>
      <c r="I31" s="39"/>
      <c r="J31" s="39"/>
      <c r="K31" s="39"/>
      <c r="L31" s="39"/>
      <c r="M31" s="40"/>
      <c r="N31" s="39">
        <v>26937</v>
      </c>
      <c r="O31" s="39">
        <v>55844</v>
      </c>
      <c r="P31" s="17">
        <f>O31/O$39</f>
        <v>1.7915640189627831E-2</v>
      </c>
      <c r="Q31" s="18" t="s">
        <v>34</v>
      </c>
      <c r="R31" s="3"/>
      <c r="S31" s="3" t="s">
        <v>5</v>
      </c>
      <c r="T31" s="14">
        <f>I42/1000</f>
        <v>0</v>
      </c>
      <c r="U31" s="15">
        <f>I43</f>
        <v>0</v>
      </c>
    </row>
    <row r="32" spans="1:21" ht="15.75" x14ac:dyDescent="0.25">
      <c r="A32" s="8" t="s">
        <v>36</v>
      </c>
      <c r="B32" s="48">
        <f>(B39-B37-B36-B35)*121546/(59500+121546)</f>
        <v>120638.32906554136</v>
      </c>
      <c r="C32" s="39">
        <v>26771</v>
      </c>
      <c r="D32" s="39">
        <v>0</v>
      </c>
      <c r="E32" s="39">
        <v>71338</v>
      </c>
      <c r="F32" s="39">
        <v>0</v>
      </c>
      <c r="G32" s="48">
        <f>G39-G36</f>
        <v>763</v>
      </c>
      <c r="H32" s="39">
        <v>0</v>
      </c>
      <c r="I32" s="39"/>
      <c r="J32" s="39"/>
      <c r="K32" s="39"/>
      <c r="L32" s="39"/>
      <c r="M32" s="40"/>
      <c r="N32" s="48">
        <f>O32-G32-E32-C32-B32</f>
        <v>300041.67093445861</v>
      </c>
      <c r="O32" s="39">
        <v>519552</v>
      </c>
      <c r="P32" s="17">
        <f>O32/O$39</f>
        <v>0.1666805152174185</v>
      </c>
      <c r="Q32" s="18" t="s">
        <v>37</v>
      </c>
      <c r="R32" s="3"/>
      <c r="S32" s="3" t="s">
        <v>6</v>
      </c>
      <c r="T32" s="14">
        <f>H42/1000</f>
        <v>0</v>
      </c>
      <c r="U32" s="15">
        <f>H43</f>
        <v>0</v>
      </c>
    </row>
    <row r="33" spans="1:48" ht="15.75" x14ac:dyDescent="0.25">
      <c r="A33" s="8" t="s">
        <v>38</v>
      </c>
      <c r="B33" s="48">
        <f>(B39-B37-B36-B35)*59500/(59500+121546)</f>
        <v>59055.670934458649</v>
      </c>
      <c r="C33" s="39">
        <v>4235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/>
      <c r="J33" s="39"/>
      <c r="K33" s="39"/>
      <c r="L33" s="39"/>
      <c r="M33" s="40"/>
      <c r="N33" s="48">
        <v>92957</v>
      </c>
      <c r="O33" s="48">
        <f>SUM(B33:N33)</f>
        <v>156247.67093445864</v>
      </c>
      <c r="P33" s="17">
        <f>O33/O$39</f>
        <v>5.0126728975881593E-2</v>
      </c>
      <c r="Q33" s="18" t="s">
        <v>39</v>
      </c>
      <c r="R33" s="3"/>
      <c r="S33" s="3" t="s">
        <v>35</v>
      </c>
      <c r="T33" s="14">
        <f>C42/1000</f>
        <v>1273.5429999999999</v>
      </c>
      <c r="U33" s="16">
        <f>C43</f>
        <v>0.3835653839107166</v>
      </c>
    </row>
    <row r="34" spans="1:48" ht="15.75" x14ac:dyDescent="0.25">
      <c r="A34" s="8" t="s">
        <v>40</v>
      </c>
      <c r="B34" s="39">
        <v>0</v>
      </c>
      <c r="C34" s="48">
        <f>O34-N34-F34</f>
        <v>1145473</v>
      </c>
      <c r="D34" s="39">
        <v>0</v>
      </c>
      <c r="E34" s="39">
        <v>0</v>
      </c>
      <c r="F34" s="39">
        <v>101284</v>
      </c>
      <c r="G34" s="39">
        <v>0</v>
      </c>
      <c r="H34" s="39">
        <v>0</v>
      </c>
      <c r="I34" s="39"/>
      <c r="J34" s="39"/>
      <c r="K34" s="39"/>
      <c r="L34" s="39"/>
      <c r="M34" s="40"/>
      <c r="N34" s="48">
        <v>992</v>
      </c>
      <c r="O34" s="39">
        <v>1247749</v>
      </c>
      <c r="P34" s="17">
        <f>O34/O$39</f>
        <v>0.40029765294334102</v>
      </c>
      <c r="Q34" s="18" t="s">
        <v>41</v>
      </c>
      <c r="R34" s="3"/>
      <c r="S34" s="3"/>
      <c r="T34" s="14">
        <f>SUM(T24:T32)</f>
        <v>2046.73316</v>
      </c>
      <c r="U34" s="15">
        <f>SUM(U24:U32)</f>
        <v>0.61643461608928329</v>
      </c>
    </row>
    <row r="35" spans="1:48" ht="16" x14ac:dyDescent="0.2">
      <c r="A35" s="8" t="s">
        <v>42</v>
      </c>
      <c r="B35" s="48">
        <f>O35-N35-C35</f>
        <v>47206</v>
      </c>
      <c r="C35" s="48">
        <f>C39-C37-C36-C34-C33-C32-C31</f>
        <v>58478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/>
      <c r="J35" s="39"/>
      <c r="K35" s="39"/>
      <c r="L35" s="39"/>
      <c r="M35" s="40"/>
      <c r="N35" s="48">
        <v>271611</v>
      </c>
      <c r="O35" s="39">
        <v>377295</v>
      </c>
      <c r="P35" s="17">
        <f>O35/O$39</f>
        <v>0.12104221519492932</v>
      </c>
      <c r="Q35" s="18" t="s">
        <v>43</v>
      </c>
      <c r="R35" s="18"/>
    </row>
    <row r="36" spans="1:48" ht="16" x14ac:dyDescent="0.2">
      <c r="A36" s="8" t="s">
        <v>44</v>
      </c>
      <c r="B36" s="50">
        <v>63000</v>
      </c>
      <c r="C36" s="39">
        <v>2535</v>
      </c>
      <c r="D36" s="39">
        <v>0</v>
      </c>
      <c r="E36" s="39">
        <v>0</v>
      </c>
      <c r="F36" s="39">
        <v>0</v>
      </c>
      <c r="G36" s="48">
        <v>101000</v>
      </c>
      <c r="H36" s="39">
        <v>0</v>
      </c>
      <c r="I36" s="39"/>
      <c r="J36" s="39"/>
      <c r="K36" s="39"/>
      <c r="L36" s="39"/>
      <c r="M36" s="40"/>
      <c r="N36" s="48">
        <f>O36-G36-C36-B36</f>
        <v>257337</v>
      </c>
      <c r="O36" s="39">
        <v>423872</v>
      </c>
      <c r="P36" s="18"/>
      <c r="Q36" s="18"/>
      <c r="R36" s="3"/>
      <c r="S36" s="7"/>
      <c r="T36" s="7"/>
      <c r="U36" s="7"/>
    </row>
    <row r="37" spans="1:48" ht="15.75" x14ac:dyDescent="0.25">
      <c r="A37" s="8" t="s">
        <v>45</v>
      </c>
      <c r="B37" s="50">
        <v>253500</v>
      </c>
      <c r="C37" s="39">
        <v>818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/>
      <c r="J37" s="39"/>
      <c r="K37" s="39"/>
      <c r="L37" s="39"/>
      <c r="M37" s="40"/>
      <c r="N37" s="48">
        <f>N39-N38-N36-N35-N34-N33-N32-N31</f>
        <v>59003.329065541388</v>
      </c>
      <c r="O37" s="48">
        <f>SUM(B37:N37)</f>
        <v>313321.32906554139</v>
      </c>
      <c r="P37" s="18"/>
      <c r="Q37" s="18"/>
      <c r="R37" s="3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39">
        <v>0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/>
      <c r="J38" s="39"/>
      <c r="K38" s="39"/>
      <c r="L38" s="39"/>
      <c r="M38" s="40"/>
      <c r="N38" s="48">
        <v>23173</v>
      </c>
      <c r="O38" s="48">
        <f>SUM(B38:N38)</f>
        <v>23173</v>
      </c>
      <c r="P38" s="18">
        <f>SUM(P31:P35)</f>
        <v>0.75606275252119826</v>
      </c>
      <c r="Q38" s="18"/>
      <c r="R38" s="3"/>
      <c r="S38" s="7" t="s">
        <v>47</v>
      </c>
      <c r="T38" s="19">
        <f>O45/1000</f>
        <v>148.76416</v>
      </c>
      <c r="U38" s="7"/>
    </row>
    <row r="39" spans="1:48" ht="16" x14ac:dyDescent="0.2">
      <c r="A39" s="8" t="s">
        <v>16</v>
      </c>
      <c r="B39" s="39">
        <v>543400</v>
      </c>
      <c r="C39" s="39">
        <v>1264592</v>
      </c>
      <c r="D39" s="39">
        <v>0</v>
      </c>
      <c r="E39" s="39">
        <v>71338</v>
      </c>
      <c r="F39" s="39">
        <v>103909</v>
      </c>
      <c r="G39" s="39">
        <v>101763</v>
      </c>
      <c r="H39" s="39">
        <v>0</v>
      </c>
      <c r="I39" s="39"/>
      <c r="J39" s="39"/>
      <c r="K39" s="39"/>
      <c r="L39" s="39"/>
      <c r="M39" s="40"/>
      <c r="N39" s="39">
        <v>1032052</v>
      </c>
      <c r="O39" s="39">
        <v>3117053</v>
      </c>
      <c r="P39" s="3"/>
      <c r="Q39" s="3"/>
      <c r="R39" s="3"/>
      <c r="S39" s="7" t="s">
        <v>48</v>
      </c>
      <c r="T39" s="20">
        <f>O41/1000</f>
        <v>760.36632906554144</v>
      </c>
      <c r="U39" s="15">
        <f>P41</f>
        <v>0.24393756829464927</v>
      </c>
    </row>
    <row r="40" spans="1:48" x14ac:dyDescent="0.2">
      <c r="O40" s="11"/>
      <c r="S40" s="7" t="s">
        <v>49</v>
      </c>
      <c r="T40" s="20">
        <f>O35/1000</f>
        <v>377.29500000000002</v>
      </c>
      <c r="U40" s="16">
        <f>P35</f>
        <v>0.12104221519492932</v>
      </c>
    </row>
    <row r="41" spans="1:48" ht="16" x14ac:dyDescent="0.2">
      <c r="A41" s="21" t="s">
        <v>50</v>
      </c>
      <c r="B41" s="22">
        <f>B38+B37+B36</f>
        <v>316500</v>
      </c>
      <c r="C41" s="22">
        <f t="shared" ref="C41:O41" si="0">C38+C37+C36</f>
        <v>3353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101000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339513.32906554139</v>
      </c>
      <c r="O41" s="22">
        <f t="shared" si="0"/>
        <v>760366.32906554139</v>
      </c>
      <c r="P41" s="17">
        <f>O41/O$39</f>
        <v>0.24393756829464927</v>
      </c>
      <c r="Q41" s="17" t="s">
        <v>51</v>
      </c>
      <c r="R41" s="7"/>
      <c r="S41" s="7" t="s">
        <v>52</v>
      </c>
      <c r="T41" s="20">
        <f>O33/1000</f>
        <v>156.24767093445865</v>
      </c>
      <c r="U41" s="15">
        <f>P33</f>
        <v>5.0126728975881593E-2</v>
      </c>
    </row>
    <row r="42" spans="1:48" ht="16" x14ac:dyDescent="0.2">
      <c r="A42" s="23" t="s">
        <v>53</v>
      </c>
      <c r="B42" s="22"/>
      <c r="C42" s="24">
        <f>C39+C23+C10</f>
        <v>1273543</v>
      </c>
      <c r="D42" s="24">
        <f t="shared" ref="D42:M42" si="1">D39+D23+D10</f>
        <v>200</v>
      </c>
      <c r="E42" s="24">
        <f t="shared" si="1"/>
        <v>81738</v>
      </c>
      <c r="F42" s="24">
        <f t="shared" si="1"/>
        <v>103909</v>
      </c>
      <c r="G42" s="24">
        <f t="shared" si="1"/>
        <v>273088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521953</v>
      </c>
      <c r="L42" s="24">
        <f t="shared" si="1"/>
        <v>0</v>
      </c>
      <c r="M42" s="24">
        <f t="shared" si="1"/>
        <v>0</v>
      </c>
      <c r="N42" s="24">
        <f>N39+N23-B6+N45</f>
        <v>1065845.1599999999</v>
      </c>
      <c r="O42" s="25">
        <f>SUM(C42:N42)</f>
        <v>3320276.16</v>
      </c>
      <c r="P42" s="7"/>
      <c r="Q42" s="7"/>
      <c r="R42" s="7"/>
      <c r="S42" s="7" t="s">
        <v>34</v>
      </c>
      <c r="T42" s="20">
        <f>O31/1000</f>
        <v>55.844000000000001</v>
      </c>
      <c r="U42" s="15">
        <f>P31</f>
        <v>1.7915640189627831E-2</v>
      </c>
    </row>
    <row r="43" spans="1:48" ht="16" x14ac:dyDescent="0.2">
      <c r="A43" s="23" t="s">
        <v>54</v>
      </c>
      <c r="B43" s="22"/>
      <c r="C43" s="17">
        <f t="shared" ref="C43:N43" si="2">C42/$O42</f>
        <v>0.3835653839107166</v>
      </c>
      <c r="D43" s="17">
        <f t="shared" si="2"/>
        <v>6.0235953385275032E-5</v>
      </c>
      <c r="E43" s="17">
        <f t="shared" si="2"/>
        <v>2.4617831789028054E-2</v>
      </c>
      <c r="F43" s="17">
        <f t="shared" si="2"/>
        <v>3.1295288401552719E-2</v>
      </c>
      <c r="G43" s="17">
        <f t="shared" si="2"/>
        <v>8.2248580190389942E-2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0.15720168288652231</v>
      </c>
      <c r="L43" s="17">
        <f t="shared" si="2"/>
        <v>0</v>
      </c>
      <c r="M43" s="17">
        <f t="shared" si="2"/>
        <v>0</v>
      </c>
      <c r="N43" s="17">
        <f t="shared" si="2"/>
        <v>0.32101099686840501</v>
      </c>
      <c r="O43" s="17">
        <f>SUM(C43:N43)</f>
        <v>0.99999999999999978</v>
      </c>
      <c r="P43" s="7"/>
      <c r="Q43" s="7"/>
      <c r="R43" s="7"/>
      <c r="S43" s="7" t="s">
        <v>55</v>
      </c>
      <c r="T43" s="20">
        <f>O32/1000</f>
        <v>519.55200000000002</v>
      </c>
      <c r="U43" s="16">
        <f>P32</f>
        <v>0.1666805152174185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1247.749</v>
      </c>
      <c r="U44" s="16">
        <f>P34</f>
        <v>0.40029765294334102</v>
      </c>
    </row>
    <row r="45" spans="1:48" ht="16" x14ac:dyDescent="0.2">
      <c r="A45" s="6" t="s">
        <v>57</v>
      </c>
      <c r="B45" s="6">
        <f>B23-B39</f>
        <v>66200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82564.160000000003</v>
      </c>
      <c r="O45" s="25">
        <f>B45+N45</f>
        <v>148764.16</v>
      </c>
      <c r="P45" s="7"/>
      <c r="Q45" s="7"/>
      <c r="R45" s="7"/>
      <c r="S45" s="7" t="s">
        <v>58</v>
      </c>
      <c r="T45" s="20">
        <f>SUM(T39:T44)</f>
        <v>3117.0540000000001</v>
      </c>
      <c r="U45" s="15">
        <f>SUM(U39:U44)</f>
        <v>1.0000003208158477</v>
      </c>
    </row>
    <row r="46" spans="1:48" ht="16" x14ac:dyDescent="0.2">
      <c r="A46" s="6"/>
      <c r="B46" s="38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8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8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27"/>
      <c r="B55" s="4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27"/>
      <c r="B56" s="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6"/>
      <c r="N57" s="30"/>
      <c r="O57" s="7"/>
      <c r="P57" s="6"/>
      <c r="Q57" s="15"/>
      <c r="R57" s="7"/>
      <c r="S57" s="7"/>
      <c r="T57" s="6"/>
      <c r="U57" s="31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6"/>
      <c r="N58" s="30"/>
      <c r="O58" s="7"/>
      <c r="P58" s="6"/>
      <c r="Q58" s="15"/>
      <c r="R58" s="7"/>
      <c r="S58" s="7"/>
      <c r="T58" s="6"/>
      <c r="U58" s="31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6"/>
      <c r="N59" s="30"/>
      <c r="O59" s="7"/>
      <c r="P59" s="6"/>
      <c r="Q59" s="15"/>
      <c r="R59" s="7"/>
      <c r="S59" s="7"/>
      <c r="T59" s="6"/>
      <c r="U59" s="31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6"/>
      <c r="N60" s="30"/>
      <c r="O60" s="7"/>
      <c r="P60" s="6"/>
      <c r="Q60" s="15"/>
      <c r="R60" s="7"/>
      <c r="S60" s="7"/>
      <c r="T60" s="6"/>
      <c r="U60" s="31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30"/>
      <c r="O61" s="7"/>
      <c r="P61" s="6"/>
      <c r="Q61" s="15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1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1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1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1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1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1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7"/>
      <c r="T70" s="32"/>
      <c r="U70" s="36"/>
    </row>
  </sheetData>
  <pageMargins left="0.75" right="0.75" top="0.75" bottom="0.5" header="0.5" footer="0.7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 enableFormatConditionsCalculation="0"/>
  <dimension ref="A1:AV70"/>
  <sheetViews>
    <sheetView workbookViewId="0"/>
  </sheetViews>
  <sheetFormatPr baseColWidth="10" defaultColWidth="8.6640625" defaultRowHeight="15" x14ac:dyDescent="0.2"/>
  <cols>
    <col min="1" max="1" width="23" style="2" customWidth="1"/>
    <col min="2" max="21" width="10" style="2" customWidth="1"/>
    <col min="22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8" t="s">
        <v>60</v>
      </c>
      <c r="Q2" s="40"/>
      <c r="R2" s="8"/>
      <c r="AH2" s="40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65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40"/>
      <c r="R3" s="40"/>
      <c r="AH3" s="40"/>
      <c r="AI3" s="40"/>
    </row>
    <row r="4" spans="1:35" ht="15.75" x14ac:dyDescent="0.25">
      <c r="A4" s="8" t="s">
        <v>70</v>
      </c>
      <c r="B4" s="62">
        <f>0.95*836</f>
        <v>794.19999999999993</v>
      </c>
      <c r="Q4" s="40"/>
      <c r="R4" s="40"/>
      <c r="AH4" s="40"/>
      <c r="AI4" s="40"/>
    </row>
    <row r="5" spans="1:35" ht="15.75" x14ac:dyDescent="0.25">
      <c r="A5" s="40"/>
      <c r="Q5" s="40"/>
      <c r="R5" s="40"/>
      <c r="AH5" s="40"/>
      <c r="AI5" s="40"/>
    </row>
    <row r="6" spans="1:35" ht="16" x14ac:dyDescent="0.2">
      <c r="A6" s="8" t="s">
        <v>12</v>
      </c>
      <c r="B6" s="39">
        <v>0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/>
      <c r="J6" s="39"/>
      <c r="K6" s="39"/>
      <c r="L6" s="39"/>
      <c r="M6" s="39"/>
      <c r="N6" s="39"/>
      <c r="O6" s="39">
        <v>0</v>
      </c>
      <c r="Q6" s="40"/>
      <c r="R6" s="40"/>
      <c r="AH6" s="40"/>
      <c r="AI6" s="40"/>
    </row>
    <row r="7" spans="1:35" ht="16" x14ac:dyDescent="0.2">
      <c r="A7" s="8" t="s">
        <v>13</v>
      </c>
      <c r="B7" s="39">
        <v>0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/>
      <c r="J7" s="39"/>
      <c r="K7" s="39"/>
      <c r="L7" s="39"/>
      <c r="M7" s="39"/>
      <c r="N7" s="39"/>
      <c r="O7" s="39">
        <v>0</v>
      </c>
      <c r="P7" s="39"/>
      <c r="Q7" s="40"/>
      <c r="R7" s="40"/>
      <c r="AH7" s="40"/>
      <c r="AI7" s="40"/>
    </row>
    <row r="8" spans="1:35" ht="15.75" x14ac:dyDescent="0.25">
      <c r="A8" s="8" t="s">
        <v>14</v>
      </c>
      <c r="B8" s="48">
        <v>347459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/>
      <c r="J8" s="39"/>
      <c r="K8" s="39"/>
      <c r="L8" s="39"/>
      <c r="M8" s="39"/>
      <c r="N8" s="39"/>
      <c r="O8" s="39">
        <v>0</v>
      </c>
      <c r="P8" s="39"/>
      <c r="Q8" s="40"/>
      <c r="R8" s="40"/>
      <c r="AH8" s="40"/>
      <c r="AI8" s="40"/>
    </row>
    <row r="9" spans="1:35" ht="15.75" x14ac:dyDescent="0.25">
      <c r="A9" s="8" t="s">
        <v>15</v>
      </c>
      <c r="B9" s="39">
        <v>414714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/>
      <c r="J9" s="39"/>
      <c r="K9" s="39"/>
      <c r="L9" s="39"/>
      <c r="M9" s="39"/>
      <c r="N9" s="39"/>
      <c r="O9" s="39">
        <v>0</v>
      </c>
      <c r="P9" s="39"/>
      <c r="Q9" s="40"/>
      <c r="R9" s="40"/>
      <c r="S9" s="8"/>
      <c r="T9" s="41"/>
      <c r="U9" s="39"/>
      <c r="V9" s="39"/>
      <c r="W9" s="41"/>
      <c r="X9" s="39"/>
      <c r="Y9" s="39"/>
      <c r="Z9" s="39"/>
      <c r="AA9" s="39"/>
      <c r="AB9" s="39"/>
      <c r="AC9" s="39"/>
      <c r="AD9" s="39"/>
      <c r="AE9" s="39"/>
      <c r="AF9" s="39"/>
      <c r="AG9" s="41"/>
      <c r="AH9" s="40"/>
      <c r="AI9" s="40"/>
    </row>
    <row r="10" spans="1:35" ht="16" x14ac:dyDescent="0.2">
      <c r="A10" s="8" t="s">
        <v>16</v>
      </c>
      <c r="B10" s="48">
        <f>SUM(B4:B9)</f>
        <v>762967.2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/>
      <c r="J10" s="39"/>
      <c r="K10" s="39"/>
      <c r="L10" s="39"/>
      <c r="M10" s="39"/>
      <c r="N10" s="39"/>
      <c r="O10" s="39">
        <v>0</v>
      </c>
      <c r="P10" s="39"/>
      <c r="Q10" s="40"/>
      <c r="R10" s="40"/>
      <c r="S10" s="8"/>
      <c r="T10" s="41"/>
      <c r="U10" s="39"/>
      <c r="V10" s="39"/>
      <c r="W10" s="41"/>
      <c r="X10" s="39"/>
      <c r="Y10" s="39"/>
      <c r="Z10" s="39"/>
      <c r="AA10" s="39"/>
      <c r="AB10" s="39"/>
      <c r="AC10" s="39"/>
      <c r="AD10" s="39"/>
      <c r="AE10" s="39"/>
      <c r="AF10" s="39"/>
      <c r="AG10" s="41"/>
      <c r="AH10" s="40"/>
      <c r="AI10" s="40"/>
    </row>
    <row r="11" spans="1:35" ht="15.75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3"/>
      <c r="Q11" s="3"/>
      <c r="R11" s="3"/>
      <c r="S11" s="3"/>
      <c r="T11" s="3"/>
      <c r="U11" s="3"/>
    </row>
    <row r="12" spans="1:35" ht="15.75" x14ac:dyDescent="0.2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2"/>
      <c r="P13" s="3"/>
      <c r="Q13" s="3"/>
      <c r="R13" s="3"/>
      <c r="S13" s="3"/>
      <c r="T13" s="3"/>
      <c r="U13" s="3"/>
    </row>
    <row r="14" spans="1:35" ht="15.75" x14ac:dyDescent="0.25">
      <c r="A14" s="4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65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/>
      <c r="N15" s="6" t="s">
        <v>10</v>
      </c>
      <c r="O15" s="11" t="s">
        <v>11</v>
      </c>
      <c r="P15" s="3"/>
      <c r="Q15" s="3"/>
      <c r="R15" s="3"/>
      <c r="S15" s="3"/>
      <c r="T15" s="3"/>
      <c r="U15" s="3"/>
    </row>
    <row r="16" spans="1:35" ht="15.75" x14ac:dyDescent="0.2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/>
      <c r="J17" s="39"/>
      <c r="K17" s="39"/>
      <c r="L17" s="39"/>
      <c r="M17" s="39"/>
      <c r="N17" s="39"/>
      <c r="O17" s="39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48">
        <v>4124</v>
      </c>
      <c r="C18" s="39">
        <v>0</v>
      </c>
      <c r="D18" s="39">
        <v>0</v>
      </c>
      <c r="E18" s="48">
        <v>4633</v>
      </c>
      <c r="F18" s="39">
        <v>0</v>
      </c>
      <c r="G18" s="39">
        <v>0</v>
      </c>
      <c r="H18" s="39">
        <v>0</v>
      </c>
      <c r="I18" s="39"/>
      <c r="J18" s="39"/>
      <c r="K18" s="39"/>
      <c r="L18" s="39"/>
      <c r="M18" s="39"/>
      <c r="N18" s="39"/>
      <c r="O18" s="48">
        <f>SUM(C18:N18)</f>
        <v>4633</v>
      </c>
      <c r="P18" s="3"/>
      <c r="Q18" s="3"/>
      <c r="R18" s="3"/>
      <c r="S18" s="3"/>
      <c r="T18" s="3"/>
      <c r="U18" s="3"/>
    </row>
    <row r="19" spans="1:21" ht="15.75" x14ac:dyDescent="0.25">
      <c r="A19" s="8" t="s">
        <v>22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/>
      <c r="J19" s="39"/>
      <c r="K19" s="39"/>
      <c r="L19" s="39"/>
      <c r="M19" s="39"/>
      <c r="N19" s="39"/>
      <c r="O19" s="39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/>
      <c r="J20" s="39"/>
      <c r="K20" s="39"/>
      <c r="L20" s="39"/>
      <c r="M20" s="39"/>
      <c r="N20" s="39"/>
      <c r="O20" s="39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/>
      <c r="J21" s="39"/>
      <c r="K21" s="39"/>
      <c r="L21" s="39"/>
      <c r="M21" s="39"/>
      <c r="N21" s="39"/>
      <c r="O21" s="39">
        <v>0</v>
      </c>
      <c r="P21" s="3"/>
      <c r="Q21" s="3"/>
      <c r="R21" s="3"/>
      <c r="S21" s="3" t="s">
        <v>26</v>
      </c>
      <c r="T21" s="13">
        <f>O42/1000</f>
        <v>780.81432000000007</v>
      </c>
      <c r="U21" s="3"/>
    </row>
    <row r="22" spans="1:21" ht="16" x14ac:dyDescent="0.2">
      <c r="A22" s="8" t="s">
        <v>25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/>
      <c r="J22" s="39"/>
      <c r="K22" s="39"/>
      <c r="L22" s="39"/>
      <c r="M22" s="39"/>
      <c r="N22" s="39"/>
      <c r="O22" s="39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48">
        <f>SUM(B17:B22)</f>
        <v>4124</v>
      </c>
      <c r="C23" s="39">
        <v>0</v>
      </c>
      <c r="D23" s="39">
        <v>0</v>
      </c>
      <c r="E23" s="48">
        <f>SUM(E17:E22)</f>
        <v>4633</v>
      </c>
      <c r="F23" s="39">
        <v>0</v>
      </c>
      <c r="G23" s="39">
        <v>0</v>
      </c>
      <c r="H23" s="39">
        <v>0</v>
      </c>
      <c r="I23" s="39"/>
      <c r="J23" s="39"/>
      <c r="K23" s="39"/>
      <c r="L23" s="39"/>
      <c r="M23" s="39"/>
      <c r="N23" s="39"/>
      <c r="O23" s="48">
        <f>SUM(O17:O22)</f>
        <v>4633</v>
      </c>
      <c r="P23" s="3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3"/>
      <c r="Q24" s="3"/>
      <c r="R24" s="3"/>
      <c r="S24" s="3" t="s">
        <v>10</v>
      </c>
      <c r="T24" s="14">
        <f>N42/1000</f>
        <v>294.97932000000003</v>
      </c>
      <c r="U24" s="15">
        <f>N43</f>
        <v>0.37778420867076307</v>
      </c>
    </row>
    <row r="25" spans="1:21" ht="16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3"/>
      <c r="Q25" s="3"/>
      <c r="R25" s="3"/>
      <c r="S25" s="3" t="s">
        <v>65</v>
      </c>
      <c r="T25" s="14">
        <f>G42/1000</f>
        <v>68.721000000000004</v>
      </c>
      <c r="U25" s="16">
        <f>G43</f>
        <v>8.8011961665866986E-2</v>
      </c>
    </row>
    <row r="26" spans="1:21" ht="15.75" x14ac:dyDescent="0.2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"/>
      <c r="Q26" s="3"/>
      <c r="R26" s="3"/>
      <c r="S26" s="3" t="s">
        <v>7</v>
      </c>
      <c r="T26" s="14">
        <f>J42/1000</f>
        <v>0</v>
      </c>
      <c r="U26" s="15">
        <f>J43</f>
        <v>0</v>
      </c>
    </row>
    <row r="27" spans="1:21" ht="19" x14ac:dyDescent="0.25">
      <c r="A27" s="1" t="s">
        <v>29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11"/>
      <c r="P27" s="3"/>
      <c r="Q27" s="3"/>
      <c r="R27" s="3"/>
      <c r="S27" s="3" t="s">
        <v>31</v>
      </c>
      <c r="T27" s="14">
        <f>F42/1000</f>
        <v>29.672999999999998</v>
      </c>
      <c r="U27" s="15">
        <f>F43</f>
        <v>3.8002632943514657E-2</v>
      </c>
    </row>
    <row r="28" spans="1:21" ht="15.75" x14ac:dyDescent="0.25">
      <c r="A28" s="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3"/>
      <c r="Q28" s="3"/>
      <c r="R28" s="3"/>
      <c r="S28" s="3" t="s">
        <v>4</v>
      </c>
      <c r="T28" s="13">
        <f>E42/1000</f>
        <v>43.052999999999997</v>
      </c>
      <c r="U28" s="15">
        <f>E43</f>
        <v>5.5138589159071771E-2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65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42">
        <f>D43</f>
        <v>0</v>
      </c>
    </row>
    <row r="30" spans="1:21" ht="15.75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3"/>
      <c r="Q30" s="3"/>
      <c r="R30" s="3"/>
      <c r="S30" s="2" t="s">
        <v>8</v>
      </c>
      <c r="T30" s="2">
        <f>K42/1000</f>
        <v>0</v>
      </c>
      <c r="U30" s="42">
        <f>K43</f>
        <v>0</v>
      </c>
    </row>
    <row r="31" spans="1:21" ht="15.75" x14ac:dyDescent="0.25">
      <c r="A31" s="8" t="s">
        <v>33</v>
      </c>
      <c r="B31" s="39">
        <v>0</v>
      </c>
      <c r="C31" s="39">
        <v>22092</v>
      </c>
      <c r="D31" s="39">
        <v>0</v>
      </c>
      <c r="E31" s="39">
        <v>0</v>
      </c>
      <c r="F31" s="39">
        <v>2251</v>
      </c>
      <c r="G31" s="39">
        <v>0</v>
      </c>
      <c r="H31" s="39">
        <v>0</v>
      </c>
      <c r="I31" s="39"/>
      <c r="J31" s="39"/>
      <c r="K31" s="39"/>
      <c r="L31" s="39"/>
      <c r="M31" s="40"/>
      <c r="N31" s="39">
        <v>30049</v>
      </c>
      <c r="O31" s="39">
        <v>54392</v>
      </c>
      <c r="P31" s="17">
        <f>O31/O$39</f>
        <v>7.1761232152705037E-2</v>
      </c>
      <c r="Q31" s="18" t="s">
        <v>34</v>
      </c>
      <c r="R31" s="3"/>
      <c r="S31" s="3" t="s">
        <v>5</v>
      </c>
      <c r="T31" s="14">
        <f>I42/1000</f>
        <v>0</v>
      </c>
      <c r="U31" s="15">
        <f>I43</f>
        <v>0</v>
      </c>
    </row>
    <row r="32" spans="1:21" ht="15.75" x14ac:dyDescent="0.25">
      <c r="A32" s="8" t="s">
        <v>36</v>
      </c>
      <c r="B32" s="39">
        <v>0</v>
      </c>
      <c r="C32" s="39">
        <v>4822</v>
      </c>
      <c r="D32" s="39">
        <v>0</v>
      </c>
      <c r="E32" s="48">
        <f>O32-N32-G32-C32</f>
        <v>38420</v>
      </c>
      <c r="F32" s="39">
        <v>0</v>
      </c>
      <c r="G32" s="48">
        <f>G39-G36</f>
        <v>14801</v>
      </c>
      <c r="H32" s="39">
        <v>0</v>
      </c>
      <c r="I32" s="39"/>
      <c r="J32" s="39"/>
      <c r="K32" s="39"/>
      <c r="L32" s="39"/>
      <c r="M32" s="40"/>
      <c r="N32" s="39">
        <v>55258</v>
      </c>
      <c r="O32" s="39">
        <v>113301</v>
      </c>
      <c r="P32" s="17">
        <f>O32/O$39</f>
        <v>0.14948189741384088</v>
      </c>
      <c r="Q32" s="18" t="s">
        <v>37</v>
      </c>
      <c r="R32" s="3"/>
      <c r="S32" s="3" t="s">
        <v>6</v>
      </c>
      <c r="T32" s="14">
        <f>H42/1000</f>
        <v>0</v>
      </c>
      <c r="U32" s="15">
        <f>H43</f>
        <v>0</v>
      </c>
    </row>
    <row r="33" spans="1:48" ht="15.75" x14ac:dyDescent="0.25">
      <c r="A33" s="8" t="s">
        <v>38</v>
      </c>
      <c r="B33" s="39">
        <v>0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/>
      <c r="J33" s="39"/>
      <c r="K33" s="39"/>
      <c r="L33" s="39"/>
      <c r="M33" s="40"/>
      <c r="N33" s="39">
        <v>21084</v>
      </c>
      <c r="O33" s="39">
        <v>21084</v>
      </c>
      <c r="P33" s="17">
        <f>O33/O$39</f>
        <v>2.7816844732821609E-2</v>
      </c>
      <c r="Q33" s="18" t="s">
        <v>39</v>
      </c>
      <c r="R33" s="3"/>
      <c r="S33" s="3" t="s">
        <v>35</v>
      </c>
      <c r="T33" s="14">
        <f>C42/1000</f>
        <v>344.38799999999998</v>
      </c>
      <c r="U33" s="16">
        <f>C43</f>
        <v>0.44106260756078342</v>
      </c>
    </row>
    <row r="34" spans="1:48" ht="15.75" x14ac:dyDescent="0.25">
      <c r="A34" s="8" t="s">
        <v>40</v>
      </c>
      <c r="B34" s="39">
        <v>0</v>
      </c>
      <c r="C34" s="39">
        <v>315051</v>
      </c>
      <c r="D34" s="39">
        <v>0</v>
      </c>
      <c r="E34" s="39">
        <v>0</v>
      </c>
      <c r="F34" s="39">
        <v>27423</v>
      </c>
      <c r="G34" s="39">
        <v>0</v>
      </c>
      <c r="H34" s="39">
        <v>0</v>
      </c>
      <c r="I34" s="39"/>
      <c r="J34" s="39"/>
      <c r="K34" s="39"/>
      <c r="L34" s="39"/>
      <c r="M34" s="40"/>
      <c r="N34" s="39">
        <v>23</v>
      </c>
      <c r="O34" s="39">
        <v>342497</v>
      </c>
      <c r="P34" s="17">
        <f>O34/O$39</f>
        <v>0.45186804545898324</v>
      </c>
      <c r="Q34" s="18" t="s">
        <v>41</v>
      </c>
      <c r="R34" s="3"/>
      <c r="S34" s="3"/>
      <c r="T34" s="14">
        <f>SUM(T24:T32)</f>
        <v>436.42632000000003</v>
      </c>
      <c r="U34" s="15">
        <f>SUM(U24:U32)</f>
        <v>0.55893739243921647</v>
      </c>
    </row>
    <row r="35" spans="1:48" ht="16" x14ac:dyDescent="0.2">
      <c r="A35" s="8" t="s">
        <v>42</v>
      </c>
      <c r="B35" s="39">
        <v>0</v>
      </c>
      <c r="C35" s="39">
        <v>1808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/>
      <c r="J35" s="39"/>
      <c r="K35" s="39"/>
      <c r="L35" s="39"/>
      <c r="M35" s="40"/>
      <c r="N35" s="39">
        <v>41293</v>
      </c>
      <c r="O35" s="39">
        <v>43101</v>
      </c>
      <c r="P35" s="17">
        <f>O35/O$39</f>
        <v>5.6864628383103022E-2</v>
      </c>
      <c r="Q35" s="18" t="s">
        <v>43</v>
      </c>
      <c r="R35" s="18"/>
    </row>
    <row r="36" spans="1:48" ht="16" x14ac:dyDescent="0.2">
      <c r="A36" s="8" t="s">
        <v>44</v>
      </c>
      <c r="B36" s="39">
        <v>0</v>
      </c>
      <c r="C36" s="39">
        <v>602</v>
      </c>
      <c r="D36" s="39">
        <v>0</v>
      </c>
      <c r="E36" s="39">
        <v>0</v>
      </c>
      <c r="F36" s="39">
        <v>0</v>
      </c>
      <c r="G36" s="48">
        <f>O36-N36-C36</f>
        <v>53920</v>
      </c>
      <c r="H36" s="39">
        <v>0</v>
      </c>
      <c r="I36" s="39"/>
      <c r="J36" s="39"/>
      <c r="K36" s="39"/>
      <c r="L36" s="39"/>
      <c r="M36" s="40"/>
      <c r="N36" s="39">
        <v>92032</v>
      </c>
      <c r="O36" s="48">
        <f>O39-O38-O37-O35-O34-O33-O32-O31</f>
        <v>146554</v>
      </c>
      <c r="P36" s="18"/>
      <c r="Q36" s="18"/>
      <c r="R36" s="3"/>
      <c r="S36" s="7"/>
      <c r="T36" s="7"/>
      <c r="U36" s="7"/>
    </row>
    <row r="37" spans="1:48" ht="15.75" x14ac:dyDescent="0.25">
      <c r="A37" s="8" t="s">
        <v>45</v>
      </c>
      <c r="B37" s="48">
        <v>3626</v>
      </c>
      <c r="C37" s="39">
        <v>13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/>
      <c r="J37" s="39"/>
      <c r="K37" s="39"/>
      <c r="L37" s="39"/>
      <c r="M37" s="40"/>
      <c r="N37" s="39">
        <v>7425</v>
      </c>
      <c r="O37" s="48">
        <f>SUM(B37:N37)</f>
        <v>11064</v>
      </c>
      <c r="P37" s="18"/>
      <c r="Q37" s="18"/>
      <c r="R37" s="3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39">
        <v>0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/>
      <c r="J38" s="39"/>
      <c r="K38" s="39"/>
      <c r="L38" s="39"/>
      <c r="M38" s="40"/>
      <c r="N38" s="39">
        <v>25965</v>
      </c>
      <c r="O38" s="39">
        <v>25965</v>
      </c>
      <c r="P38" s="18">
        <f>SUM(P31:P35)</f>
        <v>0.75779264814145375</v>
      </c>
      <c r="Q38" s="18"/>
      <c r="R38" s="3"/>
      <c r="S38" s="7" t="s">
        <v>47</v>
      </c>
      <c r="T38" s="19">
        <f>O45/1000</f>
        <v>22.348320000000001</v>
      </c>
      <c r="U38" s="7"/>
    </row>
    <row r="39" spans="1:48" ht="16" x14ac:dyDescent="0.2">
      <c r="A39" s="8" t="s">
        <v>16</v>
      </c>
      <c r="B39" s="48">
        <f>SUM(B31:B38)</f>
        <v>3626</v>
      </c>
      <c r="C39" s="39">
        <v>344388</v>
      </c>
      <c r="D39" s="39">
        <v>0</v>
      </c>
      <c r="E39" s="48">
        <f>SUM(E31:E38)</f>
        <v>38420</v>
      </c>
      <c r="F39" s="39">
        <v>29673</v>
      </c>
      <c r="G39" s="39">
        <v>68721</v>
      </c>
      <c r="H39" s="39">
        <v>0</v>
      </c>
      <c r="I39" s="39"/>
      <c r="J39" s="39"/>
      <c r="K39" s="39"/>
      <c r="L39" s="39"/>
      <c r="M39" s="40"/>
      <c r="N39" s="39">
        <v>273129</v>
      </c>
      <c r="O39" s="39">
        <v>757958</v>
      </c>
      <c r="P39" s="3"/>
      <c r="Q39" s="3"/>
      <c r="R39" s="3"/>
      <c r="S39" s="7" t="s">
        <v>48</v>
      </c>
      <c r="T39" s="20">
        <f>O41/1000</f>
        <v>183.583</v>
      </c>
      <c r="U39" s="15">
        <f>P41</f>
        <v>0.24220735185854625</v>
      </c>
    </row>
    <row r="40" spans="1:48" x14ac:dyDescent="0.2">
      <c r="S40" s="7" t="s">
        <v>49</v>
      </c>
      <c r="T40" s="20">
        <f>O35/1000</f>
        <v>43.100999999999999</v>
      </c>
      <c r="U40" s="16">
        <f>P35</f>
        <v>5.6864628383103022E-2</v>
      </c>
    </row>
    <row r="41" spans="1:48" ht="16" x14ac:dyDescent="0.2">
      <c r="A41" s="21" t="s">
        <v>50</v>
      </c>
      <c r="B41" s="22">
        <f>B38+B37+B36</f>
        <v>3626</v>
      </c>
      <c r="C41" s="22">
        <f t="shared" ref="C41:O41" si="0">C38+C37+C36</f>
        <v>615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53920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125422</v>
      </c>
      <c r="O41" s="22">
        <f t="shared" si="0"/>
        <v>183583</v>
      </c>
      <c r="P41" s="17">
        <f>O41/O$39</f>
        <v>0.24220735185854625</v>
      </c>
      <c r="Q41" s="17" t="s">
        <v>51</v>
      </c>
      <c r="R41" s="7"/>
      <c r="S41" s="7" t="s">
        <v>52</v>
      </c>
      <c r="T41" s="20">
        <f>O33/1000</f>
        <v>21.084</v>
      </c>
      <c r="U41" s="15">
        <f>P33</f>
        <v>2.7816844732821609E-2</v>
      </c>
    </row>
    <row r="42" spans="1:48" ht="16" x14ac:dyDescent="0.2">
      <c r="A42" s="23" t="s">
        <v>53</v>
      </c>
      <c r="B42" s="22"/>
      <c r="C42" s="24">
        <f>C39+C23+C10</f>
        <v>344388</v>
      </c>
      <c r="D42" s="24">
        <f t="shared" ref="D42:M42" si="1">D39+D23+D10</f>
        <v>0</v>
      </c>
      <c r="E42" s="24">
        <f t="shared" si="1"/>
        <v>43053</v>
      </c>
      <c r="F42" s="24">
        <f t="shared" si="1"/>
        <v>29673</v>
      </c>
      <c r="G42" s="24">
        <f t="shared" si="1"/>
        <v>68721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294979.32</v>
      </c>
      <c r="O42" s="25">
        <f>SUM(C42:N42)</f>
        <v>780814.32000000007</v>
      </c>
      <c r="P42" s="7"/>
      <c r="Q42" s="7"/>
      <c r="R42" s="7"/>
      <c r="S42" s="7" t="s">
        <v>34</v>
      </c>
      <c r="T42" s="20">
        <f>O31/1000</f>
        <v>54.392000000000003</v>
      </c>
      <c r="U42" s="15">
        <f>P31</f>
        <v>7.1761232152705037E-2</v>
      </c>
    </row>
    <row r="43" spans="1:48" ht="16" x14ac:dyDescent="0.2">
      <c r="A43" s="23" t="s">
        <v>54</v>
      </c>
      <c r="B43" s="22"/>
      <c r="C43" s="17">
        <f t="shared" ref="C43:N43" si="2">C42/$O42</f>
        <v>0.44106260756078342</v>
      </c>
      <c r="D43" s="17">
        <f t="shared" si="2"/>
        <v>0</v>
      </c>
      <c r="E43" s="17">
        <f t="shared" si="2"/>
        <v>5.5138589159071771E-2</v>
      </c>
      <c r="F43" s="17">
        <f t="shared" si="2"/>
        <v>3.8002632943514657E-2</v>
      </c>
      <c r="G43" s="17">
        <f t="shared" si="2"/>
        <v>8.8011961665866986E-2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</v>
      </c>
      <c r="N43" s="17">
        <f t="shared" si="2"/>
        <v>0.37778420867076307</v>
      </c>
      <c r="O43" s="17">
        <f>SUM(C43:N43)</f>
        <v>1</v>
      </c>
      <c r="P43" s="7"/>
      <c r="Q43" s="7"/>
      <c r="R43" s="7"/>
      <c r="S43" s="7" t="s">
        <v>55</v>
      </c>
      <c r="T43" s="20">
        <f>O32/1000</f>
        <v>113.301</v>
      </c>
      <c r="U43" s="16">
        <f>P32</f>
        <v>0.14948189741384088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342.49700000000001</v>
      </c>
      <c r="U44" s="16">
        <f>P34</f>
        <v>0.45186804545898324</v>
      </c>
    </row>
    <row r="45" spans="1:48" ht="16" x14ac:dyDescent="0.2">
      <c r="A45" s="6" t="s">
        <v>57</v>
      </c>
      <c r="B45" s="6">
        <f>B23-B39</f>
        <v>498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21850.32</v>
      </c>
      <c r="O45" s="25">
        <f>B45+N45</f>
        <v>22348.32</v>
      </c>
      <c r="P45" s="7"/>
      <c r="Q45" s="7"/>
      <c r="R45" s="7"/>
      <c r="S45" s="7" t="s">
        <v>58</v>
      </c>
      <c r="T45" s="20">
        <f>SUM(T39:T44)</f>
        <v>757.95800000000008</v>
      </c>
      <c r="U45" s="15">
        <f>SUM(U39:U44)</f>
        <v>1</v>
      </c>
    </row>
    <row r="46" spans="1:48" ht="16" x14ac:dyDescent="0.2">
      <c r="A46" s="6"/>
      <c r="B46" s="38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27"/>
      <c r="B55" s="4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27"/>
      <c r="B56" s="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6"/>
      <c r="N57" s="30"/>
      <c r="O57" s="7"/>
      <c r="P57" s="6"/>
      <c r="Q57" s="15"/>
      <c r="R57" s="7"/>
      <c r="S57" s="7"/>
      <c r="T57" s="6"/>
      <c r="U57" s="31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6"/>
      <c r="N58" s="30"/>
      <c r="O58" s="7"/>
      <c r="P58" s="6"/>
      <c r="Q58" s="15"/>
      <c r="R58" s="7"/>
      <c r="S58" s="7"/>
      <c r="T58" s="6"/>
      <c r="U58" s="31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6"/>
      <c r="N59" s="30"/>
      <c r="O59" s="7"/>
      <c r="P59" s="6"/>
      <c r="Q59" s="15"/>
      <c r="R59" s="7"/>
      <c r="S59" s="7"/>
      <c r="T59" s="6"/>
      <c r="U59" s="31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6"/>
      <c r="N60" s="30"/>
      <c r="O60" s="7"/>
      <c r="P60" s="6"/>
      <c r="Q60" s="15"/>
      <c r="R60" s="7"/>
      <c r="S60" s="7"/>
      <c r="T60" s="6"/>
      <c r="U60" s="31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30"/>
      <c r="O61" s="7"/>
      <c r="P61" s="6"/>
      <c r="Q61" s="15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1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1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1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1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1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1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7"/>
      <c r="T70" s="32"/>
      <c r="U70" s="36"/>
    </row>
  </sheetData>
  <pageMargins left="0.75" right="0.75" top="0.75" bottom="0.5" header="0.5" footer="0.7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 enableFormatConditionsCalculation="0"/>
  <dimension ref="A1:AV70"/>
  <sheetViews>
    <sheetView workbookViewId="0"/>
  </sheetViews>
  <sheetFormatPr baseColWidth="10" defaultColWidth="8.6640625" defaultRowHeight="15" x14ac:dyDescent="0.2"/>
  <cols>
    <col min="1" max="1" width="23" style="2" customWidth="1"/>
    <col min="2" max="21" width="10" style="2" customWidth="1"/>
    <col min="22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8" t="s">
        <v>61</v>
      </c>
      <c r="Q2" s="40"/>
      <c r="R2" s="8"/>
      <c r="AH2" s="40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65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40"/>
      <c r="R3" s="40"/>
      <c r="AH3" s="40"/>
      <c r="AI3" s="40"/>
    </row>
    <row r="4" spans="1:35" ht="15.75" x14ac:dyDescent="0.25">
      <c r="A4" s="8" t="s">
        <v>70</v>
      </c>
      <c r="B4" s="62">
        <f>0.95*1578</f>
        <v>1499.1</v>
      </c>
      <c r="Q4" s="40"/>
      <c r="R4" s="40"/>
      <c r="AH4" s="40"/>
      <c r="AI4" s="40"/>
    </row>
    <row r="5" spans="1:35" ht="15.75" x14ac:dyDescent="0.25">
      <c r="A5" s="40"/>
      <c r="Q5" s="40"/>
      <c r="R5" s="40"/>
      <c r="AH5" s="40"/>
      <c r="AI5" s="40"/>
    </row>
    <row r="6" spans="1:35" ht="16" x14ac:dyDescent="0.2">
      <c r="A6" s="8" t="s">
        <v>12</v>
      </c>
      <c r="B6" s="39">
        <v>0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/>
      <c r="J6" s="39"/>
      <c r="K6" s="39"/>
      <c r="L6" s="39"/>
      <c r="M6" s="39"/>
      <c r="N6" s="39"/>
      <c r="O6" s="39">
        <v>0</v>
      </c>
      <c r="Q6" s="40"/>
      <c r="R6" s="40"/>
      <c r="AH6" s="40"/>
      <c r="AI6" s="40"/>
    </row>
    <row r="7" spans="1:35" ht="16" x14ac:dyDescent="0.2">
      <c r="A7" s="8" t="s">
        <v>13</v>
      </c>
      <c r="B7" s="39">
        <v>0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/>
      <c r="J7" s="39"/>
      <c r="K7" s="39"/>
      <c r="L7" s="39"/>
      <c r="M7" s="39"/>
      <c r="N7" s="39"/>
      <c r="O7" s="39">
        <v>0</v>
      </c>
      <c r="P7" s="39"/>
      <c r="Q7" s="40"/>
      <c r="R7" s="40"/>
      <c r="AH7" s="40"/>
      <c r="AI7" s="40"/>
    </row>
    <row r="8" spans="1:35" ht="15.75" x14ac:dyDescent="0.25">
      <c r="A8" s="8" t="s">
        <v>14</v>
      </c>
      <c r="B8" s="39">
        <v>223775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/>
      <c r="J8" s="39"/>
      <c r="K8" s="39"/>
      <c r="L8" s="39"/>
      <c r="M8" s="39"/>
      <c r="N8" s="39"/>
      <c r="O8" s="39">
        <v>0</v>
      </c>
      <c r="P8" s="39"/>
      <c r="Q8" s="40"/>
      <c r="R8" s="40"/>
      <c r="AH8" s="40"/>
      <c r="AI8" s="40"/>
    </row>
    <row r="9" spans="1:35" ht="15.75" x14ac:dyDescent="0.25">
      <c r="A9" s="8" t="s">
        <v>15</v>
      </c>
      <c r="B9" s="39">
        <v>385475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/>
      <c r="J9" s="39"/>
      <c r="K9" s="39"/>
      <c r="L9" s="39"/>
      <c r="M9" s="39"/>
      <c r="N9" s="39"/>
      <c r="O9" s="39">
        <v>0</v>
      </c>
      <c r="P9" s="39"/>
      <c r="Q9" s="40"/>
      <c r="R9" s="40"/>
      <c r="S9" s="8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40"/>
      <c r="AI9" s="40"/>
    </row>
    <row r="10" spans="1:35" ht="16" x14ac:dyDescent="0.2">
      <c r="A10" s="8" t="s">
        <v>16</v>
      </c>
      <c r="B10" s="54">
        <f>SUM(B4:B9)</f>
        <v>610749.1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/>
      <c r="J10" s="39"/>
      <c r="K10" s="39"/>
      <c r="L10" s="39"/>
      <c r="M10" s="39"/>
      <c r="N10" s="39"/>
      <c r="O10" s="39">
        <v>0</v>
      </c>
      <c r="P10" s="39"/>
      <c r="Q10" s="40"/>
      <c r="R10" s="40"/>
      <c r="S10" s="8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40"/>
      <c r="AI10" s="40"/>
    </row>
    <row r="11" spans="1:35" ht="15.75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3"/>
      <c r="Q11" s="3"/>
      <c r="R11" s="3"/>
      <c r="S11" s="3"/>
      <c r="T11" s="3"/>
      <c r="U11" s="3"/>
    </row>
    <row r="12" spans="1:35" ht="15.75" x14ac:dyDescent="0.2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2"/>
      <c r="P13" s="3"/>
      <c r="Q13" s="3"/>
      <c r="R13" s="3"/>
      <c r="S13" s="3"/>
      <c r="T13" s="3"/>
      <c r="U13" s="3"/>
    </row>
    <row r="14" spans="1:35" ht="15.75" x14ac:dyDescent="0.25">
      <c r="A14" s="4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65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/>
      <c r="N15" s="6" t="s">
        <v>10</v>
      </c>
      <c r="O15" s="11" t="s">
        <v>11</v>
      </c>
      <c r="P15" s="3"/>
      <c r="Q15" s="3"/>
      <c r="R15" s="3"/>
      <c r="S15" s="3"/>
      <c r="T15" s="3"/>
      <c r="U15" s="3"/>
    </row>
    <row r="16" spans="1:35" ht="15.75" x14ac:dyDescent="0.2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/>
      <c r="J17" s="39"/>
      <c r="K17" s="39"/>
      <c r="L17" s="39"/>
      <c r="M17" s="39"/>
      <c r="N17" s="39"/>
      <c r="O17" s="39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54">
        <v>72768</v>
      </c>
      <c r="C18" s="39">
        <v>119</v>
      </c>
      <c r="D18" s="39">
        <v>0</v>
      </c>
      <c r="E18" s="39">
        <v>2199</v>
      </c>
      <c r="F18" s="39">
        <v>2180</v>
      </c>
      <c r="G18" s="53">
        <f>71628-B22</f>
        <v>71628</v>
      </c>
      <c r="H18" s="39">
        <v>0</v>
      </c>
      <c r="I18" s="39"/>
      <c r="J18" s="39"/>
      <c r="K18" s="39"/>
      <c r="L18" s="39"/>
      <c r="M18" s="39"/>
      <c r="N18" s="39"/>
      <c r="O18" s="54">
        <f>SUM(C18:N18)</f>
        <v>76126</v>
      </c>
      <c r="P18" s="3"/>
      <c r="Q18" s="3"/>
      <c r="R18" s="3"/>
      <c r="S18" s="3"/>
      <c r="T18" s="3"/>
      <c r="U18" s="3"/>
    </row>
    <row r="19" spans="1:21" ht="15.75" x14ac:dyDescent="0.25">
      <c r="A19" s="8" t="s">
        <v>22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/>
      <c r="J19" s="39"/>
      <c r="K19" s="39"/>
      <c r="L19" s="39"/>
      <c r="M19" s="39"/>
      <c r="N19" s="39"/>
      <c r="O19" s="39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/>
      <c r="J20" s="39"/>
      <c r="K20" s="39"/>
      <c r="L20" s="39"/>
      <c r="M20" s="39"/>
      <c r="N20" s="39"/>
      <c r="O20" s="39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/>
      <c r="J21" s="39"/>
      <c r="K21" s="39"/>
      <c r="L21" s="39"/>
      <c r="M21" s="39"/>
      <c r="N21" s="39"/>
      <c r="O21" s="39">
        <v>0</v>
      </c>
      <c r="P21" s="3"/>
      <c r="Q21" s="3"/>
      <c r="R21" s="3"/>
      <c r="S21" s="3" t="s">
        <v>26</v>
      </c>
      <c r="T21" s="13">
        <f>O42/1000</f>
        <v>1439.0338000000002</v>
      </c>
      <c r="U21" s="3"/>
    </row>
    <row r="22" spans="1:21" ht="16" x14ac:dyDescent="0.2">
      <c r="A22" s="8" t="s">
        <v>25</v>
      </c>
      <c r="B22" s="54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/>
      <c r="J22" s="39"/>
      <c r="K22" s="39"/>
      <c r="L22" s="39"/>
      <c r="M22" s="39"/>
      <c r="N22" s="39"/>
      <c r="O22" s="39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39">
        <v>72768</v>
      </c>
      <c r="C23" s="39">
        <v>119</v>
      </c>
      <c r="D23" s="39">
        <v>0</v>
      </c>
      <c r="E23" s="39">
        <v>2199</v>
      </c>
      <c r="F23" s="39">
        <v>2180</v>
      </c>
      <c r="G23" s="53">
        <f>SUM(G17:G22)</f>
        <v>71628</v>
      </c>
      <c r="H23" s="39">
        <v>0</v>
      </c>
      <c r="I23" s="39"/>
      <c r="J23" s="39"/>
      <c r="K23" s="39"/>
      <c r="L23" s="39"/>
      <c r="M23" s="39"/>
      <c r="N23" s="39"/>
      <c r="O23" s="54">
        <f>SUM(O18:O22)</f>
        <v>76126</v>
      </c>
      <c r="P23" s="3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3"/>
      <c r="Q24" s="3"/>
      <c r="R24" s="3"/>
      <c r="S24" s="3" t="s">
        <v>10</v>
      </c>
      <c r="T24" s="14">
        <f>N42/1000</f>
        <v>634.96980000000008</v>
      </c>
      <c r="U24" s="15">
        <f>N43</f>
        <v>0.44124731469128803</v>
      </c>
    </row>
    <row r="25" spans="1:21" ht="16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3"/>
      <c r="Q25" s="3"/>
      <c r="R25" s="3"/>
      <c r="S25" s="3" t="s">
        <v>65</v>
      </c>
      <c r="T25" s="14">
        <f>G42/1000</f>
        <v>198.46899999999999</v>
      </c>
      <c r="U25" s="16">
        <f>G43</f>
        <v>0.13791823374822745</v>
      </c>
    </row>
    <row r="26" spans="1:21" ht="15.75" x14ac:dyDescent="0.2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"/>
      <c r="Q26" s="3"/>
      <c r="R26" s="3"/>
      <c r="S26" s="3" t="s">
        <v>7</v>
      </c>
      <c r="T26" s="14">
        <f>J42/1000</f>
        <v>0</v>
      </c>
      <c r="U26" s="15">
        <f>J43</f>
        <v>0</v>
      </c>
    </row>
    <row r="27" spans="1:21" ht="19" x14ac:dyDescent="0.25">
      <c r="A27" s="1" t="s">
        <v>29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11"/>
      <c r="P27" s="3"/>
      <c r="Q27" s="3"/>
      <c r="R27" s="3"/>
      <c r="S27" s="3" t="s">
        <v>31</v>
      </c>
      <c r="T27" s="14">
        <f>F42/1000</f>
        <v>40.383000000000003</v>
      </c>
      <c r="U27" s="15">
        <f>F43</f>
        <v>2.8062579211134583E-2</v>
      </c>
    </row>
    <row r="28" spans="1:21" ht="15.75" x14ac:dyDescent="0.25">
      <c r="A28" s="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3"/>
      <c r="Q28" s="3"/>
      <c r="R28" s="3"/>
      <c r="S28" s="3" t="s">
        <v>4</v>
      </c>
      <c r="T28" s="13">
        <f>E42/1000</f>
        <v>82.001999999999995</v>
      </c>
      <c r="U28" s="15">
        <f>E43</f>
        <v>5.6984068060110887E-2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65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42">
        <f>D43</f>
        <v>0</v>
      </c>
    </row>
    <row r="30" spans="1:21" ht="15.75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3"/>
      <c r="Q30" s="3"/>
      <c r="R30" s="3"/>
      <c r="S30" s="2" t="s">
        <v>8</v>
      </c>
      <c r="T30" s="2">
        <f>K42/1000</f>
        <v>0</v>
      </c>
      <c r="U30" s="42">
        <f>K43</f>
        <v>0</v>
      </c>
    </row>
    <row r="31" spans="1:21" ht="15.75" x14ac:dyDescent="0.25">
      <c r="A31" s="8" t="s">
        <v>33</v>
      </c>
      <c r="B31" s="39">
        <v>0</v>
      </c>
      <c r="C31" s="39">
        <v>30205</v>
      </c>
      <c r="D31" s="39">
        <v>0</v>
      </c>
      <c r="E31" s="39">
        <v>0</v>
      </c>
      <c r="F31" s="39">
        <v>2843</v>
      </c>
      <c r="G31" s="39">
        <v>0</v>
      </c>
      <c r="H31" s="39">
        <v>0</v>
      </c>
      <c r="I31" s="39"/>
      <c r="J31" s="39"/>
      <c r="K31" s="39"/>
      <c r="L31" s="39"/>
      <c r="M31" s="40"/>
      <c r="N31" s="39">
        <v>40574</v>
      </c>
      <c r="O31" s="39">
        <v>73622</v>
      </c>
      <c r="P31" s="17">
        <f>O31/O$39</f>
        <v>5.3377704792045039E-2</v>
      </c>
      <c r="Q31" s="18" t="s">
        <v>34</v>
      </c>
      <c r="R31" s="3"/>
      <c r="S31" s="3" t="s">
        <v>5</v>
      </c>
      <c r="T31" s="14">
        <f>I42/1000</f>
        <v>0</v>
      </c>
      <c r="U31" s="15">
        <f>I43</f>
        <v>0</v>
      </c>
    </row>
    <row r="32" spans="1:21" ht="15.75" x14ac:dyDescent="0.25">
      <c r="A32" s="8" t="s">
        <v>36</v>
      </c>
      <c r="B32" s="39">
        <v>4294</v>
      </c>
      <c r="C32" s="39">
        <v>8722</v>
      </c>
      <c r="D32" s="39">
        <v>0</v>
      </c>
      <c r="E32" s="48">
        <f>E39</f>
        <v>79803</v>
      </c>
      <c r="F32" s="39">
        <v>0</v>
      </c>
      <c r="G32" s="39">
        <v>41910</v>
      </c>
      <c r="H32" s="48">
        <v>0</v>
      </c>
      <c r="I32" s="41"/>
      <c r="J32" s="41"/>
      <c r="K32" s="41"/>
      <c r="L32" s="41"/>
      <c r="M32" s="40"/>
      <c r="N32" s="39">
        <v>148150</v>
      </c>
      <c r="O32" s="39">
        <v>282879</v>
      </c>
      <c r="P32" s="17">
        <f>O32/O$39</f>
        <v>0.2050940174658242</v>
      </c>
      <c r="Q32" s="18" t="s">
        <v>37</v>
      </c>
      <c r="R32" s="3"/>
      <c r="S32" s="3" t="s">
        <v>6</v>
      </c>
      <c r="T32" s="14">
        <f>H42/1000</f>
        <v>0</v>
      </c>
      <c r="U32" s="15">
        <f>H43</f>
        <v>0</v>
      </c>
    </row>
    <row r="33" spans="1:48" ht="15.75" x14ac:dyDescent="0.25">
      <c r="A33" s="8" t="s">
        <v>38</v>
      </c>
      <c r="B33" s="39">
        <v>16731</v>
      </c>
      <c r="C33" s="39">
        <v>85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/>
      <c r="J33" s="39"/>
      <c r="K33" s="39"/>
      <c r="L33" s="39"/>
      <c r="M33" s="40"/>
      <c r="N33" s="39">
        <v>36257</v>
      </c>
      <c r="O33" s="39">
        <v>53072</v>
      </c>
      <c r="P33" s="17">
        <f>O33/O$39</f>
        <v>3.8478464979536199E-2</v>
      </c>
      <c r="Q33" s="18" t="s">
        <v>39</v>
      </c>
      <c r="R33" s="3"/>
      <c r="S33" s="3" t="s">
        <v>35</v>
      </c>
      <c r="T33" s="14">
        <f>C42/1000</f>
        <v>483.21</v>
      </c>
      <c r="U33" s="16">
        <f>C43</f>
        <v>0.33578780428923904</v>
      </c>
    </row>
    <row r="34" spans="1:48" ht="15.75" x14ac:dyDescent="0.25">
      <c r="A34" s="8" t="s">
        <v>40</v>
      </c>
      <c r="B34" s="39">
        <v>0</v>
      </c>
      <c r="C34" s="39">
        <v>442286</v>
      </c>
      <c r="D34" s="39">
        <v>0</v>
      </c>
      <c r="E34" s="39">
        <v>0</v>
      </c>
      <c r="F34" s="39">
        <v>35360</v>
      </c>
      <c r="G34" s="39">
        <v>0</v>
      </c>
      <c r="H34" s="39">
        <v>0</v>
      </c>
      <c r="I34" s="39"/>
      <c r="J34" s="39"/>
      <c r="K34" s="39"/>
      <c r="L34" s="39"/>
      <c r="M34" s="40"/>
      <c r="N34" s="39">
        <v>587</v>
      </c>
      <c r="O34" s="39">
        <v>478233</v>
      </c>
      <c r="P34" s="17">
        <f>O34/O$39</f>
        <v>0.34673032375939361</v>
      </c>
      <c r="Q34" s="18" t="s">
        <v>41</v>
      </c>
      <c r="R34" s="3"/>
      <c r="S34" s="3"/>
      <c r="T34" s="14">
        <f>SUM(T24:T32)</f>
        <v>955.82380000000012</v>
      </c>
      <c r="U34" s="15">
        <f>SUM(U24:U32)</f>
        <v>0.66421219571076096</v>
      </c>
    </row>
    <row r="35" spans="1:48" ht="16" x14ac:dyDescent="0.2">
      <c r="A35" s="8" t="s">
        <v>42</v>
      </c>
      <c r="B35" s="39">
        <v>10863</v>
      </c>
      <c r="C35" s="39">
        <v>988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/>
      <c r="J35" s="39"/>
      <c r="K35" s="39"/>
      <c r="L35" s="39"/>
      <c r="M35" s="40"/>
      <c r="N35" s="39">
        <v>133664</v>
      </c>
      <c r="O35" s="39">
        <v>145515</v>
      </c>
      <c r="P35" s="17">
        <f>O35/O$39</f>
        <v>0.1055018433731009</v>
      </c>
      <c r="Q35" s="18" t="s">
        <v>43</v>
      </c>
      <c r="R35" s="18"/>
    </row>
    <row r="36" spans="1:48" ht="16" x14ac:dyDescent="0.2">
      <c r="A36" s="8" t="s">
        <v>44</v>
      </c>
      <c r="B36" s="39">
        <v>5969</v>
      </c>
      <c r="C36" s="39">
        <v>717</v>
      </c>
      <c r="D36" s="39">
        <v>0</v>
      </c>
      <c r="E36" s="39">
        <v>0</v>
      </c>
      <c r="F36" s="39">
        <v>0</v>
      </c>
      <c r="G36" s="39">
        <v>84931</v>
      </c>
      <c r="H36" s="39">
        <v>0</v>
      </c>
      <c r="I36" s="39"/>
      <c r="J36" s="39"/>
      <c r="K36" s="39"/>
      <c r="L36" s="39"/>
      <c r="M36" s="40"/>
      <c r="N36" s="39">
        <v>144809</v>
      </c>
      <c r="O36" s="39">
        <v>236426</v>
      </c>
      <c r="P36" s="18"/>
      <c r="Q36" s="18"/>
      <c r="R36" s="3"/>
      <c r="S36" s="7"/>
      <c r="T36" s="7"/>
      <c r="U36" s="7"/>
    </row>
    <row r="37" spans="1:48" ht="15.75" x14ac:dyDescent="0.25">
      <c r="A37" s="8" t="s">
        <v>45</v>
      </c>
      <c r="B37" s="39">
        <v>25535</v>
      </c>
      <c r="C37" s="39">
        <v>89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/>
      <c r="J37" s="39"/>
      <c r="K37" s="39"/>
      <c r="L37" s="39"/>
      <c r="M37" s="40"/>
      <c r="N37" s="39">
        <v>58484</v>
      </c>
      <c r="O37" s="39">
        <v>84107</v>
      </c>
      <c r="P37" s="18"/>
      <c r="Q37" s="18"/>
      <c r="R37" s="3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39">
        <v>0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/>
      <c r="J38" s="39"/>
      <c r="K38" s="39"/>
      <c r="L38" s="39"/>
      <c r="M38" s="40"/>
      <c r="N38" s="39">
        <v>25411</v>
      </c>
      <c r="O38" s="39">
        <v>25411</v>
      </c>
      <c r="P38" s="18">
        <f>SUM(P31:P35)</f>
        <v>0.74918235436989999</v>
      </c>
      <c r="Q38" s="18"/>
      <c r="R38" s="3"/>
      <c r="S38" s="7" t="s">
        <v>47</v>
      </c>
      <c r="T38" s="19">
        <f>O45/1000</f>
        <v>56.410800000000002</v>
      </c>
      <c r="U38" s="7"/>
    </row>
    <row r="39" spans="1:48" ht="16" x14ac:dyDescent="0.2">
      <c r="A39" s="8" t="s">
        <v>16</v>
      </c>
      <c r="B39" s="39">
        <v>63392</v>
      </c>
      <c r="C39" s="39">
        <v>483091</v>
      </c>
      <c r="D39" s="39">
        <v>0</v>
      </c>
      <c r="E39" s="48">
        <f>O39-N39-G39-F39-C39-B39</f>
        <v>79803</v>
      </c>
      <c r="F39" s="39">
        <v>38203</v>
      </c>
      <c r="G39" s="39">
        <v>126841</v>
      </c>
      <c r="H39" s="48">
        <v>0</v>
      </c>
      <c r="I39" s="41"/>
      <c r="J39" s="41"/>
      <c r="K39" s="41"/>
      <c r="L39" s="41"/>
      <c r="M39" s="40"/>
      <c r="N39" s="39">
        <v>587935</v>
      </c>
      <c r="O39" s="39">
        <v>1379265</v>
      </c>
      <c r="P39" s="3"/>
      <c r="Q39" s="3"/>
      <c r="R39" s="3"/>
      <c r="S39" s="7" t="s">
        <v>48</v>
      </c>
      <c r="T39" s="20">
        <f>O41/1000</f>
        <v>345.94400000000002</v>
      </c>
      <c r="U39" s="15">
        <f>P41</f>
        <v>0.25081764563010012</v>
      </c>
    </row>
    <row r="40" spans="1:48" x14ac:dyDescent="0.2">
      <c r="S40" s="7" t="s">
        <v>49</v>
      </c>
      <c r="T40" s="20">
        <f>O35/1000</f>
        <v>145.51499999999999</v>
      </c>
      <c r="U40" s="16">
        <f>P35</f>
        <v>0.1055018433731009</v>
      </c>
    </row>
    <row r="41" spans="1:48" ht="16" x14ac:dyDescent="0.2">
      <c r="A41" s="21" t="s">
        <v>50</v>
      </c>
      <c r="B41" s="22">
        <f>B38+B37+B36</f>
        <v>31504</v>
      </c>
      <c r="C41" s="22">
        <f t="shared" ref="C41:O41" si="0">C38+C37+C36</f>
        <v>806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84931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228704</v>
      </c>
      <c r="O41" s="22">
        <f t="shared" si="0"/>
        <v>345944</v>
      </c>
      <c r="P41" s="17">
        <f>O41/O$39</f>
        <v>0.25081764563010012</v>
      </c>
      <c r="Q41" s="17" t="s">
        <v>51</v>
      </c>
      <c r="R41" s="7"/>
      <c r="S41" s="7" t="s">
        <v>52</v>
      </c>
      <c r="T41" s="20">
        <f>O33/1000</f>
        <v>53.072000000000003</v>
      </c>
      <c r="U41" s="15">
        <f>P33</f>
        <v>3.8478464979536199E-2</v>
      </c>
    </row>
    <row r="42" spans="1:48" ht="16" x14ac:dyDescent="0.2">
      <c r="A42" s="23" t="s">
        <v>53</v>
      </c>
      <c r="B42" s="22"/>
      <c r="C42" s="24">
        <f>C39+C23+C10</f>
        <v>483210</v>
      </c>
      <c r="D42" s="24">
        <f t="shared" ref="D42:M42" si="1">D39+D23+D10</f>
        <v>0</v>
      </c>
      <c r="E42" s="24">
        <f t="shared" si="1"/>
        <v>82002</v>
      </c>
      <c r="F42" s="24">
        <f t="shared" si="1"/>
        <v>40383</v>
      </c>
      <c r="G42" s="24">
        <f t="shared" si="1"/>
        <v>198469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634969.80000000005</v>
      </c>
      <c r="O42" s="25">
        <f>SUM(C42:N42)</f>
        <v>1439033.8</v>
      </c>
      <c r="P42" s="7"/>
      <c r="Q42" s="7"/>
      <c r="R42" s="7"/>
      <c r="S42" s="7" t="s">
        <v>34</v>
      </c>
      <c r="T42" s="20">
        <f>O31/1000</f>
        <v>73.622</v>
      </c>
      <c r="U42" s="15">
        <f>P31</f>
        <v>5.3377704792045039E-2</v>
      </c>
    </row>
    <row r="43" spans="1:48" ht="16" x14ac:dyDescent="0.2">
      <c r="A43" s="23" t="s">
        <v>54</v>
      </c>
      <c r="B43" s="22"/>
      <c r="C43" s="17">
        <f t="shared" ref="C43:N43" si="2">C42/$O42</f>
        <v>0.33578780428923904</v>
      </c>
      <c r="D43" s="17">
        <f t="shared" si="2"/>
        <v>0</v>
      </c>
      <c r="E43" s="17">
        <f t="shared" si="2"/>
        <v>5.6984068060110887E-2</v>
      </c>
      <c r="F43" s="17">
        <f t="shared" si="2"/>
        <v>2.8062579211134583E-2</v>
      </c>
      <c r="G43" s="17">
        <f t="shared" si="2"/>
        <v>0.13791823374822745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</v>
      </c>
      <c r="N43" s="17">
        <f t="shared" si="2"/>
        <v>0.44124731469128803</v>
      </c>
      <c r="O43" s="17">
        <f>SUM(C43:N43)</f>
        <v>1</v>
      </c>
      <c r="P43" s="7"/>
      <c r="Q43" s="7"/>
      <c r="R43" s="7"/>
      <c r="S43" s="7" t="s">
        <v>55</v>
      </c>
      <c r="T43" s="20">
        <f>O32/1000</f>
        <v>282.87900000000002</v>
      </c>
      <c r="U43" s="16">
        <f>P32</f>
        <v>0.2050940174658242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478.233</v>
      </c>
      <c r="U44" s="16">
        <f>P34</f>
        <v>0.34673032375939361</v>
      </c>
    </row>
    <row r="45" spans="1:48" ht="16" x14ac:dyDescent="0.2">
      <c r="A45" s="6" t="s">
        <v>57</v>
      </c>
      <c r="B45" s="6">
        <f>B23-B39</f>
        <v>9376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47034.8</v>
      </c>
      <c r="O45" s="25">
        <f>B45+N45</f>
        <v>56410.8</v>
      </c>
      <c r="P45" s="7"/>
      <c r="Q45" s="7"/>
      <c r="R45" s="7"/>
      <c r="S45" s="7" t="s">
        <v>58</v>
      </c>
      <c r="T45" s="20">
        <f>SUM(T39:T44)</f>
        <v>1379.2649999999999</v>
      </c>
      <c r="U45" s="15">
        <f>SUM(U39:U44)</f>
        <v>1</v>
      </c>
    </row>
    <row r="46" spans="1:48" ht="16" x14ac:dyDescent="0.2">
      <c r="A46" s="6"/>
      <c r="B46" s="38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7"/>
      <c r="E48" s="27"/>
      <c r="F48" s="28"/>
      <c r="G48" s="27"/>
      <c r="H48" s="27"/>
      <c r="I48" s="28"/>
      <c r="J48" s="28"/>
      <c r="K48" s="28"/>
      <c r="L48" s="28"/>
      <c r="M48" s="28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27"/>
      <c r="B55" s="4"/>
      <c r="C55" s="27"/>
      <c r="D55" s="27"/>
      <c r="E55" s="27"/>
      <c r="F55" s="28"/>
      <c r="G55" s="27"/>
      <c r="H55" s="27"/>
      <c r="I55" s="28"/>
      <c r="J55" s="28"/>
      <c r="K55" s="28"/>
      <c r="L55" s="28"/>
      <c r="M55" s="28"/>
      <c r="N55" s="27"/>
      <c r="O55" s="27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27"/>
      <c r="B56" s="4"/>
      <c r="C56" s="27"/>
      <c r="D56" s="27"/>
      <c r="E56" s="27"/>
      <c r="F56" s="28"/>
      <c r="G56" s="27"/>
      <c r="H56" s="27"/>
      <c r="I56" s="28"/>
      <c r="J56" s="28"/>
      <c r="K56" s="28"/>
      <c r="L56" s="28"/>
      <c r="M56" s="28"/>
      <c r="N56" s="27"/>
      <c r="O56" s="27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6"/>
      <c r="N57" s="30"/>
      <c r="O57" s="7"/>
      <c r="P57" s="6"/>
      <c r="Q57" s="15"/>
      <c r="R57" s="7"/>
      <c r="S57" s="7"/>
      <c r="T57" s="6"/>
      <c r="U57" s="31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6"/>
      <c r="N58" s="30"/>
      <c r="O58" s="7"/>
      <c r="P58" s="6"/>
      <c r="Q58" s="15"/>
      <c r="R58" s="7"/>
      <c r="S58" s="7"/>
      <c r="T58" s="6"/>
      <c r="U58" s="31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6"/>
      <c r="N59" s="30"/>
      <c r="O59" s="7"/>
      <c r="P59" s="6"/>
      <c r="Q59" s="15"/>
      <c r="R59" s="7"/>
      <c r="S59" s="7"/>
      <c r="T59" s="6"/>
      <c r="U59" s="31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6"/>
      <c r="N60" s="30"/>
      <c r="O60" s="7"/>
      <c r="P60" s="6"/>
      <c r="Q60" s="15"/>
      <c r="R60" s="7"/>
      <c r="S60" s="7"/>
      <c r="T60" s="6"/>
      <c r="U60" s="31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30"/>
      <c r="O61" s="7"/>
      <c r="P61" s="6"/>
      <c r="Q61" s="15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1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1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1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1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1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1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7"/>
      <c r="T70" s="32"/>
      <c r="U70" s="36"/>
    </row>
  </sheetData>
  <pageMargins left="0.75" right="0.75" top="0.75" bottom="0.5" header="0.5" footer="0.7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 enableFormatConditionsCalculation="0"/>
  <dimension ref="A1:AV74"/>
  <sheetViews>
    <sheetView workbookViewId="0">
      <selection activeCell="L43" sqref="L43"/>
    </sheetView>
  </sheetViews>
  <sheetFormatPr baseColWidth="10" defaultColWidth="8.6640625" defaultRowHeight="15" x14ac:dyDescent="0.2"/>
  <cols>
    <col min="1" max="1" width="23" style="2" customWidth="1"/>
    <col min="2" max="21" width="10" style="2" customWidth="1"/>
    <col min="22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8" t="s">
        <v>62</v>
      </c>
      <c r="Q2" s="40"/>
      <c r="R2" s="8"/>
      <c r="AH2" s="40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65</v>
      </c>
      <c r="H3" s="6" t="s">
        <v>6</v>
      </c>
      <c r="I3" s="6" t="s">
        <v>5</v>
      </c>
      <c r="J3" s="6" t="s">
        <v>7</v>
      </c>
      <c r="K3" s="6" t="s">
        <v>8</v>
      </c>
      <c r="L3" s="6" t="s">
        <v>69</v>
      </c>
      <c r="M3" s="6"/>
      <c r="N3" s="6"/>
      <c r="O3" s="7" t="s">
        <v>11</v>
      </c>
      <c r="Q3" s="40"/>
      <c r="R3" s="40"/>
      <c r="AH3" s="40"/>
      <c r="AI3" s="40"/>
    </row>
    <row r="4" spans="1:35" ht="15.75" x14ac:dyDescent="0.25">
      <c r="A4" s="8" t="s">
        <v>70</v>
      </c>
      <c r="B4" s="62">
        <f>0.95*5229</f>
        <v>4967.55</v>
      </c>
      <c r="Q4" s="40"/>
      <c r="R4" s="40"/>
      <c r="AH4" s="40"/>
      <c r="AI4" s="40"/>
    </row>
    <row r="5" spans="1:35" ht="15.75" x14ac:dyDescent="0.25">
      <c r="A5" s="40"/>
      <c r="Q5" s="40"/>
      <c r="R5" s="40"/>
      <c r="AH5" s="40"/>
      <c r="AI5" s="40"/>
    </row>
    <row r="6" spans="1:35" ht="16" x14ac:dyDescent="0.2">
      <c r="A6" s="8" t="s">
        <v>12</v>
      </c>
      <c r="B6" s="54">
        <v>0</v>
      </c>
      <c r="C6" s="54">
        <v>0</v>
      </c>
      <c r="D6" s="39">
        <v>0</v>
      </c>
      <c r="E6" s="39">
        <v>0</v>
      </c>
      <c r="F6" s="54">
        <v>0</v>
      </c>
      <c r="G6" s="54">
        <v>0</v>
      </c>
      <c r="H6" s="39">
        <v>0</v>
      </c>
      <c r="I6" s="39"/>
      <c r="J6" s="39"/>
      <c r="K6" s="39"/>
      <c r="L6" s="39"/>
      <c r="M6" s="39"/>
      <c r="N6" s="39"/>
      <c r="O6" s="54">
        <v>0</v>
      </c>
      <c r="Q6" s="40"/>
      <c r="R6" s="40"/>
      <c r="AH6" s="40"/>
      <c r="AI6" s="40"/>
    </row>
    <row r="7" spans="1:35" ht="16" x14ac:dyDescent="0.2">
      <c r="A7" s="8" t="s">
        <v>13</v>
      </c>
      <c r="B7" s="53">
        <v>21324000</v>
      </c>
      <c r="C7" s="39">
        <v>6371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/>
      <c r="J7" s="39"/>
      <c r="K7" s="39"/>
      <c r="L7" s="53">
        <f>B7/0.35</f>
        <v>60925714.285714291</v>
      </c>
      <c r="M7" s="39"/>
      <c r="N7" s="39"/>
      <c r="O7" s="53">
        <f>SUM(C7:N7)</f>
        <v>60932085.285714291</v>
      </c>
      <c r="P7" s="41"/>
      <c r="Q7" s="40"/>
      <c r="R7" s="40"/>
      <c r="AH7" s="40"/>
      <c r="AI7" s="40"/>
    </row>
    <row r="8" spans="1:35" ht="15.75" x14ac:dyDescent="0.25">
      <c r="A8" s="8" t="s">
        <v>14</v>
      </c>
      <c r="B8" s="39">
        <v>1802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/>
      <c r="J8" s="39"/>
      <c r="K8" s="39"/>
      <c r="L8" s="39"/>
      <c r="M8" s="39"/>
      <c r="N8" s="39"/>
      <c r="O8" s="39">
        <v>0</v>
      </c>
      <c r="P8" s="41"/>
      <c r="Q8" s="40"/>
      <c r="R8" s="40"/>
      <c r="AH8" s="40"/>
      <c r="AI8" s="40"/>
    </row>
    <row r="9" spans="1:35" ht="15.75" x14ac:dyDescent="0.25">
      <c r="A9" s="8" t="s">
        <v>15</v>
      </c>
      <c r="B9" s="52">
        <v>117078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/>
      <c r="J9" s="39"/>
      <c r="K9" s="39"/>
      <c r="L9" s="39"/>
      <c r="M9" s="39"/>
      <c r="N9" s="39"/>
      <c r="O9" s="39">
        <v>0</v>
      </c>
      <c r="P9" s="41"/>
      <c r="Q9" s="40"/>
      <c r="R9" s="40"/>
      <c r="S9" s="8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40"/>
      <c r="AI9" s="40"/>
    </row>
    <row r="10" spans="1:35" ht="16" x14ac:dyDescent="0.2">
      <c r="A10" s="8" t="s">
        <v>16</v>
      </c>
      <c r="B10" s="54">
        <f>SUM(B4:B9)</f>
        <v>21447847.550000001</v>
      </c>
      <c r="C10" s="39">
        <f>SUM(C6:C9)</f>
        <v>6371</v>
      </c>
      <c r="D10" s="39">
        <v>0</v>
      </c>
      <c r="E10" s="39">
        <v>0</v>
      </c>
      <c r="F10" s="54">
        <v>0</v>
      </c>
      <c r="G10" s="54">
        <v>0</v>
      </c>
      <c r="H10" s="39">
        <v>0</v>
      </c>
      <c r="I10" s="39"/>
      <c r="J10" s="39"/>
      <c r="K10" s="39"/>
      <c r="L10" s="53">
        <f>SUM(L7:L9)</f>
        <v>60925714.285714291</v>
      </c>
      <c r="M10" s="39"/>
      <c r="N10" s="39"/>
      <c r="O10" s="53">
        <f>SUM(O6:O9)</f>
        <v>60932085.285714291</v>
      </c>
      <c r="P10" s="41"/>
      <c r="Q10" s="40"/>
      <c r="R10" s="40"/>
      <c r="S10" s="8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40"/>
      <c r="AI10" s="40"/>
    </row>
    <row r="11" spans="1:35" ht="15.75" x14ac:dyDescent="0.25">
      <c r="B11" s="11"/>
      <c r="C11" s="54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3"/>
      <c r="Q11" s="3"/>
      <c r="R11" s="3"/>
      <c r="S11" s="3"/>
      <c r="T11" s="3"/>
      <c r="U11" s="3"/>
    </row>
    <row r="12" spans="1:35" ht="15.75" x14ac:dyDescent="0.2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2"/>
      <c r="P13" s="3"/>
      <c r="Q13" s="3"/>
      <c r="R13" s="3"/>
      <c r="S13" s="3"/>
      <c r="T13" s="3"/>
      <c r="U13" s="3"/>
    </row>
    <row r="14" spans="1:35" ht="15.75" x14ac:dyDescent="0.25">
      <c r="A14" s="4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67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/>
      <c r="N15" s="6" t="s">
        <v>10</v>
      </c>
      <c r="O15" s="11" t="s">
        <v>11</v>
      </c>
      <c r="P15" s="3"/>
      <c r="Q15" s="3"/>
      <c r="R15" s="3"/>
      <c r="S15" s="3"/>
      <c r="T15" s="3"/>
      <c r="U15" s="3"/>
    </row>
    <row r="16" spans="1:35" ht="15.75" x14ac:dyDescent="0.2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/>
      <c r="J17" s="39"/>
      <c r="K17" s="39"/>
      <c r="L17" s="39"/>
      <c r="M17" s="39"/>
      <c r="N17" s="39"/>
      <c r="O17" s="39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39">
        <v>70305</v>
      </c>
      <c r="C18" s="39">
        <v>0</v>
      </c>
      <c r="D18" s="39">
        <v>0</v>
      </c>
      <c r="E18" s="39">
        <v>3077</v>
      </c>
      <c r="F18" s="39">
        <v>3297</v>
      </c>
      <c r="G18" s="39">
        <v>66431</v>
      </c>
      <c r="H18" s="39">
        <v>0</v>
      </c>
      <c r="I18" s="39"/>
      <c r="J18" s="39"/>
      <c r="K18" s="39"/>
      <c r="L18" s="39"/>
      <c r="M18" s="39"/>
      <c r="N18" s="39"/>
      <c r="O18" s="39">
        <v>72804</v>
      </c>
      <c r="P18" s="3"/>
      <c r="Q18" s="3"/>
      <c r="R18" s="3"/>
      <c r="S18" s="3"/>
      <c r="T18" s="3"/>
      <c r="U18" s="3"/>
    </row>
    <row r="19" spans="1:21" ht="15.75" x14ac:dyDescent="0.25">
      <c r="A19" s="8" t="s">
        <v>22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/>
      <c r="J19" s="39"/>
      <c r="K19" s="39"/>
      <c r="L19" s="39"/>
      <c r="M19" s="39"/>
      <c r="N19" s="39"/>
      <c r="O19" s="39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/>
      <c r="J20" s="39"/>
      <c r="K20" s="39"/>
      <c r="L20" s="39"/>
      <c r="M20" s="39"/>
      <c r="N20" s="39"/>
      <c r="O20" s="39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39">
        <v>113453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/>
      <c r="J21" s="39"/>
      <c r="K21" s="39"/>
      <c r="L21" s="39"/>
      <c r="M21" s="39"/>
      <c r="N21" s="39"/>
      <c r="O21" s="39">
        <v>0</v>
      </c>
      <c r="P21" s="3"/>
      <c r="Q21" s="3"/>
      <c r="R21" s="3"/>
      <c r="S21" s="3" t="s">
        <v>26</v>
      </c>
      <c r="T21" s="13">
        <f>O42/1000</f>
        <v>4434.0012800000004</v>
      </c>
      <c r="U21" s="3"/>
    </row>
    <row r="22" spans="1:21" ht="16" x14ac:dyDescent="0.2">
      <c r="A22" s="8" t="s">
        <v>25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/>
      <c r="J22" s="39"/>
      <c r="K22" s="39"/>
      <c r="L22" s="39"/>
      <c r="M22" s="39"/>
      <c r="N22" s="39"/>
      <c r="O22" s="39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39">
        <v>183758</v>
      </c>
      <c r="C23" s="39">
        <v>0</v>
      </c>
      <c r="D23" s="39">
        <v>0</v>
      </c>
      <c r="E23" s="39">
        <v>3077</v>
      </c>
      <c r="F23" s="39">
        <v>3297</v>
      </c>
      <c r="G23" s="39">
        <v>66431</v>
      </c>
      <c r="H23" s="39">
        <v>0</v>
      </c>
      <c r="I23" s="39"/>
      <c r="J23" s="39"/>
      <c r="K23" s="39"/>
      <c r="L23" s="39"/>
      <c r="M23" s="39"/>
      <c r="N23" s="39"/>
      <c r="O23" s="39">
        <v>72804</v>
      </c>
      <c r="P23" s="3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3"/>
      <c r="Q24" s="3"/>
      <c r="R24" s="3"/>
      <c r="S24" s="3" t="s">
        <v>10</v>
      </c>
      <c r="T24" s="14">
        <f>N42/1000</f>
        <v>731.20428000000004</v>
      </c>
      <c r="U24" s="15">
        <f>N43</f>
        <v>0.1649084503647234</v>
      </c>
    </row>
    <row r="25" spans="1:21" ht="16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3"/>
      <c r="Q25" s="3"/>
      <c r="R25" s="3"/>
      <c r="S25" s="3" t="s">
        <v>65</v>
      </c>
      <c r="T25" s="14">
        <f>G42/1000</f>
        <v>457.32400000000001</v>
      </c>
      <c r="U25" s="16">
        <f>G43</f>
        <v>0.10314024988283269</v>
      </c>
    </row>
    <row r="26" spans="1:21" ht="15.75" x14ac:dyDescent="0.2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"/>
      <c r="Q26" s="3"/>
      <c r="R26" s="3"/>
      <c r="S26" s="3" t="s">
        <v>7</v>
      </c>
      <c r="T26" s="14">
        <f>J42/1000</f>
        <v>0</v>
      </c>
      <c r="U26" s="15">
        <f>J43</f>
        <v>0</v>
      </c>
    </row>
    <row r="27" spans="1:21" ht="19" x14ac:dyDescent="0.25">
      <c r="A27" s="1" t="s">
        <v>29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11"/>
      <c r="P27" s="3"/>
      <c r="Q27" s="3"/>
      <c r="R27" s="3"/>
      <c r="S27" s="3" t="s">
        <v>31</v>
      </c>
      <c r="T27" s="14">
        <f>F42/1000</f>
        <v>57.963999999999999</v>
      </c>
      <c r="U27" s="15">
        <f>F43</f>
        <v>1.3072616884765536E-2</v>
      </c>
    </row>
    <row r="28" spans="1:21" ht="15.75" x14ac:dyDescent="0.25">
      <c r="A28" s="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3"/>
      <c r="Q28" s="3"/>
      <c r="R28" s="3"/>
      <c r="S28" s="3" t="s">
        <v>4</v>
      </c>
      <c r="T28" s="13">
        <f>E42/1000</f>
        <v>31.977</v>
      </c>
      <c r="U28" s="15">
        <f>E43</f>
        <v>7.2117705838821945E-3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65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68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42">
        <f>D43</f>
        <v>0</v>
      </c>
    </row>
    <row r="30" spans="1:21" ht="15.75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3"/>
      <c r="Q30" s="3"/>
      <c r="R30" s="3"/>
      <c r="S30" s="2" t="s">
        <v>8</v>
      </c>
      <c r="T30" s="2">
        <f>K42/1000</f>
        <v>0</v>
      </c>
      <c r="U30" s="42">
        <f>K43</f>
        <v>0</v>
      </c>
    </row>
    <row r="31" spans="1:21" ht="15.75" x14ac:dyDescent="0.25">
      <c r="A31" s="8" t="s">
        <v>33</v>
      </c>
      <c r="B31" s="39">
        <v>0</v>
      </c>
      <c r="C31" s="39">
        <v>26361</v>
      </c>
      <c r="D31" s="39">
        <v>0</v>
      </c>
      <c r="E31" s="39">
        <v>0</v>
      </c>
      <c r="F31" s="39">
        <v>2411</v>
      </c>
      <c r="G31" s="39">
        <v>0</v>
      </c>
      <c r="H31" s="39">
        <v>0</v>
      </c>
      <c r="I31" s="39"/>
      <c r="J31" s="39"/>
      <c r="K31" s="39"/>
      <c r="L31" s="39"/>
      <c r="M31" s="40"/>
      <c r="N31" s="39">
        <v>31044</v>
      </c>
      <c r="O31" s="39">
        <v>59815</v>
      </c>
      <c r="P31" s="17">
        <f>O31/O$39</f>
        <v>1.3437261031740826E-2</v>
      </c>
      <c r="Q31" s="18" t="s">
        <v>34</v>
      </c>
      <c r="R31" s="3"/>
      <c r="S31" s="3" t="s">
        <v>5</v>
      </c>
      <c r="T31" s="14">
        <f>I42/1000</f>
        <v>2302.5050000000001</v>
      </c>
      <c r="U31" s="15">
        <f>I43</f>
        <v>0.51928379235830979</v>
      </c>
    </row>
    <row r="32" spans="1:21" ht="16" x14ac:dyDescent="0.2">
      <c r="A32" s="8" t="s">
        <v>36</v>
      </c>
      <c r="B32" s="39">
        <v>10363</v>
      </c>
      <c r="C32" s="39">
        <v>32796</v>
      </c>
      <c r="D32" s="39">
        <v>0</v>
      </c>
      <c r="E32" s="50">
        <f>18800-1000</f>
        <v>17800</v>
      </c>
      <c r="F32" s="58">
        <v>1620</v>
      </c>
      <c r="G32" s="61">
        <v>326000</v>
      </c>
      <c r="H32" s="53">
        <v>1000</v>
      </c>
      <c r="I32" s="59">
        <v>2302505</v>
      </c>
      <c r="J32" s="39"/>
      <c r="K32" s="39"/>
      <c r="L32" s="59">
        <v>128548</v>
      </c>
      <c r="M32" s="59">
        <v>41168</v>
      </c>
      <c r="N32" s="65">
        <v>149000</v>
      </c>
      <c r="O32" s="54">
        <f>SUM(B32:N32)</f>
        <v>3010800</v>
      </c>
      <c r="P32" s="17">
        <f>O32/O$39</f>
        <v>0.67636722418064499</v>
      </c>
      <c r="Q32" s="18" t="s">
        <v>37</v>
      </c>
      <c r="R32" s="3"/>
      <c r="S32" s="3" t="s">
        <v>6</v>
      </c>
      <c r="T32" s="14">
        <f>H42/1000</f>
        <v>1.1000000000000001</v>
      </c>
      <c r="U32" s="15">
        <f>H43</f>
        <v>2.4808292342216014E-4</v>
      </c>
    </row>
    <row r="33" spans="1:48" ht="15.75" x14ac:dyDescent="0.25">
      <c r="A33" s="8" t="s">
        <v>38</v>
      </c>
      <c r="B33" s="39">
        <v>6571</v>
      </c>
      <c r="C33" s="39">
        <v>354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/>
      <c r="J33" s="39"/>
      <c r="K33" s="39"/>
      <c r="L33" s="39"/>
      <c r="M33" s="40"/>
      <c r="N33" s="39">
        <v>62826</v>
      </c>
      <c r="O33" s="39">
        <v>69751</v>
      </c>
      <c r="P33" s="17">
        <f>O33/O$39</f>
        <v>1.5669353744461326E-2</v>
      </c>
      <c r="Q33" s="18" t="s">
        <v>39</v>
      </c>
      <c r="R33" s="3"/>
      <c r="S33" s="3" t="s">
        <v>35</v>
      </c>
      <c r="T33" s="14">
        <f>C42/1000</f>
        <v>682.21100000000001</v>
      </c>
      <c r="U33" s="16">
        <f>C43</f>
        <v>0.15385899933705025</v>
      </c>
    </row>
    <row r="34" spans="1:48" ht="15.75" x14ac:dyDescent="0.25">
      <c r="A34" s="8" t="s">
        <v>40</v>
      </c>
      <c r="B34" s="39">
        <v>0</v>
      </c>
      <c r="C34" s="39">
        <v>607751</v>
      </c>
      <c r="D34" s="39">
        <v>0</v>
      </c>
      <c r="E34" s="39">
        <v>0</v>
      </c>
      <c r="F34" s="39">
        <v>50636</v>
      </c>
      <c r="G34" s="39">
        <v>0</v>
      </c>
      <c r="H34" s="39">
        <v>0</v>
      </c>
      <c r="I34" s="39"/>
      <c r="J34" s="39"/>
      <c r="K34" s="39"/>
      <c r="L34" s="39"/>
      <c r="M34" s="40"/>
      <c r="N34" s="39">
        <v>32878</v>
      </c>
      <c r="O34" s="39">
        <v>691265</v>
      </c>
      <c r="P34" s="17">
        <f>O34/O$39</f>
        <v>0.15529061685373771</v>
      </c>
      <c r="Q34" s="18" t="s">
        <v>41</v>
      </c>
      <c r="R34" s="3"/>
      <c r="S34" s="3"/>
      <c r="T34" s="14">
        <f>SUM(T24:T32)</f>
        <v>3582.0742800000003</v>
      </c>
      <c r="U34" s="15">
        <f>SUM(U24:U32)</f>
        <v>0.80786496299793575</v>
      </c>
    </row>
    <row r="35" spans="1:48" ht="16" x14ac:dyDescent="0.2">
      <c r="A35" s="8" t="s">
        <v>42</v>
      </c>
      <c r="B35" s="39">
        <v>30552</v>
      </c>
      <c r="C35" s="39">
        <v>7584</v>
      </c>
      <c r="D35" s="39">
        <v>0</v>
      </c>
      <c r="E35" s="53">
        <f>7340+1540</f>
        <v>8880</v>
      </c>
      <c r="F35" s="39">
        <v>0</v>
      </c>
      <c r="G35" s="39">
        <v>0</v>
      </c>
      <c r="H35" s="39">
        <v>0</v>
      </c>
      <c r="I35" s="39"/>
      <c r="J35" s="39"/>
      <c r="K35" s="39"/>
      <c r="L35" s="39"/>
      <c r="M35" s="40"/>
      <c r="N35" s="39">
        <v>157773</v>
      </c>
      <c r="O35" s="54">
        <f>SUM(B35:N35)</f>
        <v>204789</v>
      </c>
      <c r="P35" s="17">
        <f>O35/O$39</f>
        <v>4.6005236971147237E-2</v>
      </c>
      <c r="Q35" s="18" t="s">
        <v>43</v>
      </c>
      <c r="R35" s="18"/>
    </row>
    <row r="36" spans="1:48" ht="16" x14ac:dyDescent="0.2">
      <c r="A36" s="8" t="s">
        <v>44</v>
      </c>
      <c r="B36" s="39">
        <v>23842</v>
      </c>
      <c r="C36" s="39">
        <v>994</v>
      </c>
      <c r="D36" s="39">
        <v>0</v>
      </c>
      <c r="E36" s="53">
        <f>1270-100</f>
        <v>1170</v>
      </c>
      <c r="F36" s="39">
        <v>0</v>
      </c>
      <c r="G36" s="39">
        <v>64893</v>
      </c>
      <c r="H36" s="53">
        <v>100</v>
      </c>
      <c r="I36" s="39"/>
      <c r="J36" s="39"/>
      <c r="K36" s="39"/>
      <c r="L36" s="39"/>
      <c r="M36" s="40"/>
      <c r="N36" s="39">
        <v>171483</v>
      </c>
      <c r="O36" s="54">
        <f>SUM(B36:N36)</f>
        <v>262482</v>
      </c>
      <c r="P36" s="18"/>
      <c r="Q36" s="18"/>
      <c r="R36" s="3"/>
      <c r="S36" s="7"/>
      <c r="T36" s="7"/>
      <c r="U36" s="7"/>
    </row>
    <row r="37" spans="1:48" ht="15.75" x14ac:dyDescent="0.25">
      <c r="A37" s="8" t="s">
        <v>45</v>
      </c>
      <c r="B37" s="39">
        <v>79439</v>
      </c>
      <c r="C37" s="39">
        <v>0</v>
      </c>
      <c r="D37" s="39">
        <v>0</v>
      </c>
      <c r="E37" s="53">
        <v>1050</v>
      </c>
      <c r="F37" s="39">
        <v>0</v>
      </c>
      <c r="G37" s="39">
        <v>0</v>
      </c>
      <c r="H37" s="39">
        <v>0</v>
      </c>
      <c r="I37" s="39"/>
      <c r="J37" s="39"/>
      <c r="K37" s="39"/>
      <c r="L37" s="39"/>
      <c r="M37" s="40"/>
      <c r="N37" s="39">
        <v>42625</v>
      </c>
      <c r="O37" s="54">
        <f>SUM(B37:N37)</f>
        <v>123114</v>
      </c>
      <c r="P37" s="18"/>
      <c r="Q37" s="18"/>
      <c r="R37" s="3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39">
        <v>0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/>
      <c r="J38" s="39"/>
      <c r="K38" s="39"/>
      <c r="L38" s="39"/>
      <c r="M38" s="40"/>
      <c r="N38" s="39">
        <v>29412</v>
      </c>
      <c r="O38" s="39">
        <v>29412</v>
      </c>
      <c r="P38" s="18">
        <f>SUM(P31:P35)</f>
        <v>0.90676969278173203</v>
      </c>
      <c r="Q38" s="18"/>
      <c r="R38" s="3"/>
      <c r="S38" s="7" t="s">
        <v>47</v>
      </c>
      <c r="T38" s="19">
        <f>O45/1000</f>
        <v>87.15428</v>
      </c>
      <c r="U38" s="7"/>
    </row>
    <row r="39" spans="1:48" ht="16" x14ac:dyDescent="0.2">
      <c r="A39" s="8" t="s">
        <v>16</v>
      </c>
      <c r="B39" s="39">
        <v>150767</v>
      </c>
      <c r="C39" s="39">
        <v>675840</v>
      </c>
      <c r="D39" s="39">
        <v>0</v>
      </c>
      <c r="E39" s="50">
        <f>SUM(E31:E38)</f>
        <v>28900</v>
      </c>
      <c r="F39" s="48">
        <f>SUM(F31:F38)</f>
        <v>54667</v>
      </c>
      <c r="G39" s="48">
        <f>SUM(G31:G38)</f>
        <v>390893</v>
      </c>
      <c r="H39" s="53">
        <f>SUM(H31:H38)</f>
        <v>1100</v>
      </c>
      <c r="I39" s="59">
        <f>SUM(I32:I38)</f>
        <v>2302505</v>
      </c>
      <c r="J39" s="39"/>
      <c r="K39" s="39"/>
      <c r="L39" s="59">
        <f>SUM(L32:L38)</f>
        <v>128548</v>
      </c>
      <c r="M39" s="60">
        <v>41168</v>
      </c>
      <c r="N39" s="54">
        <f>SUM(N31:N38)</f>
        <v>677041</v>
      </c>
      <c r="O39" s="54">
        <f>SUM(O31:O38)</f>
        <v>4451428</v>
      </c>
      <c r="P39" s="3"/>
      <c r="Q39" s="3"/>
      <c r="R39" s="3"/>
      <c r="S39" s="7" t="s">
        <v>48</v>
      </c>
      <c r="T39" s="20">
        <f>O41/1000</f>
        <v>415.00799999999998</v>
      </c>
      <c r="U39" s="15">
        <f>P41</f>
        <v>9.323030721826793E-2</v>
      </c>
    </row>
    <row r="40" spans="1:48" x14ac:dyDescent="0.2">
      <c r="O40" s="11"/>
      <c r="S40" s="7" t="s">
        <v>49</v>
      </c>
      <c r="T40" s="20">
        <f>O35/1000</f>
        <v>204.78899999999999</v>
      </c>
      <c r="U40" s="16">
        <f>P35</f>
        <v>4.6005236971147237E-2</v>
      </c>
    </row>
    <row r="41" spans="1:48" ht="16" x14ac:dyDescent="0.2">
      <c r="A41" s="21" t="s">
        <v>50</v>
      </c>
      <c r="B41" s="22">
        <f>B38+B37+B36</f>
        <v>103281</v>
      </c>
      <c r="C41" s="22">
        <f t="shared" ref="C41:O41" si="0">C38+C37+C36</f>
        <v>994</v>
      </c>
      <c r="D41" s="22">
        <f t="shared" si="0"/>
        <v>0</v>
      </c>
      <c r="E41" s="22">
        <f t="shared" si="0"/>
        <v>2220</v>
      </c>
      <c r="F41" s="22">
        <f t="shared" si="0"/>
        <v>0</v>
      </c>
      <c r="G41" s="22">
        <f t="shared" si="0"/>
        <v>64893</v>
      </c>
      <c r="H41" s="22">
        <f t="shared" si="0"/>
        <v>100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243520</v>
      </c>
      <c r="O41" s="22">
        <f t="shared" si="0"/>
        <v>415008</v>
      </c>
      <c r="P41" s="17">
        <f>O41/O$39</f>
        <v>9.323030721826793E-2</v>
      </c>
      <c r="Q41" s="17" t="s">
        <v>51</v>
      </c>
      <c r="R41" s="7"/>
      <c r="S41" s="7" t="s">
        <v>52</v>
      </c>
      <c r="T41" s="20">
        <f>O33/1000</f>
        <v>69.751000000000005</v>
      </c>
      <c r="U41" s="15">
        <f>P33</f>
        <v>1.5669353744461326E-2</v>
      </c>
    </row>
    <row r="42" spans="1:48" ht="16" x14ac:dyDescent="0.2">
      <c r="A42" s="23" t="s">
        <v>53</v>
      </c>
      <c r="B42" s="22"/>
      <c r="C42" s="24">
        <f>C39+C23+C10</f>
        <v>682211</v>
      </c>
      <c r="D42" s="24">
        <f t="shared" ref="D42:M42" si="1">D39+D23+D10</f>
        <v>0</v>
      </c>
      <c r="E42" s="24">
        <f t="shared" si="1"/>
        <v>31977</v>
      </c>
      <c r="F42" s="24">
        <f t="shared" si="1"/>
        <v>57964</v>
      </c>
      <c r="G42" s="24">
        <f t="shared" si="1"/>
        <v>457324</v>
      </c>
      <c r="H42" s="24">
        <f t="shared" si="1"/>
        <v>1100</v>
      </c>
      <c r="I42" s="24">
        <f t="shared" si="1"/>
        <v>2302505</v>
      </c>
      <c r="J42" s="24">
        <f t="shared" si="1"/>
        <v>0</v>
      </c>
      <c r="K42" s="24">
        <f t="shared" si="1"/>
        <v>0</v>
      </c>
      <c r="L42" s="24">
        <f>L39</f>
        <v>128548</v>
      </c>
      <c r="M42" s="24">
        <f t="shared" si="1"/>
        <v>41168</v>
      </c>
      <c r="N42" s="24">
        <f>N39+N23-B6+N45</f>
        <v>731204.28</v>
      </c>
      <c r="O42" s="25">
        <f>SUM(C42:N42)</f>
        <v>4434001.28</v>
      </c>
      <c r="P42" s="7"/>
      <c r="Q42" s="7"/>
      <c r="R42" s="7"/>
      <c r="S42" s="7" t="s">
        <v>34</v>
      </c>
      <c r="T42" s="20">
        <f>O31/1000</f>
        <v>59.814999999999998</v>
      </c>
      <c r="U42" s="15">
        <f>P31</f>
        <v>1.3437261031740826E-2</v>
      </c>
    </row>
    <row r="43" spans="1:48" ht="16" x14ac:dyDescent="0.2">
      <c r="A43" s="23" t="s">
        <v>54</v>
      </c>
      <c r="B43" s="22"/>
      <c r="C43" s="17">
        <f t="shared" ref="C43:N43" si="2">C42/$O42</f>
        <v>0.15385899933705025</v>
      </c>
      <c r="D43" s="17">
        <f t="shared" si="2"/>
        <v>0</v>
      </c>
      <c r="E43" s="17">
        <f t="shared" si="2"/>
        <v>7.2117705838821945E-3</v>
      </c>
      <c r="F43" s="17">
        <f t="shared" si="2"/>
        <v>1.3072616884765536E-2</v>
      </c>
      <c r="G43" s="17">
        <f t="shared" si="2"/>
        <v>0.10314024988283269</v>
      </c>
      <c r="H43" s="17">
        <f t="shared" si="2"/>
        <v>2.4808292342216014E-4</v>
      </c>
      <c r="I43" s="17">
        <f t="shared" si="2"/>
        <v>0.51928379235830979</v>
      </c>
      <c r="J43" s="17">
        <f t="shared" si="2"/>
        <v>0</v>
      </c>
      <c r="K43" s="17">
        <f t="shared" si="2"/>
        <v>0</v>
      </c>
      <c r="L43" s="17">
        <f t="shared" si="2"/>
        <v>2.89914214909744E-2</v>
      </c>
      <c r="M43" s="17">
        <f t="shared" si="2"/>
        <v>9.2846161740395335E-3</v>
      </c>
      <c r="N43" s="17">
        <f t="shared" si="2"/>
        <v>0.1649084503647234</v>
      </c>
      <c r="O43" s="17">
        <f>SUM(C43:N43)</f>
        <v>1</v>
      </c>
      <c r="P43" s="7"/>
      <c r="Q43" s="7"/>
      <c r="R43" s="7"/>
      <c r="S43" s="7" t="s">
        <v>55</v>
      </c>
      <c r="T43" s="20">
        <f>O32/1000</f>
        <v>3010.8</v>
      </c>
      <c r="U43" s="16">
        <f>P32</f>
        <v>0.67636722418064499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691.26499999999999</v>
      </c>
      <c r="U44" s="16">
        <f>P34</f>
        <v>0.15529061685373771</v>
      </c>
    </row>
    <row r="45" spans="1:48" ht="16" x14ac:dyDescent="0.2">
      <c r="A45" s="6" t="s">
        <v>57</v>
      </c>
      <c r="B45" s="6">
        <f>B23-B39</f>
        <v>32991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54163.28</v>
      </c>
      <c r="O45" s="25">
        <f>B45+N45</f>
        <v>87154.28</v>
      </c>
      <c r="P45" s="7"/>
      <c r="Q45" s="7"/>
      <c r="R45" s="7"/>
      <c r="S45" s="7" t="s">
        <v>58</v>
      </c>
      <c r="T45" s="20">
        <f>SUM(T39:T44)</f>
        <v>4451.4280000000008</v>
      </c>
      <c r="U45" s="15">
        <f>SUM(U39:U44)</f>
        <v>1</v>
      </c>
    </row>
    <row r="46" spans="1:48" ht="16" x14ac:dyDescent="0.2">
      <c r="A46" s="6"/>
      <c r="B46" s="38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ht="16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/>
      <c r="O47" s="6"/>
      <c r="P47" s="7"/>
      <c r="Q47" s="7"/>
      <c r="R47" s="7"/>
    </row>
    <row r="48" spans="1:48" x14ac:dyDescent="0.2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27"/>
      <c r="Q48" s="27"/>
      <c r="R48" s="4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ht="16" x14ac:dyDescent="0.2">
      <c r="A50" s="4"/>
      <c r="B50" s="39"/>
      <c r="C50" s="39"/>
      <c r="D50" s="39"/>
      <c r="E50" s="49"/>
      <c r="F50" s="39"/>
      <c r="G50" s="39"/>
      <c r="I50" s="39"/>
      <c r="J50" s="39"/>
      <c r="K50" s="39"/>
      <c r="L50" s="56"/>
      <c r="M50" s="39"/>
      <c r="N50" s="39"/>
      <c r="O50" s="39"/>
      <c r="P50" s="39"/>
      <c r="Q50" s="39"/>
      <c r="R50" s="39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9"/>
      <c r="D51" s="9"/>
      <c r="E51" s="9"/>
      <c r="F51" s="9"/>
      <c r="G51" s="9"/>
      <c r="H51" s="9"/>
      <c r="I51" s="9"/>
      <c r="J51" s="9"/>
      <c r="K51" s="9"/>
      <c r="L51" s="9"/>
      <c r="M51" s="27"/>
      <c r="N51" s="9"/>
      <c r="O51" s="9"/>
      <c r="P51" s="27"/>
      <c r="Q51" s="27"/>
      <c r="R51" s="4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9"/>
      <c r="D52" s="9"/>
      <c r="E52" s="9"/>
      <c r="F52" s="9"/>
      <c r="G52" s="9"/>
      <c r="H52" s="9"/>
      <c r="I52" s="9"/>
      <c r="J52" s="9"/>
      <c r="K52" s="9"/>
      <c r="L52" s="9"/>
      <c r="M52" s="27"/>
      <c r="N52" s="9"/>
      <c r="O52" s="9"/>
      <c r="P52" s="27"/>
      <c r="Q52" s="27"/>
      <c r="R52" s="4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8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9"/>
      <c r="D53" s="9"/>
      <c r="E53" s="9"/>
      <c r="F53" s="9"/>
      <c r="G53" s="9"/>
      <c r="H53" s="9"/>
      <c r="I53" s="9"/>
      <c r="J53" s="9"/>
      <c r="K53" s="9"/>
      <c r="L53" s="9"/>
      <c r="M53" s="27"/>
      <c r="N53" s="9"/>
      <c r="O53" s="9"/>
      <c r="P53" s="27"/>
      <c r="Q53" s="27"/>
      <c r="R53" s="4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8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5"/>
      <c r="B54" s="7"/>
      <c r="C54" s="29"/>
      <c r="D54" s="29"/>
      <c r="E54" s="9"/>
      <c r="F54" s="9"/>
      <c r="G54" s="9"/>
      <c r="H54" s="9"/>
      <c r="I54" s="9"/>
      <c r="J54" s="9"/>
      <c r="K54" s="9"/>
      <c r="L54" s="9"/>
      <c r="M54" s="27"/>
      <c r="N54" s="9"/>
      <c r="O54" s="9"/>
      <c r="P54" s="27"/>
      <c r="Q54" s="27"/>
      <c r="R54" s="4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5"/>
      <c r="C55" s="6"/>
      <c r="D55" s="6"/>
      <c r="E55" s="9"/>
      <c r="F55" s="9"/>
      <c r="G55" s="9"/>
      <c r="H55" s="9"/>
      <c r="I55" s="9"/>
      <c r="J55" s="9"/>
      <c r="K55" s="9"/>
      <c r="L55" s="9"/>
      <c r="M55" s="27"/>
      <c r="N55" s="9"/>
      <c r="O55" s="9"/>
      <c r="P55" s="27"/>
      <c r="Q55" s="27"/>
      <c r="R55" s="4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5"/>
      <c r="B56" s="57"/>
      <c r="C56" s="6"/>
      <c r="D56" s="6"/>
      <c r="E56" s="9"/>
      <c r="F56" s="10"/>
      <c r="G56" s="9"/>
      <c r="H56" s="9"/>
      <c r="I56" s="9"/>
      <c r="J56" s="9"/>
      <c r="K56" s="9"/>
      <c r="L56" s="9"/>
      <c r="M56" s="27"/>
      <c r="N56" s="9"/>
      <c r="O56" s="9"/>
      <c r="P56" s="27"/>
      <c r="Q56" s="27"/>
      <c r="R56" s="4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5"/>
      <c r="B57" s="57"/>
      <c r="C57" s="6"/>
      <c r="D57" s="32"/>
      <c r="E57" s="9"/>
      <c r="F57" s="10"/>
      <c r="G57" s="9"/>
      <c r="H57" s="9"/>
      <c r="I57" s="9"/>
      <c r="J57" s="9"/>
      <c r="K57" s="9"/>
      <c r="L57" s="9"/>
      <c r="M57" s="27"/>
      <c r="N57" s="9"/>
      <c r="O57" s="9"/>
      <c r="P57" s="27"/>
      <c r="Q57" s="27"/>
      <c r="R57" s="4"/>
      <c r="S57" s="4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4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</row>
    <row r="58" spans="1:48" ht="16" x14ac:dyDescent="0.2">
      <c r="A58" s="5"/>
      <c r="B58" s="57"/>
      <c r="C58" s="6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5"/>
      <c r="Q58" s="7"/>
      <c r="R58" s="7"/>
      <c r="S58" s="4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4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</row>
    <row r="59" spans="1:48" ht="16" x14ac:dyDescent="0.2">
      <c r="A59" s="5"/>
      <c r="B59" s="57"/>
      <c r="C59" s="6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5"/>
      <c r="Q59" s="7"/>
      <c r="R59" s="7"/>
      <c r="S59" s="4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4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</row>
    <row r="60" spans="1:48" ht="16" x14ac:dyDescent="0.2">
      <c r="A60" s="5"/>
      <c r="B60" s="57"/>
      <c r="C60" s="6"/>
      <c r="D60" s="11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5"/>
      <c r="Q60" s="7"/>
      <c r="R60" s="7"/>
      <c r="S60" s="7"/>
      <c r="T60" s="6"/>
      <c r="U60" s="31"/>
    </row>
    <row r="61" spans="1:48" ht="16" x14ac:dyDescent="0.2">
      <c r="A61" s="5"/>
      <c r="B61" s="57"/>
      <c r="C61" s="6"/>
      <c r="E61" s="29"/>
      <c r="F61" s="29"/>
      <c r="G61" s="29"/>
      <c r="H61" s="29"/>
      <c r="I61" s="29"/>
      <c r="J61" s="29"/>
      <c r="K61" s="29"/>
      <c r="L61" s="6"/>
      <c r="M61" s="30"/>
      <c r="N61" s="7"/>
      <c r="O61" s="6"/>
      <c r="P61" s="15"/>
      <c r="Q61" s="7"/>
      <c r="R61" s="7"/>
      <c r="S61" s="7"/>
      <c r="T61" s="6"/>
      <c r="U61" s="31"/>
    </row>
    <row r="62" spans="1:48" ht="16" x14ac:dyDescent="0.2">
      <c r="C62" s="11"/>
      <c r="E62" s="7"/>
      <c r="F62" s="7"/>
      <c r="G62" s="7"/>
      <c r="H62" s="7"/>
      <c r="I62" s="7"/>
      <c r="J62" s="7"/>
      <c r="K62" s="7"/>
      <c r="L62" s="6"/>
      <c r="M62" s="30"/>
      <c r="N62" s="7"/>
      <c r="O62" s="6"/>
      <c r="P62" s="15"/>
      <c r="Q62" s="7"/>
      <c r="R62" s="7"/>
      <c r="S62" s="7"/>
      <c r="T62" s="6"/>
      <c r="U62" s="31"/>
    </row>
    <row r="63" spans="1:48" ht="16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6"/>
      <c r="U63" s="31"/>
    </row>
    <row r="64" spans="1:48" ht="16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6"/>
      <c r="M64" s="6"/>
      <c r="N64" s="30"/>
      <c r="O64" s="7"/>
      <c r="P64" s="6"/>
      <c r="Q64" s="15"/>
      <c r="R64" s="7"/>
      <c r="S64" s="7"/>
      <c r="T64" s="32"/>
      <c r="U64" s="33"/>
    </row>
    <row r="65" spans="1:21" x14ac:dyDescent="0.2">
      <c r="A65" s="9"/>
      <c r="B65" s="9"/>
      <c r="C65" s="9"/>
      <c r="D65" s="9"/>
      <c r="E65" s="9"/>
      <c r="F65" s="9"/>
      <c r="G65" s="9"/>
      <c r="H65" s="9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6"/>
    </row>
    <row r="66" spans="1:21" x14ac:dyDescent="0.2">
      <c r="A66" s="9"/>
      <c r="B66" s="9"/>
      <c r="C66" s="9"/>
      <c r="D66" s="9"/>
      <c r="E66" s="9"/>
      <c r="F66" s="9"/>
      <c r="G66" s="9"/>
      <c r="H66" s="9"/>
      <c r="I66" s="34"/>
      <c r="J66" s="7"/>
      <c r="K66" s="7"/>
      <c r="L66" s="7"/>
      <c r="M66" s="7"/>
      <c r="N66" s="7"/>
      <c r="O66" s="7"/>
      <c r="P66" s="7"/>
      <c r="Q66" s="7"/>
      <c r="R66" s="7"/>
      <c r="S66" s="7"/>
      <c r="T66" s="34"/>
      <c r="U66" s="35"/>
    </row>
    <row r="67" spans="1:21" ht="16" x14ac:dyDescent="0.2">
      <c r="A67" s="9"/>
      <c r="B67" s="9"/>
      <c r="C67" s="9"/>
      <c r="D67" s="9"/>
      <c r="E67" s="9"/>
      <c r="F67" s="9"/>
      <c r="G67" s="9"/>
      <c r="H67" s="9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1"/>
    </row>
    <row r="68" spans="1:21" ht="16" x14ac:dyDescent="0.2">
      <c r="A68" s="9"/>
      <c r="B68" s="9"/>
      <c r="C68" s="9"/>
      <c r="D68" s="9"/>
      <c r="E68" s="9"/>
      <c r="F68" s="9"/>
      <c r="G68" s="9"/>
      <c r="H68" s="9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1"/>
    </row>
    <row r="69" spans="1:21" ht="16" x14ac:dyDescent="0.2">
      <c r="A69" s="9"/>
      <c r="B69" s="9"/>
      <c r="C69" s="9"/>
      <c r="D69" s="9"/>
      <c r="E69" s="9"/>
      <c r="F69" s="9"/>
      <c r="G69" s="9"/>
      <c r="H69" s="9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1"/>
    </row>
    <row r="70" spans="1:21" ht="16" x14ac:dyDescent="0.2">
      <c r="A70" s="9"/>
      <c r="B70" s="9"/>
      <c r="C70" s="9"/>
      <c r="D70" s="9"/>
      <c r="E70" s="9"/>
      <c r="F70" s="9"/>
      <c r="G70" s="9"/>
      <c r="H70" s="9"/>
      <c r="I70" s="6"/>
      <c r="J70" s="7"/>
      <c r="K70" s="7"/>
      <c r="L70" s="7"/>
      <c r="M70" s="7"/>
      <c r="N70" s="7"/>
      <c r="O70" s="7"/>
      <c r="P70" s="6"/>
      <c r="Q70" s="30"/>
      <c r="R70" s="7"/>
      <c r="S70" s="7"/>
      <c r="T70" s="6"/>
      <c r="U70" s="31"/>
    </row>
    <row r="71" spans="1:21" ht="16" x14ac:dyDescent="0.2">
      <c r="A71" s="9"/>
      <c r="B71" s="9"/>
      <c r="C71" s="9"/>
      <c r="D71" s="9"/>
      <c r="E71" s="9"/>
      <c r="F71" s="9"/>
      <c r="G71" s="9"/>
      <c r="H71" s="9"/>
      <c r="I71" s="6"/>
      <c r="J71" s="7"/>
      <c r="K71" s="7"/>
      <c r="L71" s="7"/>
      <c r="M71" s="7"/>
      <c r="N71" s="7"/>
      <c r="O71" s="7"/>
      <c r="P71" s="6"/>
      <c r="Q71" s="30"/>
      <c r="R71" s="7"/>
      <c r="S71" s="7"/>
      <c r="T71" s="6"/>
      <c r="U71" s="31"/>
    </row>
    <row r="72" spans="1:21" ht="16" x14ac:dyDescent="0.2">
      <c r="A72" s="9"/>
      <c r="B72" s="9"/>
      <c r="C72" s="9"/>
      <c r="D72" s="9"/>
      <c r="E72" s="9"/>
      <c r="F72" s="9"/>
      <c r="G72" s="9"/>
      <c r="H72" s="9"/>
      <c r="I72" s="6"/>
      <c r="J72" s="7"/>
      <c r="K72" s="7"/>
      <c r="L72" s="7"/>
      <c r="M72" s="7"/>
      <c r="N72" s="7"/>
      <c r="O72" s="7"/>
      <c r="P72" s="6"/>
      <c r="Q72" s="30"/>
      <c r="R72" s="7"/>
      <c r="S72" s="7"/>
      <c r="T72" s="6"/>
      <c r="U72" s="31"/>
    </row>
    <row r="73" spans="1:21" ht="16" x14ac:dyDescent="0.2">
      <c r="A73" s="9"/>
      <c r="B73" s="9"/>
      <c r="C73" s="9"/>
      <c r="D73" s="9"/>
      <c r="E73" s="9"/>
      <c r="F73" s="9"/>
      <c r="G73" s="9"/>
      <c r="H73" s="9"/>
      <c r="I73" s="32"/>
      <c r="J73" s="7"/>
      <c r="K73" s="7"/>
      <c r="L73" s="7"/>
      <c r="M73" s="7"/>
      <c r="N73" s="7"/>
      <c r="O73" s="7"/>
      <c r="P73" s="32"/>
      <c r="Q73" s="36"/>
      <c r="R73" s="7"/>
      <c r="S73" s="37"/>
      <c r="T73" s="32"/>
      <c r="U73" s="36"/>
    </row>
    <row r="74" spans="1:21" x14ac:dyDescent="0.2">
      <c r="A74" s="9"/>
      <c r="B74" s="9"/>
      <c r="C74" s="9"/>
      <c r="D74" s="9"/>
      <c r="E74" s="9"/>
      <c r="F74" s="9"/>
      <c r="G74" s="9"/>
      <c r="H74" s="9"/>
    </row>
  </sheetData>
  <pageMargins left="0.75" right="0.75" top="0.75" bottom="0.5" header="0.5" footer="0.75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 enableFormatConditionsCalculation="0"/>
  <dimension ref="A1:AV70"/>
  <sheetViews>
    <sheetView workbookViewId="0"/>
  </sheetViews>
  <sheetFormatPr baseColWidth="10" defaultColWidth="8.6640625" defaultRowHeight="15" x14ac:dyDescent="0.2"/>
  <cols>
    <col min="1" max="1" width="23" style="2" customWidth="1"/>
    <col min="2" max="21" width="10" style="2" customWidth="1"/>
    <col min="22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8" t="s">
        <v>63</v>
      </c>
      <c r="Q2" s="40"/>
      <c r="R2" s="8"/>
      <c r="AH2" s="40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65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40"/>
      <c r="R3" s="40"/>
      <c r="AH3" s="40"/>
      <c r="AI3" s="40"/>
    </row>
    <row r="4" spans="1:35" ht="15.75" x14ac:dyDescent="0.25">
      <c r="A4" s="8" t="s">
        <v>70</v>
      </c>
      <c r="B4" s="62">
        <f>0.95*3168</f>
        <v>3009.6</v>
      </c>
      <c r="Q4" s="40"/>
      <c r="R4" s="40"/>
      <c r="AH4" s="40"/>
      <c r="AI4" s="40"/>
    </row>
    <row r="5" spans="1:35" ht="15.75" x14ac:dyDescent="0.25">
      <c r="A5" s="40"/>
      <c r="Q5" s="40"/>
      <c r="R5" s="40"/>
      <c r="AH5" s="40"/>
      <c r="AI5" s="40"/>
    </row>
    <row r="6" spans="1:35" ht="16" x14ac:dyDescent="0.2">
      <c r="A6" s="8" t="s">
        <v>12</v>
      </c>
      <c r="B6" s="39">
        <v>0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/>
      <c r="J6" s="39"/>
      <c r="K6" s="39"/>
      <c r="L6" s="39"/>
      <c r="M6" s="39"/>
      <c r="N6" s="39"/>
      <c r="O6" s="39">
        <v>0</v>
      </c>
      <c r="Q6" s="40"/>
      <c r="R6" s="40"/>
      <c r="AH6" s="40"/>
      <c r="AI6" s="40"/>
    </row>
    <row r="7" spans="1:35" ht="16" x14ac:dyDescent="0.2">
      <c r="A7" s="8" t="s">
        <v>13</v>
      </c>
      <c r="B7" s="39">
        <v>0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/>
      <c r="J7" s="39"/>
      <c r="K7" s="39"/>
      <c r="L7" s="39"/>
      <c r="M7" s="39"/>
      <c r="N7" s="39"/>
      <c r="O7" s="39">
        <v>0</v>
      </c>
      <c r="P7" s="39"/>
      <c r="Q7" s="40"/>
      <c r="R7" s="40"/>
      <c r="AH7" s="40"/>
      <c r="AI7" s="40"/>
    </row>
    <row r="8" spans="1:35" ht="15.75" x14ac:dyDescent="0.25">
      <c r="A8" s="8" t="s">
        <v>14</v>
      </c>
      <c r="B8" s="48">
        <v>2364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/>
      <c r="J8" s="39"/>
      <c r="K8" s="39"/>
      <c r="L8" s="39"/>
      <c r="M8" s="39"/>
      <c r="N8" s="39"/>
      <c r="O8" s="39">
        <v>0</v>
      </c>
      <c r="P8" s="39"/>
      <c r="Q8" s="40"/>
      <c r="R8" s="40"/>
      <c r="AH8" s="40"/>
      <c r="AI8" s="40"/>
    </row>
    <row r="9" spans="1:35" ht="15.75" x14ac:dyDescent="0.25">
      <c r="A9" s="8" t="s">
        <v>15</v>
      </c>
      <c r="B9" s="52">
        <v>30681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/>
      <c r="J9" s="39"/>
      <c r="K9" s="39"/>
      <c r="L9" s="39"/>
      <c r="M9" s="39"/>
      <c r="N9" s="39"/>
      <c r="O9" s="39">
        <v>0</v>
      </c>
      <c r="P9" s="39"/>
      <c r="Q9" s="40"/>
      <c r="R9" s="40"/>
      <c r="S9" s="8"/>
      <c r="T9" s="41"/>
      <c r="U9" s="39"/>
      <c r="V9" s="39"/>
      <c r="W9" s="39"/>
      <c r="X9" s="41"/>
      <c r="Y9" s="41"/>
      <c r="Z9" s="39"/>
      <c r="AA9" s="39"/>
      <c r="AB9" s="39"/>
      <c r="AC9" s="39"/>
      <c r="AD9" s="39"/>
      <c r="AE9" s="39"/>
      <c r="AF9" s="39"/>
      <c r="AG9" s="41"/>
      <c r="AH9" s="40"/>
      <c r="AI9" s="40"/>
    </row>
    <row r="10" spans="1:35" ht="16" x14ac:dyDescent="0.2">
      <c r="A10" s="8" t="s">
        <v>16</v>
      </c>
      <c r="B10" s="48">
        <f>SUM(B4:B9)</f>
        <v>36054.6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/>
      <c r="J10" s="39"/>
      <c r="K10" s="39"/>
      <c r="L10" s="39"/>
      <c r="M10" s="39"/>
      <c r="N10" s="39"/>
      <c r="O10" s="39">
        <v>0</v>
      </c>
      <c r="P10" s="39"/>
      <c r="Q10" s="40"/>
      <c r="R10" s="40"/>
      <c r="S10" s="8"/>
      <c r="T10" s="41"/>
      <c r="U10" s="39"/>
      <c r="V10" s="39"/>
      <c r="W10" s="39"/>
      <c r="X10" s="41"/>
      <c r="Y10" s="41"/>
      <c r="Z10" s="39"/>
      <c r="AA10" s="39"/>
      <c r="AB10" s="39"/>
      <c r="AC10" s="39"/>
      <c r="AD10" s="39"/>
      <c r="AE10" s="39"/>
      <c r="AF10" s="39"/>
      <c r="AG10" s="41"/>
      <c r="AH10" s="40"/>
      <c r="AI10" s="40"/>
    </row>
    <row r="11" spans="1:35" ht="15.75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3"/>
      <c r="Q11" s="3"/>
      <c r="R11" s="3"/>
      <c r="S11" s="3"/>
      <c r="T11" s="3"/>
      <c r="U11" s="3"/>
    </row>
    <row r="12" spans="1:35" ht="15.75" x14ac:dyDescent="0.2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2"/>
      <c r="P13" s="3"/>
      <c r="Q13" s="3"/>
      <c r="R13" s="3"/>
      <c r="S13" s="3"/>
      <c r="T13" s="3"/>
      <c r="U13" s="3"/>
    </row>
    <row r="14" spans="1:35" ht="15.75" x14ac:dyDescent="0.25">
      <c r="A14" s="4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65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/>
      <c r="N15" s="6" t="s">
        <v>10</v>
      </c>
      <c r="O15" s="11" t="s">
        <v>11</v>
      </c>
      <c r="P15" s="3"/>
      <c r="Q15" s="3"/>
      <c r="R15" s="3"/>
      <c r="S15" s="3"/>
      <c r="T15" s="3"/>
      <c r="U15" s="3"/>
    </row>
    <row r="16" spans="1:35" ht="15.75" x14ac:dyDescent="0.2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50">
        <v>1900</v>
      </c>
      <c r="C17" s="39">
        <v>0</v>
      </c>
      <c r="D17" s="39">
        <v>0</v>
      </c>
      <c r="E17" s="39">
        <v>0</v>
      </c>
      <c r="F17" s="50">
        <v>0</v>
      </c>
      <c r="G17" s="50">
        <v>2000</v>
      </c>
      <c r="H17" s="39">
        <v>0</v>
      </c>
      <c r="I17" s="39"/>
      <c r="J17" s="39"/>
      <c r="K17" s="39"/>
      <c r="L17" s="39"/>
      <c r="M17" s="39"/>
      <c r="N17" s="39"/>
      <c r="O17" s="50">
        <f>SUM(C17:N17)</f>
        <v>2000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53">
        <f>165300</f>
        <v>165300</v>
      </c>
      <c r="C18" s="39">
        <v>2010</v>
      </c>
      <c r="D18" s="39">
        <v>0</v>
      </c>
      <c r="E18" s="39">
        <v>0</v>
      </c>
      <c r="F18" s="53">
        <v>300</v>
      </c>
      <c r="G18" s="53">
        <v>169720</v>
      </c>
      <c r="H18" s="39">
        <v>0</v>
      </c>
      <c r="I18" s="39"/>
      <c r="J18" s="39"/>
      <c r="K18" s="39"/>
      <c r="L18" s="39"/>
      <c r="M18" s="39"/>
      <c r="N18" s="39"/>
      <c r="O18" s="53">
        <f>SUM(C18:N18)</f>
        <v>172030</v>
      </c>
      <c r="P18" s="3"/>
      <c r="Q18" s="3"/>
      <c r="R18" s="3"/>
      <c r="S18" s="3"/>
      <c r="T18" s="3"/>
      <c r="U18" s="3"/>
    </row>
    <row r="19" spans="1:21" ht="15.75" x14ac:dyDescent="0.25">
      <c r="A19" s="8" t="s">
        <v>22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/>
      <c r="J19" s="39"/>
      <c r="K19" s="39"/>
      <c r="L19" s="39"/>
      <c r="M19" s="39"/>
      <c r="N19" s="39"/>
      <c r="O19" s="39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/>
      <c r="J20" s="39"/>
      <c r="K20" s="39"/>
      <c r="L20" s="39"/>
      <c r="M20" s="39"/>
      <c r="N20" s="39"/>
      <c r="O20" s="39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/>
      <c r="J21" s="39"/>
      <c r="K21" s="39"/>
      <c r="L21" s="39"/>
      <c r="M21" s="39"/>
      <c r="N21" s="39"/>
      <c r="O21" s="39">
        <v>0</v>
      </c>
      <c r="P21" s="3"/>
      <c r="Q21" s="3"/>
      <c r="R21" s="3"/>
      <c r="S21" s="3" t="s">
        <v>26</v>
      </c>
      <c r="T21" s="13">
        <f>O42/1000</f>
        <v>1475.2560000000001</v>
      </c>
      <c r="U21" s="3"/>
    </row>
    <row r="22" spans="1:21" ht="16" x14ac:dyDescent="0.2">
      <c r="A22" s="8" t="s">
        <v>25</v>
      </c>
      <c r="B22" s="48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/>
      <c r="J22" s="39"/>
      <c r="K22" s="39"/>
      <c r="L22" s="39"/>
      <c r="M22" s="39"/>
      <c r="N22" s="39"/>
      <c r="O22" s="39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50">
        <f>SUM(B17:B22)</f>
        <v>167200</v>
      </c>
      <c r="C23" s="39">
        <v>2010</v>
      </c>
      <c r="D23" s="39">
        <v>0</v>
      </c>
      <c r="E23" s="39">
        <v>0</v>
      </c>
      <c r="F23" s="50">
        <f>SUM(F17:F22)</f>
        <v>300</v>
      </c>
      <c r="G23" s="50">
        <f>SUM(G17:G22)</f>
        <v>171720</v>
      </c>
      <c r="H23" s="39">
        <v>0</v>
      </c>
      <c r="I23" s="39"/>
      <c r="J23" s="39"/>
      <c r="K23" s="39"/>
      <c r="L23" s="39"/>
      <c r="M23" s="39"/>
      <c r="N23" s="39"/>
      <c r="O23" s="50">
        <f>SUM(O17:O22)</f>
        <v>174030</v>
      </c>
      <c r="P23" s="3"/>
      <c r="Q23" s="3"/>
      <c r="R23" s="3"/>
      <c r="S23" s="3"/>
      <c r="T23" s="3" t="s">
        <v>27</v>
      </c>
      <c r="U23" s="3" t="s">
        <v>28</v>
      </c>
    </row>
    <row r="24" spans="1:21" ht="15.75" x14ac:dyDescent="0.2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3"/>
      <c r="Q24" s="3"/>
      <c r="R24" s="3"/>
      <c r="S24" s="3" t="s">
        <v>10</v>
      </c>
      <c r="T24" s="14">
        <f>N42/1000</f>
        <v>654.07500000000005</v>
      </c>
      <c r="U24" s="15">
        <f>N43</f>
        <v>0.44336372805804553</v>
      </c>
    </row>
    <row r="25" spans="1:21" ht="16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3"/>
      <c r="Q25" s="3"/>
      <c r="R25" s="3"/>
      <c r="S25" s="3" t="s">
        <v>65</v>
      </c>
      <c r="T25" s="14">
        <f>G42/1000</f>
        <v>293.03800000000001</v>
      </c>
      <c r="U25" s="16">
        <f>G43</f>
        <v>0.19863535549084363</v>
      </c>
    </row>
    <row r="26" spans="1:21" ht="15.75" x14ac:dyDescent="0.2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"/>
      <c r="Q26" s="3"/>
      <c r="R26" s="3"/>
      <c r="S26" s="3" t="s">
        <v>7</v>
      </c>
      <c r="T26" s="14">
        <f>J42/1000</f>
        <v>0</v>
      </c>
      <c r="U26" s="15">
        <f>J43</f>
        <v>0</v>
      </c>
    </row>
    <row r="27" spans="1:21" ht="19" x14ac:dyDescent="0.25">
      <c r="A27" s="1" t="s">
        <v>29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11"/>
      <c r="P27" s="3"/>
      <c r="Q27" s="3"/>
      <c r="R27" s="3"/>
      <c r="S27" s="3" t="s">
        <v>31</v>
      </c>
      <c r="T27" s="14">
        <f>F42/1000</f>
        <v>37.067999999999998</v>
      </c>
      <c r="U27" s="15">
        <f>F43</f>
        <v>2.5126486521661325E-2</v>
      </c>
    </row>
    <row r="28" spans="1:21" ht="15.75" x14ac:dyDescent="0.25">
      <c r="A28" s="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3"/>
      <c r="Q28" s="3"/>
      <c r="R28" s="3"/>
      <c r="S28" s="3" t="s">
        <v>4</v>
      </c>
      <c r="T28" s="13">
        <f>E42/1000</f>
        <v>0</v>
      </c>
      <c r="U28" s="15">
        <f>E43</f>
        <v>0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65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3</v>
      </c>
      <c r="T29" s="2">
        <f>D42/1000</f>
        <v>0</v>
      </c>
      <c r="U29" s="42">
        <f>D43</f>
        <v>0</v>
      </c>
    </row>
    <row r="30" spans="1:21" ht="15.75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3"/>
      <c r="Q30" s="3"/>
      <c r="R30" s="3"/>
      <c r="S30" s="2" t="s">
        <v>8</v>
      </c>
      <c r="T30" s="2">
        <f>K42/1000</f>
        <v>0</v>
      </c>
      <c r="U30" s="42">
        <f>K43</f>
        <v>0</v>
      </c>
    </row>
    <row r="31" spans="1:21" ht="15.75" x14ac:dyDescent="0.25">
      <c r="A31" s="8" t="s">
        <v>33</v>
      </c>
      <c r="B31" s="2">
        <v>0</v>
      </c>
      <c r="C31" s="39">
        <v>7951</v>
      </c>
      <c r="D31" s="39">
        <v>0</v>
      </c>
      <c r="E31" s="39">
        <v>0</v>
      </c>
      <c r="F31" s="39">
        <v>810</v>
      </c>
      <c r="G31" s="39">
        <v>0</v>
      </c>
      <c r="H31" s="39">
        <v>0</v>
      </c>
      <c r="I31" s="39"/>
      <c r="J31" s="39"/>
      <c r="K31" s="39"/>
      <c r="L31" s="39"/>
      <c r="M31" s="40"/>
      <c r="N31" s="39">
        <v>28822</v>
      </c>
      <c r="O31" s="39">
        <v>37583</v>
      </c>
      <c r="P31" s="17">
        <f>O31/O$39</f>
        <v>2.6943729523181373E-2</v>
      </c>
      <c r="Q31" s="18" t="s">
        <v>34</v>
      </c>
      <c r="R31" s="3"/>
      <c r="S31" s="3" t="s">
        <v>5</v>
      </c>
      <c r="T31" s="14">
        <f>I42/1000</f>
        <v>0</v>
      </c>
      <c r="U31" s="15">
        <f>I43</f>
        <v>0</v>
      </c>
    </row>
    <row r="32" spans="1:21" ht="15.75" x14ac:dyDescent="0.25">
      <c r="A32" s="8" t="s">
        <v>36</v>
      </c>
      <c r="B32" s="54">
        <f>(B39-B37-B36)*2596/(39900+22984+2596)</f>
        <v>2477.6179596823458</v>
      </c>
      <c r="C32" s="54">
        <f>C39-C36-C35-C34-C31</f>
        <v>1862.382040317636</v>
      </c>
      <c r="D32" s="39">
        <v>0</v>
      </c>
      <c r="E32" s="39">
        <v>0</v>
      </c>
      <c r="F32" s="39">
        <v>0</v>
      </c>
      <c r="G32" s="48">
        <f>G39-G36</f>
        <v>29104</v>
      </c>
      <c r="H32" s="39">
        <v>0</v>
      </c>
      <c r="I32" s="39"/>
      <c r="J32" s="39"/>
      <c r="K32" s="39"/>
      <c r="L32" s="39"/>
      <c r="M32" s="40"/>
      <c r="N32" s="39">
        <v>40168</v>
      </c>
      <c r="O32" s="54">
        <f>72613+1000</f>
        <v>73613</v>
      </c>
      <c r="P32" s="17">
        <f>O32/O$39</f>
        <v>5.2774093643135206E-2</v>
      </c>
      <c r="Q32" s="18" t="s">
        <v>37</v>
      </c>
      <c r="R32" s="3"/>
      <c r="S32" s="3" t="s">
        <v>6</v>
      </c>
      <c r="T32" s="14">
        <f>H42/1000</f>
        <v>0</v>
      </c>
      <c r="U32" s="15">
        <f>H43</f>
        <v>0</v>
      </c>
    </row>
    <row r="33" spans="1:48" ht="15.75" x14ac:dyDescent="0.25">
      <c r="A33" s="8" t="s">
        <v>38</v>
      </c>
      <c r="B33" s="54">
        <f>(B39-B37-B36)*22984/(39900+22984+2596)</f>
        <v>21935.890287110567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/>
      <c r="J33" s="39"/>
      <c r="K33" s="39"/>
      <c r="L33" s="39"/>
      <c r="M33" s="40"/>
      <c r="N33" s="48">
        <f>O33-B33</f>
        <v>54918.109712889433</v>
      </c>
      <c r="O33" s="39">
        <v>76854</v>
      </c>
      <c r="P33" s="17">
        <f>O33/O$39</f>
        <v>5.5097607662362803E-2</v>
      </c>
      <c r="Q33" s="18" t="s">
        <v>39</v>
      </c>
      <c r="R33" s="3"/>
      <c r="S33" s="3" t="s">
        <v>35</v>
      </c>
      <c r="T33" s="14">
        <f>C42/1000</f>
        <v>491.07499999999999</v>
      </c>
      <c r="U33" s="16">
        <f>C43</f>
        <v>0.33287442992944954</v>
      </c>
    </row>
    <row r="34" spans="1:48" ht="15.75" x14ac:dyDescent="0.25">
      <c r="A34" s="8" t="s">
        <v>40</v>
      </c>
      <c r="B34" s="2">
        <v>0</v>
      </c>
      <c r="C34" s="48">
        <f>O34-N34-F34-B34</f>
        <v>474822.61795968236</v>
      </c>
      <c r="D34" s="39">
        <v>0</v>
      </c>
      <c r="E34" s="39">
        <v>0</v>
      </c>
      <c r="F34" s="39">
        <v>35958</v>
      </c>
      <c r="G34" s="39">
        <v>0</v>
      </c>
      <c r="H34" s="39">
        <v>0</v>
      </c>
      <c r="I34" s="39"/>
      <c r="J34" s="39"/>
      <c r="K34" s="39"/>
      <c r="L34" s="39"/>
      <c r="M34" s="40"/>
      <c r="N34" s="48">
        <f>N39-N38-N37-N36-N35-N33-N32-N31</f>
        <v>894.38204031765054</v>
      </c>
      <c r="O34" s="39">
        <v>511675</v>
      </c>
      <c r="P34" s="17">
        <f>O34/O$39</f>
        <v>0.36682629922501736</v>
      </c>
      <c r="Q34" s="18" t="s">
        <v>41</v>
      </c>
      <c r="R34" s="3"/>
      <c r="S34" s="3"/>
      <c r="T34" s="14">
        <f>SUM(T24:T32)</f>
        <v>984.18100000000004</v>
      </c>
      <c r="U34" s="15">
        <f>SUM(U24:U32)</f>
        <v>0.6671255700705504</v>
      </c>
    </row>
    <row r="35" spans="1:48" ht="16" x14ac:dyDescent="0.2">
      <c r="A35" s="8" t="s">
        <v>42</v>
      </c>
      <c r="B35" s="48">
        <f>(B39-B37-B36)*39900/(39900+22984+2596)</f>
        <v>38080.491753207083</v>
      </c>
      <c r="C35" s="39">
        <v>3128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/>
      <c r="J35" s="39"/>
      <c r="K35" s="39"/>
      <c r="L35" s="39"/>
      <c r="M35" s="40"/>
      <c r="N35" s="48">
        <f>O35-C35-B35</f>
        <v>104141.50824679292</v>
      </c>
      <c r="O35" s="39">
        <v>145350</v>
      </c>
      <c r="P35" s="17">
        <f>O35/O$39</f>
        <v>0.10420325908507602</v>
      </c>
      <c r="Q35" s="18" t="s">
        <v>43</v>
      </c>
      <c r="R35" s="18"/>
    </row>
    <row r="36" spans="1:48" ht="16" x14ac:dyDescent="0.2">
      <c r="A36" s="8" t="s">
        <v>44</v>
      </c>
      <c r="B36" s="50">
        <f>10000+4600</f>
        <v>14600</v>
      </c>
      <c r="C36" s="39">
        <v>1301</v>
      </c>
      <c r="D36" s="39">
        <v>0</v>
      </c>
      <c r="E36" s="39">
        <v>0</v>
      </c>
      <c r="F36" s="39">
        <v>0</v>
      </c>
      <c r="G36" s="48">
        <f>O36-N36-C36-B36</f>
        <v>92214</v>
      </c>
      <c r="H36" s="39">
        <v>0</v>
      </c>
      <c r="I36" s="39"/>
      <c r="J36" s="39"/>
      <c r="K36" s="39"/>
      <c r="L36" s="39"/>
      <c r="M36" s="40"/>
      <c r="N36" s="49">
        <v>330932</v>
      </c>
      <c r="O36" s="39">
        <v>439047</v>
      </c>
      <c r="P36" s="18"/>
      <c r="Q36" s="18"/>
      <c r="R36" s="3"/>
      <c r="S36" s="7"/>
      <c r="T36" s="7"/>
      <c r="U36" s="7"/>
    </row>
    <row r="37" spans="1:48" ht="15.75" x14ac:dyDescent="0.25">
      <c r="A37" s="8" t="s">
        <v>45</v>
      </c>
      <c r="B37" s="50">
        <f>54000+9200+1800</f>
        <v>65000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/>
      <c r="J37" s="39"/>
      <c r="K37" s="39"/>
      <c r="L37" s="39"/>
      <c r="M37" s="40"/>
      <c r="N37" s="48">
        <f>O37-B37</f>
        <v>24467</v>
      </c>
      <c r="O37" s="39">
        <v>89467</v>
      </c>
      <c r="P37" s="18"/>
      <c r="Q37" s="18"/>
      <c r="R37" s="3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39">
        <v>0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/>
      <c r="J38" s="39"/>
      <c r="K38" s="39"/>
      <c r="L38" s="39"/>
      <c r="M38" s="40"/>
      <c r="N38" s="39">
        <v>21282</v>
      </c>
      <c r="O38" s="39">
        <v>21282</v>
      </c>
      <c r="P38" s="18">
        <f>SUM(P31:P35)</f>
        <v>0.60584498913877272</v>
      </c>
      <c r="Q38" s="18"/>
      <c r="R38" s="3"/>
      <c r="S38" s="7" t="s">
        <v>47</v>
      </c>
      <c r="T38" s="19">
        <f>O45/1000</f>
        <v>73.555999999999997</v>
      </c>
      <c r="U38" s="7"/>
    </row>
    <row r="39" spans="1:48" ht="16" x14ac:dyDescent="0.2">
      <c r="A39" s="8" t="s">
        <v>16</v>
      </c>
      <c r="B39" s="39">
        <v>142094</v>
      </c>
      <c r="C39" s="39">
        <v>489065</v>
      </c>
      <c r="D39" s="39">
        <v>0</v>
      </c>
      <c r="E39" s="39">
        <v>0</v>
      </c>
      <c r="F39" s="39">
        <v>36768</v>
      </c>
      <c r="G39" s="39">
        <v>121318</v>
      </c>
      <c r="H39" s="39">
        <v>0</v>
      </c>
      <c r="I39" s="39"/>
      <c r="J39" s="39"/>
      <c r="K39" s="39"/>
      <c r="L39" s="39"/>
      <c r="M39" s="40"/>
      <c r="N39" s="54">
        <f>604625+1000</f>
        <v>605625</v>
      </c>
      <c r="O39" s="39">
        <f>1393870+1000</f>
        <v>1394870</v>
      </c>
      <c r="P39" s="3"/>
      <c r="Q39" s="3"/>
      <c r="R39" s="3"/>
      <c r="S39" s="7" t="s">
        <v>48</v>
      </c>
      <c r="T39" s="20">
        <f>O41/1000</f>
        <v>549.79600000000005</v>
      </c>
      <c r="U39" s="15">
        <f>P41</f>
        <v>0.39415572777391439</v>
      </c>
    </row>
    <row r="40" spans="1:48" x14ac:dyDescent="0.2">
      <c r="B40" s="11"/>
      <c r="C40" s="11"/>
      <c r="N40" s="11"/>
      <c r="O40" s="11"/>
      <c r="S40" s="7" t="s">
        <v>49</v>
      </c>
      <c r="T40" s="20">
        <f>O35/1000</f>
        <v>145.35</v>
      </c>
      <c r="U40" s="16">
        <f>P35</f>
        <v>0.10420325908507602</v>
      </c>
    </row>
    <row r="41" spans="1:48" ht="16" x14ac:dyDescent="0.2">
      <c r="A41" s="21" t="s">
        <v>50</v>
      </c>
      <c r="B41" s="22">
        <f>B38+B37+B36</f>
        <v>79600</v>
      </c>
      <c r="C41" s="22">
        <f t="shared" ref="C41:O41" si="0">C38+C37+C36</f>
        <v>1301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92214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376681</v>
      </c>
      <c r="O41" s="22">
        <f t="shared" si="0"/>
        <v>549796</v>
      </c>
      <c r="P41" s="17">
        <f>O41/O$39</f>
        <v>0.39415572777391439</v>
      </c>
      <c r="Q41" s="17" t="s">
        <v>51</v>
      </c>
      <c r="R41" s="7"/>
      <c r="S41" s="7" t="s">
        <v>52</v>
      </c>
      <c r="T41" s="20">
        <f>O33/1000</f>
        <v>76.853999999999999</v>
      </c>
      <c r="U41" s="15">
        <f>P33</f>
        <v>5.5097607662362803E-2</v>
      </c>
    </row>
    <row r="42" spans="1:48" ht="16" x14ac:dyDescent="0.2">
      <c r="A42" s="23" t="s">
        <v>53</v>
      </c>
      <c r="B42" s="22"/>
      <c r="C42" s="24">
        <f>C39+C23+C10</f>
        <v>491075</v>
      </c>
      <c r="D42" s="24">
        <f t="shared" ref="D42:M42" si="1">D39+D23+D10</f>
        <v>0</v>
      </c>
      <c r="E42" s="24">
        <f t="shared" si="1"/>
        <v>0</v>
      </c>
      <c r="F42" s="24">
        <f t="shared" si="1"/>
        <v>37068</v>
      </c>
      <c r="G42" s="24">
        <f t="shared" si="1"/>
        <v>293038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654075</v>
      </c>
      <c r="O42" s="25">
        <f>SUM(C42:N42)</f>
        <v>1475256</v>
      </c>
      <c r="P42" s="7"/>
      <c r="Q42" s="7"/>
      <c r="R42" s="7"/>
      <c r="S42" s="7" t="s">
        <v>34</v>
      </c>
      <c r="T42" s="20">
        <f>O31/1000</f>
        <v>37.582999999999998</v>
      </c>
      <c r="U42" s="15">
        <f>P31</f>
        <v>2.6943729523181373E-2</v>
      </c>
    </row>
    <row r="43" spans="1:48" ht="16" x14ac:dyDescent="0.2">
      <c r="A43" s="23" t="s">
        <v>54</v>
      </c>
      <c r="B43" s="22"/>
      <c r="C43" s="17">
        <f t="shared" ref="C43:N43" si="2">C42/$O42</f>
        <v>0.33287442992944954</v>
      </c>
      <c r="D43" s="17">
        <f t="shared" si="2"/>
        <v>0</v>
      </c>
      <c r="E43" s="17">
        <f t="shared" si="2"/>
        <v>0</v>
      </c>
      <c r="F43" s="17">
        <f t="shared" si="2"/>
        <v>2.5126486521661325E-2</v>
      </c>
      <c r="G43" s="17">
        <f t="shared" si="2"/>
        <v>0.19863535549084363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</v>
      </c>
      <c r="N43" s="17">
        <f t="shared" si="2"/>
        <v>0.44336372805804553</v>
      </c>
      <c r="O43" s="17">
        <f>SUM(C43:N43)</f>
        <v>1</v>
      </c>
      <c r="P43" s="7"/>
      <c r="Q43" s="7"/>
      <c r="R43" s="7"/>
      <c r="S43" s="7" t="s">
        <v>55</v>
      </c>
      <c r="T43" s="20">
        <f>O32/1000</f>
        <v>73.613</v>
      </c>
      <c r="U43" s="16">
        <f>P32</f>
        <v>5.2774093643135206E-2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511.67500000000001</v>
      </c>
      <c r="U44" s="16">
        <f>P34</f>
        <v>0.36682629922501736</v>
      </c>
    </row>
    <row r="45" spans="1:48" ht="16" x14ac:dyDescent="0.2">
      <c r="A45" s="6" t="s">
        <v>57</v>
      </c>
      <c r="B45" s="6">
        <f>B23-B39</f>
        <v>25106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48450</v>
      </c>
      <c r="O45" s="25">
        <f>B45+N45</f>
        <v>73556</v>
      </c>
      <c r="P45" s="7"/>
      <c r="Q45" s="7"/>
      <c r="R45" s="7"/>
      <c r="S45" s="7" t="s">
        <v>58</v>
      </c>
      <c r="T45" s="20">
        <f>SUM(T39:T44)</f>
        <v>1394.8710000000001</v>
      </c>
      <c r="U45" s="15">
        <f>SUM(U39:U44)</f>
        <v>1.0000007169126872</v>
      </c>
    </row>
    <row r="46" spans="1:48" ht="16" x14ac:dyDescent="0.2">
      <c r="A46" s="6"/>
      <c r="B46" s="51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27"/>
      <c r="C48" s="27"/>
      <c r="D48" s="28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8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8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27"/>
      <c r="D52" s="28"/>
      <c r="E52" s="27"/>
      <c r="F52" s="27"/>
      <c r="G52" s="27"/>
      <c r="H52" s="28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8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8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8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27"/>
      <c r="B55" s="4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8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27"/>
      <c r="B56" s="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8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6"/>
      <c r="N57" s="30"/>
      <c r="O57" s="7"/>
      <c r="P57" s="6"/>
      <c r="Q57" s="15"/>
      <c r="R57" s="7"/>
      <c r="S57" s="7"/>
      <c r="T57" s="6"/>
      <c r="U57" s="31"/>
    </row>
    <row r="58" spans="1:48" ht="16" x14ac:dyDescent="0.2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6"/>
      <c r="N58" s="30"/>
      <c r="O58" s="7"/>
      <c r="P58" s="6"/>
      <c r="Q58" s="15"/>
      <c r="R58" s="7"/>
      <c r="S58" s="7"/>
      <c r="T58" s="6"/>
      <c r="U58" s="31"/>
    </row>
    <row r="59" spans="1:48" ht="16" x14ac:dyDescent="0.2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6"/>
      <c r="N59" s="30"/>
      <c r="O59" s="7"/>
      <c r="P59" s="6"/>
      <c r="Q59" s="15"/>
      <c r="R59" s="7"/>
      <c r="S59" s="7"/>
      <c r="T59" s="6"/>
      <c r="U59" s="31"/>
    </row>
    <row r="60" spans="1:48" ht="16" x14ac:dyDescent="0.2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6"/>
      <c r="N60" s="30"/>
      <c r="O60" s="7"/>
      <c r="P60" s="6"/>
      <c r="Q60" s="15"/>
      <c r="R60" s="7"/>
      <c r="S60" s="7"/>
      <c r="T60" s="6"/>
      <c r="U60" s="31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30"/>
      <c r="O61" s="7"/>
      <c r="P61" s="6"/>
      <c r="Q61" s="15"/>
      <c r="R61" s="7"/>
      <c r="S61" s="7"/>
      <c r="T61" s="32"/>
      <c r="U61" s="33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4"/>
      <c r="U63" s="35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30"/>
      <c r="R64" s="7"/>
      <c r="S64" s="7"/>
      <c r="T64" s="6"/>
      <c r="U64" s="31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30"/>
      <c r="R65" s="7"/>
      <c r="S65" s="7"/>
      <c r="T65" s="6"/>
      <c r="U65" s="31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30"/>
      <c r="R66" s="7"/>
      <c r="S66" s="7"/>
      <c r="T66" s="6"/>
      <c r="U66" s="31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30"/>
      <c r="R67" s="7"/>
      <c r="S67" s="7"/>
      <c r="T67" s="6"/>
      <c r="U67" s="31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30"/>
      <c r="R68" s="7"/>
      <c r="S68" s="7"/>
      <c r="T68" s="6"/>
      <c r="U68" s="31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30"/>
      <c r="R69" s="7"/>
      <c r="S69" s="7"/>
      <c r="T69" s="6"/>
      <c r="U69" s="31"/>
    </row>
    <row r="70" spans="1:21" ht="16" x14ac:dyDescent="0.2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7"/>
      <c r="P70" s="32"/>
      <c r="Q70" s="36"/>
      <c r="R70" s="7"/>
      <c r="S70" s="37"/>
      <c r="T70" s="32"/>
      <c r="U70" s="36"/>
    </row>
  </sheetData>
  <pageMargins left="0.75" right="0.75" top="0.75" bottom="0.5" header="0.5" footer="0.75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ildresurs" ma:contentTypeID="0x0101009148F5A04DDD49CBA7127AADA5FB792B00AADE34325A8B49CDA8BB4DB53328F21400B1422EAB8DF0294E85CCB7CF19F0629E" ma:contentTypeVersion="1" ma:contentTypeDescription="Ladda upp en bild." ma:contentTypeScope="" ma:versionID="89db0ba08def9c0c99553822dc9a3775">
  <xsd:schema xmlns:xsd="http://www.w3.org/2001/XMLSchema" xmlns:xs="http://www.w3.org/2001/XMLSchema" xmlns:p="http://schemas.microsoft.com/office/2006/metadata/properties" xmlns:ns1="http://schemas.microsoft.com/sharepoint/v3" xmlns:ns2="B2487248-3291-4FB7-A798-DA4F8D952CAD" xmlns:ns3="http://schemas.microsoft.com/sharepoint/v3/fields" targetNamespace="http://schemas.microsoft.com/office/2006/metadata/properties" ma:root="true" ma:fieldsID="f88401ac58d331235390f5b8f93600ac" ns1:_="" ns2:_="" ns3:_="">
    <xsd:import namespace="http://schemas.microsoft.com/sharepoint/v3"/>
    <xsd:import namespace="B2487248-3291-4FB7-A798-DA4F8D952CAD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-sökväg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typ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-filtyp" ma:hidden="true" ma:internalName="HTML_x0020_File_x0020_Type" ma:readOnly="true">
      <xsd:simpleType>
        <xsd:restriction base="dms:Text"/>
      </xsd:simpleType>
    </xsd:element>
    <xsd:element name="FSObjType" ma:index="11" nillable="true" ma:displayName="Objekttyp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malagt startdatum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malagt slutdatum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87248-3291-4FB7-A798-DA4F8D952CAD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Miniatyr finn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Förhandsgranskning finn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Bredd" ma:internalName="ImageWidth" ma:readOnly="true">
      <xsd:simpleType>
        <xsd:restriction base="dms:Unknown"/>
      </xsd:simpleType>
    </xsd:element>
    <xsd:element name="ImageHeight" ma:index="22" nillable="true" ma:displayName="Höjd" ma:internalName="ImageHeight" ma:readOnly="true">
      <xsd:simpleType>
        <xsd:restriction base="dms:Unknown"/>
      </xsd:simpleType>
    </xsd:element>
    <xsd:element name="ImageCreateDate" ma:index="25" nillable="true" ma:displayName="Datum då bilden togs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Författare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 ma:index="23" ma:displayName="Kommentarer"/>
        <xsd:element name="keywords" minOccurs="0" maxOccurs="1" type="xsd:string" ma:index="14" ma:displayName="Nyckelord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ImageCreateDate xmlns="B2487248-3291-4FB7-A798-DA4F8D952CAD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67E544D6-819B-4EA0-9784-2020BE2643A4}"/>
</file>

<file path=customXml/itemProps2.xml><?xml version="1.0" encoding="utf-8"?>
<ds:datastoreItem xmlns:ds="http://schemas.openxmlformats.org/officeDocument/2006/customXml" ds:itemID="{F851A645-C1E3-4898-9403-C3B584B384CA}"/>
</file>

<file path=customXml/itemProps3.xml><?xml version="1.0" encoding="utf-8"?>
<ds:datastoreItem xmlns:ds="http://schemas.openxmlformats.org/officeDocument/2006/customXml" ds:itemID="{2B5A38FA-45FD-4EB1-8491-E8F7F57F75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Halland</vt:lpstr>
      <vt:lpstr>Hylte</vt:lpstr>
      <vt:lpstr>Halmstad</vt:lpstr>
      <vt:lpstr>Laholm</vt:lpstr>
      <vt:lpstr>Falkenberg</vt:lpstr>
      <vt:lpstr>Varberg</vt:lpstr>
      <vt:lpstr>Kungsbacka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Kaj</dc:creator>
  <cp:keywords/>
  <dc:description/>
  <cp:lastModifiedBy>Kaj</cp:lastModifiedBy>
  <dcterms:created xsi:type="dcterms:W3CDTF">2016-02-06T11:33:06Z</dcterms:created>
  <dcterms:modified xsi:type="dcterms:W3CDTF">2017-08-28T17:19:30Z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0x0101009148F5A04DDD49CBA7127AADA5FB792B00AADE34325A8B49CDA8BB4DB53328F21400B1422EAB8DF0294E85CCB7CF19F0629E</vt:lpwstr>
  </property>
</Properties>
</file>