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4.xml" ContentType="application/vnd.openxmlformats-officedocument.spreadsheetml.comment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omments6.xml" ContentType="application/vnd.openxmlformats-officedocument.spreadsheetml.comments+xml"/>
  <Override PartName="/xl/comments5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2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Kaj/RushFiles/Energistatistik+LEKS+2017/Energibalanser till kund/"/>
    </mc:Choice>
  </mc:AlternateContent>
  <bookViews>
    <workbookView xWindow="0" yWindow="460" windowWidth="28800" windowHeight="17460" tabRatio="919"/>
  </bookViews>
  <sheets>
    <sheet name="Jämtland" sheetId="28" r:id="rId1"/>
    <sheet name="Ragunda" sheetId="2" r:id="rId2"/>
    <sheet name="Bräcke" sheetId="3" r:id="rId3"/>
    <sheet name="Krokom" sheetId="4" r:id="rId4"/>
    <sheet name="Strömsund" sheetId="5" r:id="rId5"/>
    <sheet name="Åre" sheetId="6" r:id="rId6"/>
    <sheet name="Berg" sheetId="7" r:id="rId7"/>
    <sheet name="Härjedalen" sheetId="8" r:id="rId8"/>
    <sheet name="Östersund" sheetId="9" r:id="rId9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28" l="1"/>
  <c r="G32" i="4"/>
  <c r="C32" i="4"/>
  <c r="C32" i="6"/>
  <c r="C32" i="7"/>
  <c r="C32" i="28"/>
  <c r="D32" i="28"/>
  <c r="E32" i="28"/>
  <c r="F32" i="28"/>
  <c r="G32" i="2"/>
  <c r="G32" i="3"/>
  <c r="G32" i="6"/>
  <c r="G32" i="28"/>
  <c r="H32" i="28"/>
  <c r="I32" i="28"/>
  <c r="J32" i="28"/>
  <c r="K32" i="28"/>
  <c r="L32" i="28"/>
  <c r="M32" i="28"/>
  <c r="N32" i="3"/>
  <c r="N32" i="28"/>
  <c r="O32" i="28"/>
  <c r="O18" i="4"/>
  <c r="B18" i="4"/>
  <c r="B23" i="4"/>
  <c r="B33" i="4"/>
  <c r="B33" i="28"/>
  <c r="C33" i="28"/>
  <c r="D33" i="28"/>
  <c r="E33" i="28"/>
  <c r="F33" i="28"/>
  <c r="G33" i="28"/>
  <c r="H33" i="28"/>
  <c r="I33" i="28"/>
  <c r="J33" i="28"/>
  <c r="K33" i="28"/>
  <c r="L33" i="28"/>
  <c r="M33" i="28"/>
  <c r="N33" i="28"/>
  <c r="O33" i="28"/>
  <c r="B34" i="28"/>
  <c r="C34" i="4"/>
  <c r="C34" i="28"/>
  <c r="D34" i="28"/>
  <c r="E34" i="28"/>
  <c r="F34" i="28"/>
  <c r="G34" i="28"/>
  <c r="I34" i="28"/>
  <c r="J34" i="28"/>
  <c r="K34" i="28"/>
  <c r="L34" i="28"/>
  <c r="M34" i="28"/>
  <c r="N34" i="2"/>
  <c r="N34" i="28"/>
  <c r="O34" i="28"/>
  <c r="B35" i="4"/>
  <c r="B35" i="28"/>
  <c r="C35" i="28"/>
  <c r="D35" i="28"/>
  <c r="E35" i="28"/>
  <c r="F35" i="28"/>
  <c r="G35" i="28"/>
  <c r="H35" i="28"/>
  <c r="I35" i="28"/>
  <c r="J35" i="28"/>
  <c r="K35" i="28"/>
  <c r="L35" i="28"/>
  <c r="M35" i="28"/>
  <c r="N35" i="28"/>
  <c r="O35" i="28"/>
  <c r="B36" i="4"/>
  <c r="B36" i="28"/>
  <c r="C36" i="28"/>
  <c r="D36" i="28"/>
  <c r="E36" i="28"/>
  <c r="F36" i="28"/>
  <c r="G36" i="28"/>
  <c r="H36" i="28"/>
  <c r="I36" i="28"/>
  <c r="J36" i="28"/>
  <c r="K36" i="28"/>
  <c r="L36" i="28"/>
  <c r="M36" i="28"/>
  <c r="N36" i="2"/>
  <c r="N36" i="28"/>
  <c r="O36" i="28"/>
  <c r="B37" i="4"/>
  <c r="B37" i="28"/>
  <c r="C37" i="28"/>
  <c r="D37" i="28"/>
  <c r="E37" i="28"/>
  <c r="F37" i="28"/>
  <c r="G37" i="28"/>
  <c r="H37" i="28"/>
  <c r="I37" i="28"/>
  <c r="J37" i="28"/>
  <c r="K37" i="28"/>
  <c r="L37" i="28"/>
  <c r="M37" i="28"/>
  <c r="O36" i="3"/>
  <c r="O37" i="3"/>
  <c r="N37" i="3"/>
  <c r="N37" i="28"/>
  <c r="O37" i="28"/>
  <c r="B38" i="28"/>
  <c r="C38" i="28"/>
  <c r="D38" i="28"/>
  <c r="E38" i="28"/>
  <c r="F38" i="28"/>
  <c r="G38" i="28"/>
  <c r="H38" i="28"/>
  <c r="I38" i="28"/>
  <c r="J38" i="28"/>
  <c r="K38" i="28"/>
  <c r="L38" i="28"/>
  <c r="M38" i="28"/>
  <c r="N38" i="28"/>
  <c r="O38" i="28"/>
  <c r="B31" i="28"/>
  <c r="C31" i="28"/>
  <c r="D31" i="28"/>
  <c r="E31" i="28"/>
  <c r="F31" i="28"/>
  <c r="G31" i="28"/>
  <c r="H31" i="28"/>
  <c r="I31" i="28"/>
  <c r="J31" i="28"/>
  <c r="K31" i="28"/>
  <c r="L31" i="28"/>
  <c r="M31" i="28"/>
  <c r="N31" i="28"/>
  <c r="O31" i="28"/>
  <c r="C39" i="28"/>
  <c r="D39" i="28"/>
  <c r="E39" i="28"/>
  <c r="F39" i="28"/>
  <c r="G39" i="28"/>
  <c r="H39" i="28"/>
  <c r="I39" i="28"/>
  <c r="J39" i="28"/>
  <c r="K39" i="28"/>
  <c r="L39" i="28"/>
  <c r="M39" i="28"/>
  <c r="N39" i="28"/>
  <c r="O39" i="28"/>
  <c r="B39" i="28"/>
  <c r="C18" i="28"/>
  <c r="D18" i="28"/>
  <c r="E18" i="28"/>
  <c r="F18" i="28"/>
  <c r="G18" i="9"/>
  <c r="G18" i="28"/>
  <c r="H18" i="28"/>
  <c r="I18" i="28"/>
  <c r="J18" i="28"/>
  <c r="K18" i="28"/>
  <c r="L18" i="28"/>
  <c r="M18" i="28"/>
  <c r="N18" i="6"/>
  <c r="N18" i="28"/>
  <c r="O18" i="28"/>
  <c r="C17" i="28"/>
  <c r="D17" i="28"/>
  <c r="E17" i="28"/>
  <c r="F17" i="28"/>
  <c r="G17" i="28"/>
  <c r="H17" i="28"/>
  <c r="I17" i="28"/>
  <c r="J17" i="28"/>
  <c r="K17" i="28"/>
  <c r="L17" i="28"/>
  <c r="M17" i="28"/>
  <c r="N17" i="28"/>
  <c r="O17" i="28"/>
  <c r="C23" i="28"/>
  <c r="D23" i="28"/>
  <c r="E23" i="28"/>
  <c r="F23" i="28"/>
  <c r="G23" i="28"/>
  <c r="H23" i="28"/>
  <c r="I23" i="28"/>
  <c r="J23" i="28"/>
  <c r="K23" i="28"/>
  <c r="L23" i="28"/>
  <c r="M23" i="28"/>
  <c r="N23" i="28"/>
  <c r="O23" i="28"/>
  <c r="B17" i="28"/>
  <c r="B18" i="9"/>
  <c r="B18" i="28"/>
  <c r="B19" i="28"/>
  <c r="B20" i="28"/>
  <c r="B21" i="28"/>
  <c r="B22" i="28"/>
  <c r="B23" i="28"/>
  <c r="C6" i="28"/>
  <c r="C7" i="28"/>
  <c r="C10" i="28"/>
  <c r="D6" i="28"/>
  <c r="D7" i="28"/>
  <c r="D10" i="28"/>
  <c r="E6" i="28"/>
  <c r="E7" i="28"/>
  <c r="E10" i="28"/>
  <c r="F6" i="28"/>
  <c r="F7" i="28"/>
  <c r="F10" i="28"/>
  <c r="G6" i="28"/>
  <c r="G7" i="28"/>
  <c r="G10" i="28"/>
  <c r="H6" i="28"/>
  <c r="H7" i="28"/>
  <c r="H10" i="28"/>
  <c r="O6" i="28"/>
  <c r="O7" i="28"/>
  <c r="O10" i="28"/>
  <c r="B4" i="28"/>
  <c r="B6" i="28"/>
  <c r="B7" i="28"/>
  <c r="B8" i="28"/>
  <c r="B9" i="28"/>
  <c r="B10" i="28"/>
  <c r="C23" i="5"/>
  <c r="C42" i="5"/>
  <c r="D42" i="5"/>
  <c r="E42" i="5"/>
  <c r="F42" i="5"/>
  <c r="G42" i="5"/>
  <c r="H42" i="5"/>
  <c r="I42" i="5"/>
  <c r="J42" i="5"/>
  <c r="K42" i="5"/>
  <c r="L42" i="5"/>
  <c r="M42" i="5"/>
  <c r="N45" i="5"/>
  <c r="N42" i="5"/>
  <c r="O42" i="5"/>
  <c r="T19" i="5"/>
  <c r="S31" i="28"/>
  <c r="O33" i="4"/>
  <c r="O34" i="4"/>
  <c r="O35" i="4"/>
  <c r="O36" i="4"/>
  <c r="O37" i="4"/>
  <c r="O39" i="4"/>
  <c r="O31" i="9"/>
  <c r="O32" i="9"/>
  <c r="O33" i="9"/>
  <c r="O35" i="9"/>
  <c r="O36" i="9"/>
  <c r="O37" i="9"/>
  <c r="O38" i="9"/>
  <c r="O39" i="9"/>
  <c r="O18" i="6"/>
  <c r="O23" i="6"/>
  <c r="N23" i="6"/>
  <c r="O18" i="5"/>
  <c r="O23" i="5"/>
  <c r="O23" i="4"/>
  <c r="N23" i="4"/>
  <c r="G23" i="4"/>
  <c r="C23" i="4"/>
  <c r="B10" i="9"/>
  <c r="B10" i="8"/>
  <c r="B10" i="7"/>
  <c r="B10" i="6"/>
  <c r="B10" i="5"/>
  <c r="B10" i="4"/>
  <c r="B10" i="3"/>
  <c r="B10" i="2"/>
  <c r="O18" i="9"/>
  <c r="O17" i="9"/>
  <c r="O19" i="9"/>
  <c r="O20" i="9"/>
  <c r="O21" i="9"/>
  <c r="O22" i="9"/>
  <c r="O23" i="9"/>
  <c r="H23" i="9"/>
  <c r="I23" i="9"/>
  <c r="J23" i="9"/>
  <c r="K23" i="9"/>
  <c r="L23" i="9"/>
  <c r="M23" i="9"/>
  <c r="N23" i="9"/>
  <c r="G23" i="9"/>
  <c r="B23" i="9"/>
  <c r="B45" i="6"/>
  <c r="B41" i="4"/>
  <c r="N45" i="2"/>
  <c r="N42" i="2"/>
  <c r="C42" i="2"/>
  <c r="D42" i="2"/>
  <c r="E39" i="2"/>
  <c r="E42" i="2"/>
  <c r="F39" i="2"/>
  <c r="F42" i="2"/>
  <c r="G39" i="2"/>
  <c r="G42" i="2"/>
  <c r="H42" i="2"/>
  <c r="I42" i="2"/>
  <c r="J42" i="2"/>
  <c r="K42" i="2"/>
  <c r="L42" i="2"/>
  <c r="M42" i="2"/>
  <c r="O42" i="2"/>
  <c r="N43" i="2"/>
  <c r="U22" i="2"/>
  <c r="G43" i="2"/>
  <c r="U23" i="2"/>
  <c r="J43" i="2"/>
  <c r="U24" i="2"/>
  <c r="F43" i="2"/>
  <c r="U25" i="2"/>
  <c r="E43" i="2"/>
  <c r="U26" i="2"/>
  <c r="D43" i="2"/>
  <c r="U27" i="2"/>
  <c r="K43" i="2"/>
  <c r="U28" i="2"/>
  <c r="I43" i="2"/>
  <c r="U29" i="2"/>
  <c r="H43" i="2"/>
  <c r="U30" i="2"/>
  <c r="L43" i="2"/>
  <c r="U31" i="2"/>
  <c r="M43" i="2"/>
  <c r="U32" i="2"/>
  <c r="C43" i="2"/>
  <c r="U33" i="2"/>
  <c r="U34" i="2"/>
  <c r="N45" i="3"/>
  <c r="N42" i="3"/>
  <c r="C42" i="3"/>
  <c r="D42" i="3"/>
  <c r="E42" i="3"/>
  <c r="F42" i="3"/>
  <c r="G42" i="3"/>
  <c r="H42" i="3"/>
  <c r="I42" i="3"/>
  <c r="J42" i="3"/>
  <c r="K42" i="3"/>
  <c r="L42" i="3"/>
  <c r="M42" i="3"/>
  <c r="O42" i="3"/>
  <c r="N43" i="3"/>
  <c r="U22" i="3"/>
  <c r="G43" i="3"/>
  <c r="U23" i="3"/>
  <c r="J43" i="3"/>
  <c r="U24" i="3"/>
  <c r="F43" i="3"/>
  <c r="U25" i="3"/>
  <c r="E43" i="3"/>
  <c r="U26" i="3"/>
  <c r="D43" i="3"/>
  <c r="U27" i="3"/>
  <c r="K43" i="3"/>
  <c r="U28" i="3"/>
  <c r="I43" i="3"/>
  <c r="U29" i="3"/>
  <c r="H43" i="3"/>
  <c r="U30" i="3"/>
  <c r="L43" i="3"/>
  <c r="U31" i="3"/>
  <c r="M43" i="3"/>
  <c r="U32" i="3"/>
  <c r="C43" i="3"/>
  <c r="U33" i="3"/>
  <c r="U34" i="3"/>
  <c r="C42" i="4"/>
  <c r="G42" i="4"/>
  <c r="N45" i="4"/>
  <c r="N42" i="4"/>
  <c r="D42" i="4"/>
  <c r="E42" i="4"/>
  <c r="F42" i="4"/>
  <c r="H42" i="4"/>
  <c r="I42" i="4"/>
  <c r="J42" i="4"/>
  <c r="K42" i="4"/>
  <c r="L42" i="4"/>
  <c r="M42" i="4"/>
  <c r="O42" i="4"/>
  <c r="N43" i="4"/>
  <c r="U22" i="4"/>
  <c r="G43" i="4"/>
  <c r="U23" i="4"/>
  <c r="J43" i="4"/>
  <c r="U24" i="4"/>
  <c r="F43" i="4"/>
  <c r="U25" i="4"/>
  <c r="E43" i="4"/>
  <c r="U26" i="4"/>
  <c r="D43" i="4"/>
  <c r="U27" i="4"/>
  <c r="K43" i="4"/>
  <c r="U28" i="4"/>
  <c r="I43" i="4"/>
  <c r="U29" i="4"/>
  <c r="H43" i="4"/>
  <c r="U30" i="4"/>
  <c r="L43" i="4"/>
  <c r="U31" i="4"/>
  <c r="M43" i="4"/>
  <c r="U32" i="4"/>
  <c r="C43" i="4"/>
  <c r="U33" i="4"/>
  <c r="U34" i="4"/>
  <c r="N43" i="5"/>
  <c r="U22" i="5"/>
  <c r="G43" i="5"/>
  <c r="U23" i="5"/>
  <c r="J43" i="5"/>
  <c r="U24" i="5"/>
  <c r="F43" i="5"/>
  <c r="U25" i="5"/>
  <c r="E43" i="5"/>
  <c r="U26" i="5"/>
  <c r="D43" i="5"/>
  <c r="U27" i="5"/>
  <c r="K43" i="5"/>
  <c r="U28" i="5"/>
  <c r="I43" i="5"/>
  <c r="U29" i="5"/>
  <c r="H43" i="5"/>
  <c r="U30" i="5"/>
  <c r="L43" i="5"/>
  <c r="U31" i="5"/>
  <c r="M43" i="5"/>
  <c r="U32" i="5"/>
  <c r="C43" i="5"/>
  <c r="U33" i="5"/>
  <c r="U34" i="5"/>
  <c r="N45" i="6"/>
  <c r="N42" i="6"/>
  <c r="C42" i="6"/>
  <c r="D42" i="6"/>
  <c r="E39" i="6"/>
  <c r="E42" i="6"/>
  <c r="F42" i="6"/>
  <c r="G39" i="6"/>
  <c r="G42" i="6"/>
  <c r="H42" i="6"/>
  <c r="I42" i="6"/>
  <c r="J42" i="6"/>
  <c r="K42" i="6"/>
  <c r="L42" i="6"/>
  <c r="M42" i="6"/>
  <c r="O42" i="6"/>
  <c r="N43" i="6"/>
  <c r="U22" i="6"/>
  <c r="G43" i="6"/>
  <c r="U23" i="6"/>
  <c r="J43" i="6"/>
  <c r="U24" i="6"/>
  <c r="F43" i="6"/>
  <c r="U25" i="6"/>
  <c r="E43" i="6"/>
  <c r="U26" i="6"/>
  <c r="D43" i="6"/>
  <c r="U27" i="6"/>
  <c r="K43" i="6"/>
  <c r="U28" i="6"/>
  <c r="I43" i="6"/>
  <c r="U29" i="6"/>
  <c r="H43" i="6"/>
  <c r="U30" i="6"/>
  <c r="L43" i="6"/>
  <c r="U31" i="6"/>
  <c r="M43" i="6"/>
  <c r="U32" i="6"/>
  <c r="C43" i="6"/>
  <c r="U33" i="6"/>
  <c r="U34" i="6"/>
  <c r="N45" i="7"/>
  <c r="N42" i="7"/>
  <c r="C39" i="7"/>
  <c r="C42" i="7"/>
  <c r="D42" i="7"/>
  <c r="E42" i="7"/>
  <c r="F42" i="7"/>
  <c r="G39" i="7"/>
  <c r="G42" i="7"/>
  <c r="H42" i="7"/>
  <c r="I42" i="7"/>
  <c r="J42" i="7"/>
  <c r="K42" i="7"/>
  <c r="L42" i="7"/>
  <c r="M42" i="7"/>
  <c r="O42" i="7"/>
  <c r="N43" i="7"/>
  <c r="U22" i="7"/>
  <c r="G43" i="7"/>
  <c r="U23" i="7"/>
  <c r="J43" i="7"/>
  <c r="U24" i="7"/>
  <c r="F43" i="7"/>
  <c r="U25" i="7"/>
  <c r="E43" i="7"/>
  <c r="U26" i="7"/>
  <c r="D43" i="7"/>
  <c r="U27" i="7"/>
  <c r="K43" i="7"/>
  <c r="U28" i="7"/>
  <c r="I43" i="7"/>
  <c r="U29" i="7"/>
  <c r="H43" i="7"/>
  <c r="U30" i="7"/>
  <c r="L43" i="7"/>
  <c r="U31" i="7"/>
  <c r="M43" i="7"/>
  <c r="U32" i="7"/>
  <c r="C43" i="7"/>
  <c r="U33" i="7"/>
  <c r="U34" i="7"/>
  <c r="N45" i="8"/>
  <c r="N42" i="8"/>
  <c r="C42" i="8"/>
  <c r="D42" i="8"/>
  <c r="E42" i="8"/>
  <c r="F42" i="8"/>
  <c r="G42" i="8"/>
  <c r="H42" i="8"/>
  <c r="I42" i="8"/>
  <c r="J42" i="8"/>
  <c r="K42" i="8"/>
  <c r="L42" i="8"/>
  <c r="M42" i="8"/>
  <c r="O42" i="8"/>
  <c r="N43" i="8"/>
  <c r="U22" i="8"/>
  <c r="G43" i="8"/>
  <c r="U23" i="8"/>
  <c r="J43" i="8"/>
  <c r="U24" i="8"/>
  <c r="F43" i="8"/>
  <c r="U25" i="8"/>
  <c r="E43" i="8"/>
  <c r="U26" i="8"/>
  <c r="D43" i="8"/>
  <c r="U27" i="8"/>
  <c r="K43" i="8"/>
  <c r="U28" i="8"/>
  <c r="I43" i="8"/>
  <c r="U29" i="8"/>
  <c r="H43" i="8"/>
  <c r="U30" i="8"/>
  <c r="L43" i="8"/>
  <c r="U31" i="8"/>
  <c r="M43" i="8"/>
  <c r="U32" i="8"/>
  <c r="C43" i="8"/>
  <c r="U33" i="8"/>
  <c r="U34" i="8"/>
  <c r="D42" i="9"/>
  <c r="G39" i="9"/>
  <c r="G42" i="9"/>
  <c r="H42" i="9"/>
  <c r="I42" i="9"/>
  <c r="J42" i="9"/>
  <c r="K42" i="9"/>
  <c r="L42" i="9"/>
  <c r="M42" i="9"/>
  <c r="N45" i="9"/>
  <c r="N42" i="9"/>
  <c r="C42" i="9"/>
  <c r="E42" i="9"/>
  <c r="F42" i="9"/>
  <c r="O42" i="9"/>
  <c r="N43" i="9"/>
  <c r="U22" i="9"/>
  <c r="G43" i="9"/>
  <c r="U23" i="9"/>
  <c r="J43" i="9"/>
  <c r="U24" i="9"/>
  <c r="F43" i="9"/>
  <c r="U25" i="9"/>
  <c r="E43" i="9"/>
  <c r="U26" i="9"/>
  <c r="D43" i="9"/>
  <c r="U27" i="9"/>
  <c r="K43" i="9"/>
  <c r="U28" i="9"/>
  <c r="I43" i="9"/>
  <c r="U29" i="9"/>
  <c r="H43" i="9"/>
  <c r="U30" i="9"/>
  <c r="L43" i="9"/>
  <c r="U31" i="9"/>
  <c r="M43" i="9"/>
  <c r="U32" i="9"/>
  <c r="C43" i="9"/>
  <c r="U33" i="9"/>
  <c r="U34" i="9"/>
  <c r="N45" i="28"/>
  <c r="N42" i="28"/>
  <c r="C42" i="28"/>
  <c r="D42" i="28"/>
  <c r="E42" i="28"/>
  <c r="F42" i="28"/>
  <c r="G42" i="28"/>
  <c r="H42" i="28"/>
  <c r="I42" i="28"/>
  <c r="J42" i="28"/>
  <c r="K42" i="28"/>
  <c r="L42" i="28"/>
  <c r="M42" i="28"/>
  <c r="O42" i="28"/>
  <c r="N43" i="28"/>
  <c r="U22" i="28"/>
  <c r="G43" i="28"/>
  <c r="U23" i="28"/>
  <c r="J43" i="28"/>
  <c r="U24" i="28"/>
  <c r="F43" i="28"/>
  <c r="U25" i="28"/>
  <c r="E43" i="28"/>
  <c r="U26" i="28"/>
  <c r="D43" i="28"/>
  <c r="U27" i="28"/>
  <c r="K43" i="28"/>
  <c r="U28" i="28"/>
  <c r="I43" i="28"/>
  <c r="U29" i="28"/>
  <c r="H43" i="28"/>
  <c r="U30" i="28"/>
  <c r="L43" i="28"/>
  <c r="U31" i="28"/>
  <c r="M43" i="28"/>
  <c r="U32" i="28"/>
  <c r="C43" i="28"/>
  <c r="U33" i="28"/>
  <c r="U34" i="28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3" i="4"/>
  <c r="T23" i="4"/>
  <c r="T22" i="4"/>
  <c r="T24" i="4"/>
  <c r="T25" i="4"/>
  <c r="T26" i="4"/>
  <c r="T27" i="4"/>
  <c r="T28" i="4"/>
  <c r="T29" i="4"/>
  <c r="T30" i="4"/>
  <c r="T31" i="4"/>
  <c r="T32" i="4"/>
  <c r="T34" i="4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27" i="9"/>
  <c r="T23" i="9"/>
  <c r="T22" i="9"/>
  <c r="T24" i="9"/>
  <c r="T28" i="9"/>
  <c r="T29" i="9"/>
  <c r="T30" i="9"/>
  <c r="T31" i="9"/>
  <c r="T32" i="9"/>
  <c r="T25" i="9"/>
  <c r="T26" i="9"/>
  <c r="T33" i="9"/>
  <c r="T34" i="9"/>
  <c r="T22" i="28"/>
  <c r="T23" i="28"/>
  <c r="T24" i="28"/>
  <c r="T25" i="28"/>
  <c r="T26" i="28"/>
  <c r="T27" i="28"/>
  <c r="T28" i="28"/>
  <c r="T29" i="28"/>
  <c r="T30" i="28"/>
  <c r="T31" i="28"/>
  <c r="T32" i="28"/>
  <c r="T33" i="28"/>
  <c r="T34" i="28"/>
  <c r="O32" i="8"/>
  <c r="O33" i="8"/>
  <c r="O34" i="8"/>
  <c r="O35" i="8"/>
  <c r="O36" i="8"/>
  <c r="O37" i="8"/>
  <c r="O38" i="8"/>
  <c r="O31" i="8"/>
  <c r="O31" i="2"/>
  <c r="O33" i="2"/>
  <c r="O37" i="2"/>
  <c r="O38" i="2"/>
  <c r="O33" i="5"/>
  <c r="O36" i="5"/>
  <c r="O37" i="5"/>
  <c r="O39" i="5"/>
  <c r="B23" i="5"/>
  <c r="B41" i="5"/>
  <c r="B39" i="5"/>
  <c r="B45" i="8"/>
  <c r="B45" i="7"/>
  <c r="O33" i="6"/>
  <c r="O35" i="6"/>
  <c r="O36" i="6"/>
  <c r="O37" i="6"/>
  <c r="O39" i="6"/>
  <c r="O41" i="6"/>
  <c r="B42" i="6"/>
  <c r="B45" i="2"/>
  <c r="H40" i="3"/>
  <c r="G40" i="3"/>
  <c r="F40" i="3"/>
  <c r="E40" i="3"/>
  <c r="D40" i="3"/>
  <c r="C40" i="3"/>
  <c r="B40" i="3"/>
  <c r="O40" i="3"/>
  <c r="N40" i="3"/>
  <c r="N41" i="6"/>
  <c r="C40" i="6"/>
  <c r="B45" i="3"/>
  <c r="O45" i="3"/>
  <c r="O43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B45" i="4"/>
  <c r="O45" i="4"/>
  <c r="O43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5" i="5"/>
  <c r="O45" i="5"/>
  <c r="O43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5" i="6"/>
  <c r="O43" i="6"/>
  <c r="M41" i="6"/>
  <c r="L41" i="6"/>
  <c r="K41" i="6"/>
  <c r="J41" i="6"/>
  <c r="I41" i="6"/>
  <c r="H41" i="6"/>
  <c r="G41" i="6"/>
  <c r="F41" i="6"/>
  <c r="E41" i="6"/>
  <c r="D41" i="6"/>
  <c r="C41" i="6"/>
  <c r="O45" i="7"/>
  <c r="O43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O45" i="8"/>
  <c r="O43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B45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O45" i="2"/>
  <c r="O43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P41" i="3"/>
  <c r="U39" i="3"/>
  <c r="P35" i="3"/>
  <c r="U40" i="3"/>
  <c r="P33" i="3"/>
  <c r="U41" i="3"/>
  <c r="P31" i="3"/>
  <c r="U42" i="3"/>
  <c r="P32" i="3"/>
  <c r="U43" i="3"/>
  <c r="P34" i="3"/>
  <c r="U44" i="3"/>
  <c r="U45" i="3"/>
  <c r="T39" i="3"/>
  <c r="T40" i="3"/>
  <c r="T41" i="3"/>
  <c r="T42" i="3"/>
  <c r="T43" i="3"/>
  <c r="T44" i="3"/>
  <c r="T45" i="3"/>
  <c r="T38" i="3"/>
  <c r="P38" i="3"/>
  <c r="S32" i="3"/>
  <c r="S31" i="3"/>
  <c r="S30" i="3"/>
  <c r="S29" i="3"/>
  <c r="S28" i="3"/>
  <c r="S27" i="3"/>
  <c r="S24" i="3"/>
  <c r="T19" i="3"/>
  <c r="P41" i="4"/>
  <c r="U39" i="4"/>
  <c r="P35" i="4"/>
  <c r="U40" i="4"/>
  <c r="P33" i="4"/>
  <c r="U41" i="4"/>
  <c r="P31" i="4"/>
  <c r="U42" i="4"/>
  <c r="P32" i="4"/>
  <c r="U43" i="4"/>
  <c r="P34" i="4"/>
  <c r="U44" i="4"/>
  <c r="U45" i="4"/>
  <c r="T39" i="4"/>
  <c r="T40" i="4"/>
  <c r="T41" i="4"/>
  <c r="T42" i="4"/>
  <c r="T43" i="4"/>
  <c r="T44" i="4"/>
  <c r="T45" i="4"/>
  <c r="T38" i="4"/>
  <c r="P38" i="4"/>
  <c r="S32" i="4"/>
  <c r="S31" i="4"/>
  <c r="S30" i="4"/>
  <c r="S29" i="4"/>
  <c r="S28" i="4"/>
  <c r="S27" i="4"/>
  <c r="S24" i="4"/>
  <c r="T19" i="4"/>
  <c r="P41" i="5"/>
  <c r="U39" i="5"/>
  <c r="P35" i="5"/>
  <c r="U40" i="5"/>
  <c r="P33" i="5"/>
  <c r="U41" i="5"/>
  <c r="P31" i="5"/>
  <c r="U42" i="5"/>
  <c r="P32" i="5"/>
  <c r="U43" i="5"/>
  <c r="P34" i="5"/>
  <c r="U44" i="5"/>
  <c r="U45" i="5"/>
  <c r="T39" i="5"/>
  <c r="T40" i="5"/>
  <c r="T41" i="5"/>
  <c r="T42" i="5"/>
  <c r="T43" i="5"/>
  <c r="T44" i="5"/>
  <c r="T45" i="5"/>
  <c r="T38" i="5"/>
  <c r="P38" i="5"/>
  <c r="S32" i="5"/>
  <c r="S31" i="5"/>
  <c r="S30" i="5"/>
  <c r="S29" i="5"/>
  <c r="S28" i="5"/>
  <c r="S27" i="5"/>
  <c r="S24" i="5"/>
  <c r="P41" i="6"/>
  <c r="U39" i="6"/>
  <c r="P35" i="6"/>
  <c r="U40" i="6"/>
  <c r="P33" i="6"/>
  <c r="U41" i="6"/>
  <c r="P31" i="6"/>
  <c r="U42" i="6"/>
  <c r="P32" i="6"/>
  <c r="U43" i="6"/>
  <c r="P34" i="6"/>
  <c r="U44" i="6"/>
  <c r="U45" i="6"/>
  <c r="T39" i="6"/>
  <c r="T40" i="6"/>
  <c r="T41" i="6"/>
  <c r="T42" i="6"/>
  <c r="T43" i="6"/>
  <c r="T44" i="6"/>
  <c r="T45" i="6"/>
  <c r="T38" i="6"/>
  <c r="P38" i="6"/>
  <c r="S32" i="6"/>
  <c r="S31" i="6"/>
  <c r="S30" i="6"/>
  <c r="S29" i="6"/>
  <c r="S28" i="6"/>
  <c r="S27" i="6"/>
  <c r="S24" i="6"/>
  <c r="T19" i="6"/>
  <c r="P41" i="7"/>
  <c r="U39" i="7"/>
  <c r="P35" i="7"/>
  <c r="U40" i="7"/>
  <c r="P33" i="7"/>
  <c r="U41" i="7"/>
  <c r="P31" i="7"/>
  <c r="U42" i="7"/>
  <c r="P32" i="7"/>
  <c r="U43" i="7"/>
  <c r="P34" i="7"/>
  <c r="U44" i="7"/>
  <c r="U45" i="7"/>
  <c r="T39" i="7"/>
  <c r="T40" i="7"/>
  <c r="T41" i="7"/>
  <c r="T42" i="7"/>
  <c r="T43" i="7"/>
  <c r="T44" i="7"/>
  <c r="T45" i="7"/>
  <c r="T38" i="7"/>
  <c r="P38" i="7"/>
  <c r="S32" i="7"/>
  <c r="S31" i="7"/>
  <c r="S30" i="7"/>
  <c r="S29" i="7"/>
  <c r="S28" i="7"/>
  <c r="S27" i="7"/>
  <c r="S24" i="7"/>
  <c r="T19" i="7"/>
  <c r="P41" i="8"/>
  <c r="U39" i="8"/>
  <c r="P35" i="8"/>
  <c r="U40" i="8"/>
  <c r="P33" i="8"/>
  <c r="U41" i="8"/>
  <c r="P32" i="8"/>
  <c r="U43" i="8"/>
  <c r="P34" i="8"/>
  <c r="U44" i="8"/>
  <c r="P31" i="8"/>
  <c r="U42" i="8"/>
  <c r="U45" i="8"/>
  <c r="T39" i="8"/>
  <c r="T40" i="8"/>
  <c r="T41" i="8"/>
  <c r="T43" i="8"/>
  <c r="T44" i="8"/>
  <c r="T42" i="8"/>
  <c r="T45" i="8"/>
  <c r="T38" i="8"/>
  <c r="P38" i="8"/>
  <c r="S32" i="8"/>
  <c r="S31" i="8"/>
  <c r="S30" i="8"/>
  <c r="S29" i="8"/>
  <c r="S28" i="8"/>
  <c r="S27" i="8"/>
  <c r="S24" i="8"/>
  <c r="T19" i="8"/>
  <c r="P41" i="9"/>
  <c r="U39" i="9"/>
  <c r="P33" i="9"/>
  <c r="U41" i="9"/>
  <c r="P32" i="9"/>
  <c r="U43" i="9"/>
  <c r="P35" i="9"/>
  <c r="U40" i="9"/>
  <c r="P31" i="9"/>
  <c r="U42" i="9"/>
  <c r="P34" i="9"/>
  <c r="U44" i="9"/>
  <c r="U45" i="9"/>
  <c r="T39" i="9"/>
  <c r="T41" i="9"/>
  <c r="T43" i="9"/>
  <c r="T40" i="9"/>
  <c r="T42" i="9"/>
  <c r="T44" i="9"/>
  <c r="T45" i="9"/>
  <c r="P38" i="9"/>
  <c r="S32" i="9"/>
  <c r="S31" i="9"/>
  <c r="S30" i="9"/>
  <c r="S29" i="9"/>
  <c r="S28" i="9"/>
  <c r="S27" i="9"/>
  <c r="S24" i="9"/>
  <c r="P41" i="2"/>
  <c r="U39" i="2"/>
  <c r="P33" i="2"/>
  <c r="U41" i="2"/>
  <c r="P31" i="2"/>
  <c r="U42" i="2"/>
  <c r="P35" i="2"/>
  <c r="U40" i="2"/>
  <c r="P32" i="2"/>
  <c r="U43" i="2"/>
  <c r="P34" i="2"/>
  <c r="U44" i="2"/>
  <c r="U45" i="2"/>
  <c r="T39" i="2"/>
  <c r="T41" i="2"/>
  <c r="T42" i="2"/>
  <c r="T40" i="2"/>
  <c r="T43" i="2"/>
  <c r="T44" i="2"/>
  <c r="T45" i="2"/>
  <c r="T38" i="2"/>
  <c r="P38" i="2"/>
  <c r="S32" i="2"/>
  <c r="S31" i="2"/>
  <c r="S30" i="2"/>
  <c r="S29" i="2"/>
  <c r="S28" i="2"/>
  <c r="S27" i="2"/>
  <c r="S24" i="2"/>
  <c r="T19" i="2"/>
  <c r="S32" i="28"/>
  <c r="S30" i="28"/>
  <c r="S29" i="28"/>
  <c r="S28" i="28"/>
  <c r="S27" i="28"/>
  <c r="S24" i="28"/>
  <c r="B45" i="28"/>
  <c r="O41" i="28"/>
  <c r="P41" i="28"/>
  <c r="U39" i="28"/>
  <c r="P35" i="28"/>
  <c r="U40" i="28"/>
  <c r="P33" i="28"/>
  <c r="U41" i="28"/>
  <c r="P31" i="28"/>
  <c r="U42" i="28"/>
  <c r="P32" i="28"/>
  <c r="U43" i="28"/>
  <c r="P34" i="28"/>
  <c r="U44" i="28"/>
  <c r="U45" i="28"/>
  <c r="T39" i="28"/>
  <c r="T40" i="28"/>
  <c r="T41" i="28"/>
  <c r="T42" i="28"/>
  <c r="T43" i="28"/>
  <c r="T44" i="28"/>
  <c r="T45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B41" i="28"/>
  <c r="P38" i="28"/>
  <c r="O43" i="9"/>
  <c r="O45" i="9"/>
  <c r="T38" i="9"/>
  <c r="T19" i="9"/>
  <c r="T19" i="28"/>
  <c r="O43" i="28"/>
  <c r="O45" i="28"/>
  <c r="T38" i="28"/>
</calcChain>
</file>

<file path=xl/comments1.xml><?xml version="1.0" encoding="utf-8"?>
<comments xmlns="http://schemas.openxmlformats.org/spreadsheetml/2006/main">
  <authors>
    <author>Kaj</author>
    <author>www.statistikdatabasen.scb.se</author>
  </authors>
  <commentList>
    <comment ref="N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El till elpannor och värmepumpar.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<sst xmlns="http://schemas.openxmlformats.org/spreadsheetml/2006/main" count="819" uniqueCount="71">
  <si>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</si>
  <si>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</si>
  <si>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</si>
  <si>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</si>
  <si>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</si>
  <si>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</si>
  <si>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</si>
  <si>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</si>
  <si>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</si>
  <si>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</si>
  <si>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</si>
  <si>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</si>
  <si>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</si>
  <si>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</si>
  <si>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</si>
  <si>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</si>
  <si>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</si>
  <si>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</si>
  <si>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</si>
  <si>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</si>
  <si>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</si>
  <si>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</si>
  <si>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</si>
  <si>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</si>
  <si>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</si>
  <si>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</si>
  <si>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</si>
  <si>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</si>
  <si>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</si>
  <si>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</si>
  <si>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</si>
  <si>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</si>
  <si>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</si>
  <si>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</si>
  <si>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</si>
  <si>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</si>
  <si>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industri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</si>
  <si>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</si>
  <si>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</si>
  <si>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</si>
  <si>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</si>
  <si>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</si>
  <si>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</si>
  <si>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</si>
  <si>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</si>
  <si>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</si>
  <si>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</si>
  <si>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</si>
  <si>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</si>
  <si>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</si>
  <si>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</si>
  <si>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</si>
  <si>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</si>
  <si>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</si>
  <si>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</si>
  <si>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</si>
  <si>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</si>
  <si>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</si>
  <si>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Biobränslen</t>
  </si>
  <si>
    <t>Jämtlands län</t>
  </si>
  <si>
    <t>2303 Ragunda</t>
  </si>
  <si>
    <t>2305 Bräcke</t>
  </si>
  <si>
    <t>2309 Krokom</t>
  </si>
  <si>
    <t>2313 Strömsund</t>
  </si>
  <si>
    <t>2321 Åre</t>
  </si>
  <si>
    <t>2326 Berg</t>
  </si>
  <si>
    <t>2361 Härjedalen</t>
  </si>
  <si>
    <t>2380 Östersund</t>
  </si>
  <si>
    <t>RT-flis</t>
  </si>
  <si>
    <t>koll</t>
  </si>
  <si>
    <t>solceller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</si>
</sst>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3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8"/>
      <color rgb="FF000000"/>
      <name val="Tahoma"/>
      <family val="2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</font>
    <font>
      <u/>
      <sz val="12"/>
      <color indexed="8"/>
      <name val="Calibri"/>
      <family val="2"/>
    </font>
    <font>
      <u/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indexed="8"/>
      <name val="Calibri"/>
      <scheme val="minor"/>
    </font>
    <font>
      <i/>
      <sz val="12"/>
      <color theme="1"/>
      <name val="Calibri"/>
      <scheme val="minor"/>
    </font>
    <font>
      <u/>
      <sz val="12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rgb="FF000000"/>
      <name val="Calibri"/>
      <family val="2"/>
    </font>
    <font>
      <u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1" applyFont="1" applyFill="1" applyProtection="1"/>
    <xf numFmtId="0" fontId="4" fillId="0" borderId="0" xfId="1" applyFill="1" applyProtection="1"/>
    <xf numFmtId="0" fontId="6" fillId="0" borderId="0" xfId="1" applyFont="1"/>
    <xf numFmtId="0" fontId="7" fillId="0" borderId="0" xfId="0" applyFont="1" applyFill="1" applyProtection="1"/>
    <xf numFmtId="0" fontId="7" fillId="0" borderId="0" xfId="1" applyFont="1" applyFill="1" applyProtection="1"/>
    <xf numFmtId="3" fontId="4" fillId="0" borderId="0" xfId="1" applyNumberFormat="1"/>
    <xf numFmtId="0" fontId="4" fillId="0" borderId="0" xfId="1"/>
    <xf numFmtId="3" fontId="0" fillId="0" borderId="0" xfId="0" applyNumberFormat="1" applyFill="1" applyProtection="1"/>
    <xf numFmtId="3" fontId="4" fillId="0" borderId="0" xfId="1" applyNumberFormat="1" applyFill="1" applyProtection="1"/>
    <xf numFmtId="3" fontId="8" fillId="0" borderId="0" xfId="1" applyNumberFormat="1" applyFont="1" applyFill="1" applyProtection="1"/>
    <xf numFmtId="164" fontId="4" fillId="0" borderId="0" xfId="1" applyNumberFormat="1"/>
    <xf numFmtId="4" fontId="4" fillId="0" borderId="0" xfId="1" applyNumberFormat="1"/>
    <xf numFmtId="165" fontId="4" fillId="0" borderId="0" xfId="1" applyNumberFormat="1"/>
    <xf numFmtId="10" fontId="4" fillId="0" borderId="0" xfId="1" applyNumberFormat="1"/>
    <xf numFmtId="3" fontId="0" fillId="0" borderId="0" xfId="0" applyNumberFormat="1"/>
    <xf numFmtId="3" fontId="0" fillId="0" borderId="0" xfId="0" applyNumberFormat="1" applyAlignment="1">
      <alignment horizontal="right"/>
    </xf>
    <xf numFmtId="165" fontId="9" fillId="0" borderId="0" xfId="1" applyNumberFormat="1" applyFont="1"/>
    <xf numFmtId="165" fontId="6" fillId="0" borderId="0" xfId="1" applyNumberFormat="1" applyFont="1"/>
    <xf numFmtId="166" fontId="4" fillId="0" borderId="0" xfId="1" applyNumberFormat="1"/>
    <xf numFmtId="2" fontId="4" fillId="0" borderId="0" xfId="1" applyNumberFormat="1"/>
    <xf numFmtId="0" fontId="10" fillId="0" borderId="0" xfId="1" applyFont="1"/>
    <xf numFmtId="3" fontId="10" fillId="0" borderId="0" xfId="1" applyNumberFormat="1" applyFont="1"/>
    <xf numFmtId="3" fontId="9" fillId="0" borderId="0" xfId="1" applyNumberFormat="1" applyFont="1"/>
    <xf numFmtId="3" fontId="9" fillId="2" borderId="0" xfId="1" applyNumberFormat="1" applyFont="1" applyFill="1"/>
    <xf numFmtId="3" fontId="11" fillId="2" borderId="0" xfId="1" applyNumberFormat="1" applyFont="1" applyFill="1"/>
    <xf numFmtId="3" fontId="4" fillId="2" borderId="0" xfId="1" applyNumberFormat="1" applyFill="1"/>
    <xf numFmtId="0" fontId="0" fillId="0" borderId="0" xfId="0" applyFill="1" applyProtection="1"/>
    <xf numFmtId="1" fontId="4" fillId="0" borderId="0" xfId="1" applyNumberFormat="1"/>
    <xf numFmtId="165" fontId="9" fillId="0" borderId="0" xfId="2" applyNumberFormat="1" applyFont="1"/>
    <xf numFmtId="165" fontId="3" fillId="0" borderId="0" xfId="2" applyNumberFormat="1" applyFont="1"/>
    <xf numFmtId="3" fontId="11" fillId="0" borderId="0" xfId="1" applyNumberFormat="1" applyFont="1"/>
    <xf numFmtId="9" fontId="11" fillId="0" borderId="0" xfId="2" applyFont="1"/>
    <xf numFmtId="0" fontId="4" fillId="0" borderId="0" xfId="1" applyAlignment="1">
      <alignment horizontal="right"/>
    </xf>
    <xf numFmtId="3" fontId="4" fillId="0" borderId="0" xfId="1" applyNumberFormat="1" applyAlignment="1">
      <alignment horizontal="right"/>
    </xf>
    <xf numFmtId="9" fontId="11" fillId="0" borderId="0" xfId="2" applyNumberFormat="1" applyFont="1"/>
    <xf numFmtId="9" fontId="3" fillId="0" borderId="0" xfId="2" applyFont="1"/>
    <xf numFmtId="0" fontId="13" fillId="0" borderId="0" xfId="0" applyFont="1"/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3" fontId="16" fillId="0" borderId="0" xfId="1" applyNumberFormat="1" applyFont="1" applyFill="1" applyProtection="1"/>
    <xf numFmtId="0" fontId="16" fillId="0" borderId="0" xfId="1" applyFont="1" applyFill="1" applyProtection="1"/>
    <xf numFmtId="165" fontId="4" fillId="0" borderId="0" xfId="1" applyNumberFormat="1" applyFill="1" applyProtection="1"/>
    <xf numFmtId="3" fontId="15" fillId="0" borderId="0" xfId="0" applyNumberFormat="1" applyFont="1"/>
    <xf numFmtId="165" fontId="2" fillId="0" borderId="0" xfId="2" applyNumberFormat="1" applyFont="1"/>
    <xf numFmtId="3" fontId="0" fillId="0" borderId="0" xfId="1" applyNumberFormat="1" applyFont="1"/>
    <xf numFmtId="0" fontId="14" fillId="0" borderId="0" xfId="3" applyFont="1"/>
    <xf numFmtId="9" fontId="2" fillId="0" borderId="0" xfId="2" applyFont="1"/>
    <xf numFmtId="0" fontId="4" fillId="0" borderId="0" xfId="1" applyFont="1" applyFill="1" applyProtection="1"/>
    <xf numFmtId="9" fontId="4" fillId="0" borderId="0" xfId="4" applyFont="1"/>
    <xf numFmtId="0" fontId="4" fillId="0" borderId="0" xfId="1" applyFont="1"/>
    <xf numFmtId="3" fontId="4" fillId="0" borderId="0" xfId="1" applyNumberFormat="1" applyFont="1"/>
    <xf numFmtId="3" fontId="4" fillId="0" borderId="0" xfId="1" applyNumberFormat="1" applyFont="1" applyFill="1" applyProtection="1"/>
    <xf numFmtId="164" fontId="4" fillId="0" borderId="0" xfId="1" applyNumberFormat="1" applyFill="1" applyProtection="1"/>
    <xf numFmtId="4" fontId="4" fillId="0" borderId="0" xfId="1" applyNumberFormat="1" applyFill="1" applyProtection="1"/>
    <xf numFmtId="3" fontId="20" fillId="0" borderId="0" xfId="0" applyNumberFormat="1" applyFont="1" applyFill="1" applyAlignment="1" applyProtection="1">
      <alignment horizontal="right"/>
    </xf>
    <xf numFmtId="3" fontId="21" fillId="0" borderId="0" xfId="1" applyNumberFormat="1" applyFont="1"/>
    <xf numFmtId="9" fontId="6" fillId="0" borderId="0" xfId="4" applyFont="1"/>
    <xf numFmtId="9" fontId="4" fillId="0" borderId="0" xfId="4" applyFont="1" applyFill="1" applyProtection="1"/>
    <xf numFmtId="3" fontId="22" fillId="0" borderId="0" xfId="1" applyNumberFormat="1" applyFont="1"/>
    <xf numFmtId="3" fontId="23" fillId="0" borderId="0" xfId="0" applyNumberFormat="1" applyFont="1" applyFill="1" applyProtection="1"/>
    <xf numFmtId="3" fontId="20" fillId="0" borderId="0" xfId="0" applyNumberFormat="1" applyFont="1" applyFill="1" applyProtection="1"/>
    <xf numFmtId="3" fontId="6" fillId="0" borderId="0" xfId="1" applyNumberFormat="1" applyFont="1"/>
    <xf numFmtId="0" fontId="24" fillId="0" borderId="0" xfId="1" applyFont="1"/>
    <xf numFmtId="0" fontId="25" fillId="0" borderId="0" xfId="0" applyFont="1" applyFill="1" applyProtection="1"/>
    <xf numFmtId="3" fontId="26" fillId="0" borderId="0" xfId="0" applyNumberFormat="1" applyFont="1" applyFill="1" applyProtection="1"/>
    <xf numFmtId="3" fontId="26" fillId="0" borderId="0" xfId="0" applyNumberFormat="1" applyFont="1" applyFill="1" applyAlignment="1" applyProtection="1">
      <alignment horizontal="right"/>
    </xf>
    <xf numFmtId="3" fontId="0" fillId="0" borderId="0" xfId="0" applyNumberFormat="1" applyFont="1" applyFill="1" applyProtection="1"/>
    <xf numFmtId="3" fontId="27" fillId="0" borderId="0" xfId="0" applyNumberFormat="1" applyFont="1" applyFill="1" applyProtection="1"/>
    <xf numFmtId="3" fontId="28" fillId="0" borderId="0" xfId="0" applyNumberFormat="1" applyFont="1"/>
    <xf numFmtId="0" fontId="29" fillId="0" borderId="0" xfId="1" applyFont="1" applyFill="1" applyProtection="1"/>
    <xf numFmtId="3" fontId="27" fillId="0" borderId="0" xfId="0" applyNumberFormat="1" applyFont="1" applyFill="1" applyAlignment="1" applyProtection="1">
      <alignment horizontal="right"/>
    </xf>
    <xf numFmtId="0" fontId="30" fillId="0" borderId="0" xfId="1" applyFont="1" applyFill="1" applyProtection="1"/>
  </cellXfs>
  <cellStyles count="5">
    <cellStyle name="Normal" xfId="0" builtinId="0"/>
    <cellStyle name="Normal 2" xfId="1"/>
    <cellStyle name="Normal 3" xfId="3"/>
    <cellStyle name="Percent 2" xfId="2"/>
    <cellStyle name="Procent" xfId="4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6.vml"/><Relationship Id="rId3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9.vml"/><Relationship Id="rId3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A1:AV74"/>
  <sheetViews>
    <sheetView tabSelected="1" workbookViewId="0">
      <selection activeCell="A5" sqref="A5"/>
    </sheetView>
  </sheetViews>
  <sheetFormatPr baseColWidth="10" defaultColWidth="8.83203125" defaultRowHeight="15" x14ac:dyDescent="0.2"/>
  <cols>
    <col min="1" max="1" width="25.5" style="2" customWidth="1"/>
    <col min="2" max="2" width="12" style="2" customWidth="1"/>
    <col min="3" max="3" width="11.5" style="2" customWidth="1"/>
    <col min="4" max="11" width="8.83203125" style="2"/>
    <col min="12" max="12" width="8.33203125" style="2" customWidth="1"/>
    <col min="13" max="13" width="5.83203125" style="2" customWidth="1"/>
    <col min="14" max="14" width="9.5" style="2" customWidth="1"/>
    <col min="15" max="15" width="9.83203125" style="2" customWidth="1"/>
    <col min="16" max="16" width="10.1640625" style="2" customWidth="1"/>
    <col min="17" max="17" width="9.5" style="2" customWidth="1"/>
    <col min="18" max="20" width="8.83203125" style="2"/>
    <col min="21" max="21" width="10.1640625" style="2" bestFit="1" customWidth="1"/>
    <col min="22" max="16384" width="8.832031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37" t="s">
        <v>59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/>
      <c r="J3" s="6"/>
      <c r="K3" s="6"/>
      <c r="L3" s="6"/>
      <c r="M3" s="6"/>
      <c r="N3" s="6"/>
      <c r="O3" s="7" t="s">
        <v>10</v>
      </c>
      <c r="P3" s="3"/>
      <c r="Q3" s="3"/>
      <c r="R3" s="3"/>
      <c r="S3" s="3"/>
      <c r="T3" s="3"/>
      <c r="U3" s="3"/>
    </row>
    <row r="4" spans="1:21" ht="16" x14ac:dyDescent="0.2">
      <c r="A4" s="5" t="s">
        <v>70</v>
      </c>
      <c r="B4" s="39">
        <f>SUM(Ragunda:Östersund!B4)</f>
        <v>1760</v>
      </c>
      <c r="C4" s="38"/>
      <c r="D4" s="9"/>
      <c r="P4" s="3"/>
      <c r="Q4" s="3"/>
      <c r="R4" s="3"/>
      <c r="S4" s="3"/>
      <c r="T4" s="3"/>
      <c r="U4" s="3"/>
    </row>
    <row r="5" spans="1:21" ht="16" x14ac:dyDescent="0.2">
      <c r="A5" s="5"/>
      <c r="C5" s="27"/>
      <c r="D5" s="27"/>
      <c r="E5" s="27"/>
      <c r="F5" s="27"/>
      <c r="G5" s="27"/>
      <c r="P5" s="3"/>
      <c r="S5" s="3"/>
      <c r="T5" s="3"/>
      <c r="U5" s="3"/>
    </row>
    <row r="6" spans="1:21" ht="16" x14ac:dyDescent="0.2">
      <c r="A6" s="4" t="s">
        <v>11</v>
      </c>
      <c r="B6" s="39">
        <f>SUM(Ragunda:Östersund!B6)</f>
        <v>176131</v>
      </c>
      <c r="C6" s="39">
        <f>SUM(Ragunda:Östersund!C6)</f>
        <v>0</v>
      </c>
      <c r="D6" s="39">
        <f>SUM(Ragunda:Östersund!D6)</f>
        <v>0</v>
      </c>
      <c r="E6" s="39">
        <f>SUM(Ragunda:Östersund!E6)</f>
        <v>0</v>
      </c>
      <c r="F6" s="39">
        <f>SUM(Ragunda:Östersund!F6)</f>
        <v>0</v>
      </c>
      <c r="G6" s="39">
        <f>SUM(Ragunda:Östersund!G6)</f>
        <v>0</v>
      </c>
      <c r="H6" s="39">
        <f>SUM(Ragunda:Östersund!H6)</f>
        <v>0</v>
      </c>
      <c r="I6" s="39"/>
      <c r="J6" s="39"/>
      <c r="K6" s="39"/>
      <c r="L6" s="39"/>
      <c r="M6" s="39"/>
      <c r="N6" s="39"/>
      <c r="O6" s="39">
        <f>SUM(C6:N6)</f>
        <v>0</v>
      </c>
      <c r="P6" s="3"/>
      <c r="S6" s="3"/>
      <c r="T6" s="3"/>
      <c r="U6" s="3"/>
    </row>
    <row r="7" spans="1:21" ht="16" x14ac:dyDescent="0.2">
      <c r="A7" s="4" t="s">
        <v>12</v>
      </c>
      <c r="B7" s="39">
        <f>SUM(Ragunda:Östersund!B7)</f>
        <v>0</v>
      </c>
      <c r="C7" s="39">
        <f>SUM(Ragunda:Östersund!C7)</f>
        <v>0</v>
      </c>
      <c r="D7" s="39">
        <f>SUM(Ragunda:Östersund!D7)</f>
        <v>0</v>
      </c>
      <c r="E7" s="39">
        <f>SUM(Ragunda:Östersund!E7)</f>
        <v>0</v>
      </c>
      <c r="F7" s="39">
        <f>SUM(Ragunda:Östersund!F7)</f>
        <v>0</v>
      </c>
      <c r="G7" s="39">
        <f>SUM(Ragunda:Östersund!G7)</f>
        <v>0</v>
      </c>
      <c r="H7" s="39">
        <f>SUM(Ragunda:Östersund!H7)</f>
        <v>0</v>
      </c>
      <c r="I7" s="39"/>
      <c r="J7" s="39"/>
      <c r="K7" s="39"/>
      <c r="L7" s="39"/>
      <c r="M7" s="39"/>
      <c r="N7" s="39"/>
      <c r="O7" s="39">
        <f>SUM(C7:N7)</f>
        <v>0</v>
      </c>
      <c r="P7" s="3"/>
      <c r="S7" s="3"/>
      <c r="T7" s="3"/>
      <c r="U7" s="3"/>
    </row>
    <row r="8" spans="1:21" ht="16" x14ac:dyDescent="0.2">
      <c r="A8" s="4" t="s">
        <v>13</v>
      </c>
      <c r="B8" s="39">
        <f>SUM(Ragunda:Östersund!B8)</f>
        <v>13786189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  <c r="P8" s="3"/>
      <c r="S8" s="3"/>
      <c r="T8" s="3"/>
      <c r="U8" s="3"/>
    </row>
    <row r="9" spans="1:21" ht="16" x14ac:dyDescent="0.2">
      <c r="A9" s="4" t="s">
        <v>14</v>
      </c>
      <c r="B9" s="39">
        <f>SUM(Ragunda:Östersund!B9)</f>
        <v>2313120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9"/>
      <c r="P9" s="3"/>
      <c r="S9" s="3"/>
      <c r="T9" s="3"/>
      <c r="U9" s="3"/>
    </row>
    <row r="10" spans="1:21" ht="16" x14ac:dyDescent="0.2">
      <c r="A10" s="4" t="s">
        <v>15</v>
      </c>
      <c r="B10" s="39">
        <f>SUM(B4:B9)</f>
        <v>16277200</v>
      </c>
      <c r="C10" s="39">
        <f t="shared" ref="C10:G10" si="0">SUM(C6:C9)</f>
        <v>0</v>
      </c>
      <c r="D10" s="39">
        <f t="shared" si="0"/>
        <v>0</v>
      </c>
      <c r="E10" s="39">
        <f t="shared" si="0"/>
        <v>0</v>
      </c>
      <c r="F10" s="39">
        <f t="shared" si="0"/>
        <v>0</v>
      </c>
      <c r="G10" s="39">
        <f t="shared" si="0"/>
        <v>0</v>
      </c>
      <c r="H10" s="39">
        <f>SUM(H6:H9)</f>
        <v>0</v>
      </c>
      <c r="I10" s="39"/>
      <c r="J10" s="39"/>
      <c r="K10" s="39"/>
      <c r="L10" s="39"/>
      <c r="M10" s="39"/>
      <c r="N10" s="39"/>
      <c r="O10" s="39">
        <f>SUM(O6:O9)</f>
        <v>0</v>
      </c>
      <c r="P10" s="3"/>
      <c r="S10" s="3"/>
      <c r="T10" s="3"/>
      <c r="U10" s="3"/>
    </row>
    <row r="11" spans="1:21" ht="16" x14ac:dyDescent="0.2">
      <c r="A11" s="44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3"/>
      <c r="S11" s="3"/>
      <c r="T11" s="3"/>
      <c r="U11" s="3"/>
    </row>
    <row r="12" spans="1:21" ht="16" x14ac:dyDescent="0.2"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S12" s="3"/>
      <c r="T12" s="3"/>
      <c r="U12" s="3"/>
    </row>
    <row r="13" spans="1:21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S13" s="3"/>
      <c r="T13" s="3"/>
      <c r="U13" s="3"/>
    </row>
    <row r="14" spans="1:21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S14" s="3"/>
      <c r="T14" s="3"/>
      <c r="U14" s="3"/>
    </row>
    <row r="15" spans="1:21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 t="s">
        <v>68</v>
      </c>
      <c r="M15" s="6" t="s">
        <v>8</v>
      </c>
      <c r="N15" s="6" t="s">
        <v>9</v>
      </c>
      <c r="O15" s="9" t="s">
        <v>10</v>
      </c>
      <c r="P15" s="3"/>
      <c r="S15" s="3"/>
      <c r="T15" s="3"/>
      <c r="U15" s="3"/>
    </row>
    <row r="16" spans="1:21" ht="16" x14ac:dyDescent="0.2">
      <c r="B16" s="9"/>
      <c r="C16" s="27"/>
      <c r="D16" s="27"/>
      <c r="E16" s="27"/>
      <c r="F16" s="27"/>
      <c r="G16" s="27"/>
      <c r="H16" s="9"/>
      <c r="I16" s="9"/>
      <c r="J16" s="9"/>
      <c r="K16" s="9"/>
      <c r="L16" s="9"/>
      <c r="M16" s="9"/>
      <c r="N16" s="9"/>
      <c r="O16" s="9"/>
      <c r="P16" s="3"/>
      <c r="S16" s="3"/>
      <c r="T16" s="3"/>
      <c r="U16" s="3"/>
    </row>
    <row r="17" spans="1:21" ht="16" x14ac:dyDescent="0.2">
      <c r="A17" s="4" t="s">
        <v>19</v>
      </c>
      <c r="B17" s="39">
        <f>SUM(Ragunda:Östersund!B17)</f>
        <v>485300</v>
      </c>
      <c r="C17" s="39">
        <f>SUM(Ragunda:Östersund!C17)</f>
        <v>0</v>
      </c>
      <c r="D17" s="39">
        <f>SUM(Ragunda:Östersund!D17)</f>
        <v>0</v>
      </c>
      <c r="E17" s="39">
        <f>SUM(Ragunda:Östersund!E17)</f>
        <v>0</v>
      </c>
      <c r="F17" s="39">
        <f>SUM(Ragunda:Östersund!F17)</f>
        <v>0</v>
      </c>
      <c r="G17" s="39">
        <f>SUM(Ragunda:Östersund!G17)</f>
        <v>556000</v>
      </c>
      <c r="H17" s="39">
        <f>SUM(Ragunda:Östersund!H17)</f>
        <v>0</v>
      </c>
      <c r="I17" s="39">
        <f>SUM(Ragunda:Östersund!I17)</f>
        <v>0</v>
      </c>
      <c r="J17" s="39">
        <f>SUM(Ragunda:Östersund!J17)</f>
        <v>54200</v>
      </c>
      <c r="K17" s="39">
        <f>SUM(Ragunda:Östersund!K17)</f>
        <v>0</v>
      </c>
      <c r="L17" s="39">
        <f>SUM(Ragunda:Östersund!L17)</f>
        <v>107000</v>
      </c>
      <c r="M17" s="39">
        <f>SUM(Ragunda:Östersund!M17)</f>
        <v>0</v>
      </c>
      <c r="N17" s="39">
        <f>SUM(Ragunda:Östersund!N17)</f>
        <v>0</v>
      </c>
      <c r="O17" s="39">
        <f>SUM(C17:N17)</f>
        <v>717200</v>
      </c>
      <c r="P17" s="3"/>
      <c r="S17" s="3"/>
      <c r="T17" s="3"/>
      <c r="U17" s="3"/>
    </row>
    <row r="18" spans="1:21" ht="16" x14ac:dyDescent="0.2">
      <c r="A18" s="4" t="s">
        <v>20</v>
      </c>
      <c r="B18" s="39">
        <f>SUM(Ragunda:Östersund!B18)</f>
        <v>312624.12</v>
      </c>
      <c r="C18" s="39">
        <f>SUM(Ragunda:Östersund!C18)</f>
        <v>8040</v>
      </c>
      <c r="D18" s="39">
        <f>SUM(Ragunda:Östersund!D18)</f>
        <v>0</v>
      </c>
      <c r="E18" s="39">
        <f>SUM(Ragunda:Östersund!E18)</f>
        <v>0</v>
      </c>
      <c r="F18" s="39">
        <f>SUM(Ragunda:Östersund!F18)</f>
        <v>1490</v>
      </c>
      <c r="G18" s="39">
        <f>SUM(Ragunda:Östersund!G18)</f>
        <v>328014.5294117647</v>
      </c>
      <c r="H18" s="39">
        <f>SUM(Ragunda:Östersund!H18)</f>
        <v>0</v>
      </c>
      <c r="I18" s="39">
        <f>SUM(Ragunda:Östersund!I18)</f>
        <v>0</v>
      </c>
      <c r="J18" s="39">
        <f>SUM(Ragunda:Östersund!J18)</f>
        <v>2208</v>
      </c>
      <c r="K18" s="39">
        <f>SUM(Ragunda:Östersund!K18)</f>
        <v>0</v>
      </c>
      <c r="L18" s="39">
        <f>SUM(Ragunda:Östersund!L18)</f>
        <v>0</v>
      </c>
      <c r="M18" s="39">
        <f>SUM(Ragunda:Östersund!M18)</f>
        <v>0</v>
      </c>
      <c r="N18" s="39">
        <f>SUM(Ragunda:Östersund!N18)</f>
        <v>2289.67</v>
      </c>
      <c r="O18" s="39">
        <f>SUM(C18:N18)</f>
        <v>342042.19941176468</v>
      </c>
      <c r="P18" s="3"/>
      <c r="S18" s="3"/>
      <c r="T18" s="3"/>
      <c r="U18" s="3"/>
    </row>
    <row r="19" spans="1:21" ht="16" x14ac:dyDescent="0.2">
      <c r="A19" s="4" t="s">
        <v>21</v>
      </c>
      <c r="B19" s="39">
        <f>SUM(Ragunda:Östersund!B19)</f>
        <v>389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  <c r="O19" s="39"/>
      <c r="P19" s="3"/>
      <c r="Q19" s="3"/>
      <c r="R19" s="3"/>
      <c r="S19" s="3" t="s">
        <v>25</v>
      </c>
      <c r="T19" s="11">
        <f>O42/1000</f>
        <v>4549.9504394117648</v>
      </c>
      <c r="U19" s="3"/>
    </row>
    <row r="20" spans="1:21" ht="16" x14ac:dyDescent="0.2">
      <c r="A20" s="4" t="s">
        <v>22</v>
      </c>
      <c r="B20" s="39">
        <f>SUM(Ragunda:Östersund!B20)</f>
        <v>316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  <c r="O20" s="39"/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39">
        <f>SUM(Ragunda:Östersund!B21)</f>
        <v>9928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39">
        <f>SUM(Ragunda:Östersund!B22)</f>
        <v>0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"/>
      <c r="Q22" s="3"/>
      <c r="R22" s="3"/>
      <c r="S22" s="53" t="s">
        <v>9</v>
      </c>
      <c r="T22" s="11">
        <f>N42/1000</f>
        <v>1627.9259099999999</v>
      </c>
      <c r="U22" s="13">
        <f>N43</f>
        <v>0.3577898114886861</v>
      </c>
    </row>
    <row r="23" spans="1:21" ht="16" x14ac:dyDescent="0.2">
      <c r="A23" s="4" t="s">
        <v>15</v>
      </c>
      <c r="B23" s="39">
        <f>SUM(B17:B22)</f>
        <v>808557.12</v>
      </c>
      <c r="C23" s="39">
        <f t="shared" ref="C23:O23" si="1">SUM(C17:C22)</f>
        <v>8040</v>
      </c>
      <c r="D23" s="39">
        <f t="shared" si="1"/>
        <v>0</v>
      </c>
      <c r="E23" s="39">
        <f t="shared" si="1"/>
        <v>0</v>
      </c>
      <c r="F23" s="39">
        <f t="shared" si="1"/>
        <v>1490</v>
      </c>
      <c r="G23" s="39">
        <f t="shared" si="1"/>
        <v>884014.5294117647</v>
      </c>
      <c r="H23" s="39">
        <f t="shared" si="1"/>
        <v>0</v>
      </c>
      <c r="I23" s="39">
        <f t="shared" si="1"/>
        <v>0</v>
      </c>
      <c r="J23" s="39">
        <f t="shared" si="1"/>
        <v>56408</v>
      </c>
      <c r="K23" s="39">
        <f t="shared" si="1"/>
        <v>0</v>
      </c>
      <c r="L23" s="39">
        <f t="shared" si="1"/>
        <v>107000</v>
      </c>
      <c r="M23" s="39">
        <f t="shared" si="1"/>
        <v>0</v>
      </c>
      <c r="N23" s="39">
        <f t="shared" si="1"/>
        <v>2289.67</v>
      </c>
      <c r="O23" s="39">
        <f t="shared" si="1"/>
        <v>1059242.1994117647</v>
      </c>
      <c r="P23" s="3"/>
      <c r="Q23" s="3"/>
      <c r="R23" s="3"/>
      <c r="S23" s="53" t="s">
        <v>58</v>
      </c>
      <c r="T23" s="11">
        <f>G42/1000</f>
        <v>1212.3035294117649</v>
      </c>
      <c r="U23" s="13">
        <f>G43</f>
        <v>0.26644323835063488</v>
      </c>
    </row>
    <row r="24" spans="1:21" ht="15.75" x14ac:dyDescent="0.25">
      <c r="A24" s="44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3"/>
      <c r="Q24" s="3"/>
      <c r="R24" s="3"/>
      <c r="S24" s="54" t="str">
        <f>J29</f>
        <v>Torv</v>
      </c>
      <c r="T24" s="11">
        <f>J42/1000</f>
        <v>56.408000000000001</v>
      </c>
      <c r="U24" s="13">
        <f>J43</f>
        <v>1.2397497676324721E-2</v>
      </c>
    </row>
    <row r="25" spans="1:21" ht="16" x14ac:dyDescent="0.2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"/>
      <c r="R25" s="3"/>
      <c r="S25" s="53" t="s">
        <v>30</v>
      </c>
      <c r="T25" s="11">
        <f>F42/1000</f>
        <v>114.425</v>
      </c>
      <c r="U25" s="13">
        <f>F43</f>
        <v>2.5148625578170759E-2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3" t="s">
        <v>3</v>
      </c>
      <c r="T26" s="11">
        <f>E42/1000</f>
        <v>2.3980000000000001</v>
      </c>
      <c r="U26" s="13">
        <f>E43</f>
        <v>5.2703870776887461E-4</v>
      </c>
    </row>
    <row r="27" spans="1:21" ht="19" x14ac:dyDescent="0.25">
      <c r="A27" s="1"/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5" t="str">
        <f>D29</f>
        <v>Kol och koks</v>
      </c>
      <c r="T27" s="56">
        <f>D42/1000</f>
        <v>0</v>
      </c>
      <c r="U27" s="45">
        <f>D43</f>
        <v>0</v>
      </c>
    </row>
    <row r="28" spans="1:21" ht="15.75" x14ac:dyDescent="0.25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5" t="str">
        <f>K29</f>
        <v>Avfall</v>
      </c>
      <c r="T28" s="56">
        <f>K42/1000</f>
        <v>0</v>
      </c>
      <c r="U28" s="45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4" t="str">
        <f>I29</f>
        <v>Avlutar</v>
      </c>
      <c r="T29" s="11">
        <f>I42/1000</f>
        <v>0</v>
      </c>
      <c r="U29" s="13">
        <f>I43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4" t="str">
        <f>H29</f>
        <v>Biogas</v>
      </c>
      <c r="T30" s="11">
        <f>H42/1000</f>
        <v>4.3940000000000001</v>
      </c>
      <c r="U30" s="13">
        <f>H43</f>
        <v>9.6572480481085701E-4</v>
      </c>
    </row>
    <row r="31" spans="1:21" ht="16" x14ac:dyDescent="0.2">
      <c r="A31" s="5" t="s">
        <v>32</v>
      </c>
      <c r="B31" s="39">
        <f>SUM(Ragunda:Östersund!B31)</f>
        <v>0</v>
      </c>
      <c r="C31" s="39">
        <f>SUM(Ragunda:Östersund!C31)</f>
        <v>34601</v>
      </c>
      <c r="D31" s="39">
        <f>SUM(Ragunda:Östersund!D31)</f>
        <v>0</v>
      </c>
      <c r="E31" s="39">
        <f>SUM(Ragunda:Östersund!E31)</f>
        <v>0</v>
      </c>
      <c r="F31" s="39">
        <f>SUM(Ragunda:Östersund!F31)</f>
        <v>3553</v>
      </c>
      <c r="G31" s="39">
        <f>SUM(Ragunda:Östersund!G31)</f>
        <v>0</v>
      </c>
      <c r="H31" s="39">
        <f>SUM(Ragunda:Östersund!H31)</f>
        <v>0</v>
      </c>
      <c r="I31" s="39">
        <f>SUM(Ragunda:Östersund!I31)</f>
        <v>0</v>
      </c>
      <c r="J31" s="39">
        <f>SUM(Ragunda:Östersund!J31)</f>
        <v>0</v>
      </c>
      <c r="K31" s="39">
        <f>SUM(Ragunda:Östersund!K31)</f>
        <v>0</v>
      </c>
      <c r="L31" s="39">
        <f>SUM(Ragunda:Östersund!L31)</f>
        <v>0</v>
      </c>
      <c r="M31" s="39">
        <f>SUM(Ragunda:Östersund!M31)</f>
        <v>0</v>
      </c>
      <c r="N31" s="39">
        <f>SUM(Ragunda:Östersund!N31)</f>
        <v>101656</v>
      </c>
      <c r="O31" s="39">
        <f>SUM(B31:N31)</f>
        <v>139810</v>
      </c>
      <c r="P31" s="17">
        <f>O31/O$39</f>
        <v>3.2927627468618451E-2</v>
      </c>
      <c r="Q31" s="18" t="s">
        <v>33</v>
      </c>
      <c r="R31" s="3"/>
      <c r="S31" s="55" t="str">
        <f>L15</f>
        <v>RT-flis</v>
      </c>
      <c r="T31" s="11">
        <f>L42/1000</f>
        <v>107</v>
      </c>
      <c r="U31" s="45">
        <f>L43</f>
        <v>2.3516739671088235E-2</v>
      </c>
    </row>
    <row r="32" spans="1:21" ht="16" x14ac:dyDescent="0.2">
      <c r="A32" s="5" t="s">
        <v>35</v>
      </c>
      <c r="B32" s="39">
        <f>SUM(Ragunda:Östersund!B32)</f>
        <v>22046.731145256166</v>
      </c>
      <c r="C32" s="39">
        <f>SUM(Ragunda:Östersund!C32)</f>
        <v>29439</v>
      </c>
      <c r="D32" s="39">
        <f>SUM(Ragunda:Östersund!D32)</f>
        <v>0</v>
      </c>
      <c r="E32" s="39">
        <f>SUM(Ragunda:Östersund!E32)</f>
        <v>2398</v>
      </c>
      <c r="F32" s="39">
        <f>SUM(Ragunda:Östersund!F32)</f>
        <v>0</v>
      </c>
      <c r="G32" s="39">
        <f>SUM(Ragunda:Östersund!G32)</f>
        <v>108970</v>
      </c>
      <c r="H32" s="39">
        <f>SUM(Ragunda:Östersund!H32)</f>
        <v>0</v>
      </c>
      <c r="I32" s="39">
        <f>SUM(Ragunda:Östersund!I32)</f>
        <v>0</v>
      </c>
      <c r="J32" s="39">
        <f>SUM(Ragunda:Östersund!J32)</f>
        <v>0</v>
      </c>
      <c r="K32" s="39">
        <f>SUM(Ragunda:Östersund!K32)</f>
        <v>0</v>
      </c>
      <c r="L32" s="39">
        <f>SUM(Ragunda:Östersund!L32)</f>
        <v>0</v>
      </c>
      <c r="M32" s="39">
        <f>SUM(Ragunda:Östersund!M32)</f>
        <v>0</v>
      </c>
      <c r="N32" s="39">
        <f>SUM(Ragunda:Östersund!N32)</f>
        <v>250787</v>
      </c>
      <c r="O32" s="39">
        <f t="shared" ref="O32:O38" si="2">SUM(B32:N32)</f>
        <v>413640.7311452562</v>
      </c>
      <c r="P32" s="17">
        <f>O32/O$39</f>
        <v>9.7419411351104768E-2</v>
      </c>
      <c r="Q32" s="18" t="s">
        <v>36</v>
      </c>
      <c r="R32" s="3"/>
      <c r="S32" s="55" t="str">
        <f>M29</f>
        <v>Övrigt</v>
      </c>
      <c r="T32" s="56">
        <f>M42</f>
        <v>0</v>
      </c>
      <c r="U32" s="45">
        <f>M43</f>
        <v>0</v>
      </c>
    </row>
    <row r="33" spans="1:48" ht="16" x14ac:dyDescent="0.2">
      <c r="A33" s="5" t="s">
        <v>37</v>
      </c>
      <c r="B33" s="39">
        <f>SUM(Ragunda:Östersund!B33)</f>
        <v>104453.96535096913</v>
      </c>
      <c r="C33" s="39">
        <f>SUM(Ragunda:Östersund!C33)</f>
        <v>14827</v>
      </c>
      <c r="D33" s="39">
        <f>SUM(Ragunda:Östersund!D33)</f>
        <v>0</v>
      </c>
      <c r="E33" s="39">
        <f>SUM(Ragunda:Östersund!E33)</f>
        <v>0</v>
      </c>
      <c r="F33" s="39">
        <f>SUM(Ragunda:Östersund!F33)</f>
        <v>0</v>
      </c>
      <c r="G33" s="39">
        <f>SUM(Ragunda:Östersund!G33)</f>
        <v>0</v>
      </c>
      <c r="H33" s="39">
        <f>SUM(Ragunda:Östersund!H33)</f>
        <v>0</v>
      </c>
      <c r="I33" s="39">
        <f>SUM(Ragunda:Östersund!I33)</f>
        <v>0</v>
      </c>
      <c r="J33" s="39">
        <f>SUM(Ragunda:Östersund!J33)</f>
        <v>0</v>
      </c>
      <c r="K33" s="39">
        <f>SUM(Ragunda:Östersund!K33)</f>
        <v>0</v>
      </c>
      <c r="L33" s="39">
        <f>SUM(Ragunda:Östersund!L33)</f>
        <v>0</v>
      </c>
      <c r="M33" s="39">
        <f>SUM(Ragunda:Östersund!M33)</f>
        <v>0</v>
      </c>
      <c r="N33" s="39">
        <f>SUM(Ragunda:Östersund!N33)</f>
        <v>234474</v>
      </c>
      <c r="O33" s="39">
        <f t="shared" si="2"/>
        <v>353754.96535096911</v>
      </c>
      <c r="P33" s="17">
        <f>O33/O$39</f>
        <v>8.3315297290971591E-2</v>
      </c>
      <c r="Q33" s="18" t="s">
        <v>38</v>
      </c>
      <c r="R33" s="3"/>
      <c r="S33" s="53" t="s">
        <v>34</v>
      </c>
      <c r="T33" s="11">
        <f>C42/1000</f>
        <v>1425.096</v>
      </c>
      <c r="U33" s="13">
        <f>C43</f>
        <v>0.31321132372251553</v>
      </c>
    </row>
    <row r="34" spans="1:48" ht="16" x14ac:dyDescent="0.2">
      <c r="A34" s="5" t="s">
        <v>39</v>
      </c>
      <c r="B34" s="39">
        <f>SUM(Ragunda:Östersund!B34)</f>
        <v>0</v>
      </c>
      <c r="C34" s="39">
        <f>SUM(Ragunda:Östersund!C34)</f>
        <v>1315625</v>
      </c>
      <c r="D34" s="39">
        <f>SUM(Ragunda:Östersund!D34)</f>
        <v>0</v>
      </c>
      <c r="E34" s="39">
        <f>SUM(Ragunda:Östersund!E34)</f>
        <v>0</v>
      </c>
      <c r="F34" s="39">
        <f>SUM(Ragunda:Östersund!F34)</f>
        <v>109382</v>
      </c>
      <c r="G34" s="39">
        <f>SUM(Ragunda:Östersund!G34)</f>
        <v>0</v>
      </c>
      <c r="H34" s="39">
        <v>4394</v>
      </c>
      <c r="I34" s="39">
        <f>SUM(Ragunda:Östersund!I34)</f>
        <v>0</v>
      </c>
      <c r="J34" s="39">
        <f>SUM(Ragunda:Östersund!J34)</f>
        <v>0</v>
      </c>
      <c r="K34" s="39">
        <f>SUM(Ragunda:Östersund!K34)</f>
        <v>0</v>
      </c>
      <c r="L34" s="39">
        <f>SUM(Ragunda:Östersund!L34)</f>
        <v>0</v>
      </c>
      <c r="M34" s="39">
        <f>SUM(Ragunda:Östersund!M34)</f>
        <v>0</v>
      </c>
      <c r="N34" s="39">
        <f>SUM(Ragunda:Östersund!N34)</f>
        <v>22012</v>
      </c>
      <c r="O34" s="39">
        <f t="shared" si="2"/>
        <v>1451413</v>
      </c>
      <c r="P34" s="17">
        <f>O34/O$39</f>
        <v>0.34183239086696166</v>
      </c>
      <c r="Q34" s="18" t="s">
        <v>40</v>
      </c>
      <c r="R34" s="3"/>
      <c r="S34" s="3"/>
      <c r="T34" s="11">
        <f>SUM(T22:T33)</f>
        <v>4549.9504394117648</v>
      </c>
      <c r="U34" s="13">
        <f>SUM(U22:U33)</f>
        <v>0.99999999999999978</v>
      </c>
    </row>
    <row r="35" spans="1:48" ht="16" x14ac:dyDescent="0.2">
      <c r="A35" s="5" t="s">
        <v>41</v>
      </c>
      <c r="B35" s="39">
        <f>SUM(Ragunda:Östersund!B35)</f>
        <v>154772.59413165355</v>
      </c>
      <c r="C35" s="39">
        <f>SUM(Ragunda:Östersund!C35)</f>
        <v>21400</v>
      </c>
      <c r="D35" s="39">
        <f>SUM(Ragunda:Östersund!D35)</f>
        <v>0</v>
      </c>
      <c r="E35" s="39">
        <f>SUM(Ragunda:Östersund!E35)</f>
        <v>0</v>
      </c>
      <c r="F35" s="39">
        <f>SUM(Ragunda:Östersund!F35)</f>
        <v>0</v>
      </c>
      <c r="G35" s="39">
        <f>SUM(Ragunda:Östersund!G35)</f>
        <v>0</v>
      </c>
      <c r="H35" s="39">
        <f>SUM(Ragunda:Östersund!H35)</f>
        <v>0</v>
      </c>
      <c r="I35" s="39">
        <f>SUM(Ragunda:Östersund!I35)</f>
        <v>0</v>
      </c>
      <c r="J35" s="39">
        <f>SUM(Ragunda:Östersund!J35)</f>
        <v>0</v>
      </c>
      <c r="K35" s="39">
        <f>SUM(Ragunda:Östersund!K35)</f>
        <v>0</v>
      </c>
      <c r="L35" s="39">
        <f>SUM(Ragunda:Östersund!L35)</f>
        <v>0</v>
      </c>
      <c r="M35" s="39">
        <f>SUM(Ragunda:Östersund!M35)</f>
        <v>0</v>
      </c>
      <c r="N35" s="39">
        <f>SUM(Ragunda:Östersund!N35)</f>
        <v>368881</v>
      </c>
      <c r="O35" s="39">
        <f t="shared" si="2"/>
        <v>545053.59413165355</v>
      </c>
      <c r="P35" s="17">
        <f>O35/O$39</f>
        <v>0.12836937056003611</v>
      </c>
      <c r="Q35" s="18" t="s">
        <v>42</v>
      </c>
      <c r="R35" s="18"/>
    </row>
    <row r="36" spans="1:48" ht="16" x14ac:dyDescent="0.2">
      <c r="A36" s="5" t="s">
        <v>43</v>
      </c>
      <c r="B36" s="39">
        <f>SUM(Ragunda:Östersund!B36)</f>
        <v>102352.88312322965</v>
      </c>
      <c r="C36" s="39">
        <f>SUM(Ragunda:Östersund!C36)</f>
        <v>1144</v>
      </c>
      <c r="D36" s="39">
        <f>SUM(Ragunda:Östersund!D36)</f>
        <v>0</v>
      </c>
      <c r="E36" s="39">
        <f>SUM(Ragunda:Östersund!E36)</f>
        <v>0</v>
      </c>
      <c r="F36" s="39">
        <f>SUM(Ragunda:Östersund!F36)</f>
        <v>0</v>
      </c>
      <c r="G36" s="39">
        <f>SUM(Ragunda:Östersund!G36)</f>
        <v>219319</v>
      </c>
      <c r="H36" s="39">
        <f>SUM(Ragunda:Östersund!H36)</f>
        <v>0</v>
      </c>
      <c r="I36" s="39">
        <f>SUM(Ragunda:Östersund!I36)</f>
        <v>0</v>
      </c>
      <c r="J36" s="39">
        <f>SUM(Ragunda:Östersund!J36)</f>
        <v>0</v>
      </c>
      <c r="K36" s="39">
        <f>SUM(Ragunda:Östersund!K36)</f>
        <v>0</v>
      </c>
      <c r="L36" s="39">
        <f>SUM(Ragunda:Östersund!L36)</f>
        <v>0</v>
      </c>
      <c r="M36" s="39">
        <f>SUM(Ragunda:Östersund!M36)</f>
        <v>0</v>
      </c>
      <c r="N36" s="39">
        <f>SUM(Ragunda:Östersund!N36)</f>
        <v>425319</v>
      </c>
      <c r="O36" s="39">
        <f t="shared" si="2"/>
        <v>748134.88312322972</v>
      </c>
      <c r="P36" s="18"/>
      <c r="Q36" s="18"/>
      <c r="R36" s="3"/>
      <c r="S36" s="7"/>
      <c r="T36" s="7"/>
      <c r="U36" s="7"/>
    </row>
    <row r="37" spans="1:48" ht="16" x14ac:dyDescent="0.2">
      <c r="A37" s="5" t="s">
        <v>44</v>
      </c>
      <c r="B37" s="39">
        <f>SUM(Ragunda:Östersund!B37)</f>
        <v>328977.3782488915</v>
      </c>
      <c r="C37" s="39">
        <f>SUM(Ragunda:Östersund!C37)</f>
        <v>20</v>
      </c>
      <c r="D37" s="39">
        <f>SUM(Ragunda:Östersund!D37)</f>
        <v>0</v>
      </c>
      <c r="E37" s="39">
        <f>SUM(Ragunda:Östersund!E37)</f>
        <v>0</v>
      </c>
      <c r="F37" s="39">
        <f>SUM(Ragunda:Östersund!F37)</f>
        <v>0</v>
      </c>
      <c r="G37" s="39">
        <f>SUM(Ragunda:Östersund!G37)</f>
        <v>0</v>
      </c>
      <c r="H37" s="39">
        <f>SUM(Ragunda:Östersund!H37)</f>
        <v>0</v>
      </c>
      <c r="I37" s="39">
        <f>SUM(Ragunda:Östersund!I37)</f>
        <v>0</v>
      </c>
      <c r="J37" s="39">
        <f>SUM(Ragunda:Östersund!J37)</f>
        <v>0</v>
      </c>
      <c r="K37" s="39">
        <f>SUM(Ragunda:Östersund!K37)</f>
        <v>0</v>
      </c>
      <c r="L37" s="39">
        <f>SUM(Ragunda:Östersund!L37)</f>
        <v>0</v>
      </c>
      <c r="M37" s="39">
        <f>SUM(Ragunda:Östersund!M37)</f>
        <v>0</v>
      </c>
      <c r="N37" s="39">
        <f>SUM(Ragunda:Östersund!N37)</f>
        <v>81960</v>
      </c>
      <c r="O37" s="39">
        <f t="shared" si="2"/>
        <v>410957.3782488915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5" t="s">
        <v>45</v>
      </c>
      <c r="B38" s="39">
        <f>SUM(Ragunda:Östersund!B38)</f>
        <v>0</v>
      </c>
      <c r="C38" s="39">
        <f>SUM(Ragunda:Östersund!C38)</f>
        <v>0</v>
      </c>
      <c r="D38" s="39">
        <f>SUM(Ragunda:Östersund!D38)</f>
        <v>0</v>
      </c>
      <c r="E38" s="39">
        <f>SUM(Ragunda:Östersund!E38)</f>
        <v>0</v>
      </c>
      <c r="F38" s="39">
        <f>SUM(Ragunda:Östersund!F38)</f>
        <v>0</v>
      </c>
      <c r="G38" s="39">
        <f>SUM(Ragunda:Östersund!G38)</f>
        <v>0</v>
      </c>
      <c r="H38" s="39">
        <f>SUM(Ragunda:Östersund!H38)</f>
        <v>0</v>
      </c>
      <c r="I38" s="39">
        <f>SUM(Ragunda:Östersund!I38)</f>
        <v>0</v>
      </c>
      <c r="J38" s="39">
        <f>SUM(Ragunda:Östersund!J38)</f>
        <v>0</v>
      </c>
      <c r="K38" s="39">
        <f>SUM(Ragunda:Östersund!K38)</f>
        <v>0</v>
      </c>
      <c r="L38" s="39">
        <f>SUM(Ragunda:Östersund!L38)</f>
        <v>0</v>
      </c>
      <c r="M38" s="39">
        <f>SUM(Ragunda:Östersund!M38)</f>
        <v>0</v>
      </c>
      <c r="N38" s="39">
        <f>SUM(Ragunda:Östersund!N38)</f>
        <v>183214</v>
      </c>
      <c r="O38" s="39">
        <f t="shared" si="2"/>
        <v>183214</v>
      </c>
      <c r="P38" s="18">
        <f>SUM(P31:P35)</f>
        <v>0.68386409753769262</v>
      </c>
      <c r="Q38" s="18"/>
      <c r="R38" s="3"/>
      <c r="S38" s="7" t="s">
        <v>46</v>
      </c>
      <c r="T38" s="19">
        <f>O45/1000</f>
        <v>229.41780799999995</v>
      </c>
      <c r="U38" s="7"/>
    </row>
    <row r="39" spans="1:48" ht="16" x14ac:dyDescent="0.2">
      <c r="A39" s="5" t="s">
        <v>15</v>
      </c>
      <c r="B39" s="39">
        <f>SUM(B31:B38)</f>
        <v>712603.55200000003</v>
      </c>
      <c r="C39" s="39">
        <f t="shared" ref="C39:O39" si="3">SUM(C31:C38)</f>
        <v>1417056</v>
      </c>
      <c r="D39" s="39">
        <f t="shared" si="3"/>
        <v>0</v>
      </c>
      <c r="E39" s="39">
        <f t="shared" si="3"/>
        <v>2398</v>
      </c>
      <c r="F39" s="39">
        <f t="shared" si="3"/>
        <v>112935</v>
      </c>
      <c r="G39" s="39">
        <f t="shared" si="3"/>
        <v>328289</v>
      </c>
      <c r="H39" s="39">
        <f t="shared" si="3"/>
        <v>4394</v>
      </c>
      <c r="I39" s="39">
        <f t="shared" si="3"/>
        <v>0</v>
      </c>
      <c r="J39" s="39">
        <f t="shared" si="3"/>
        <v>0</v>
      </c>
      <c r="K39" s="39">
        <f t="shared" si="3"/>
        <v>0</v>
      </c>
      <c r="L39" s="39">
        <f t="shared" si="3"/>
        <v>0</v>
      </c>
      <c r="M39" s="39">
        <f t="shared" si="3"/>
        <v>0</v>
      </c>
      <c r="N39" s="39">
        <f t="shared" si="3"/>
        <v>1668303</v>
      </c>
      <c r="O39" s="39">
        <f t="shared" si="3"/>
        <v>4245978.5520000001</v>
      </c>
      <c r="P39" s="3"/>
      <c r="Q39" s="3"/>
      <c r="R39" s="3"/>
      <c r="S39" s="7" t="s">
        <v>47</v>
      </c>
      <c r="T39" s="19">
        <f>O41/1000</f>
        <v>1342.3062613721213</v>
      </c>
      <c r="U39" s="13">
        <f>P41</f>
        <v>0.31613590246230738</v>
      </c>
    </row>
    <row r="40" spans="1:48" x14ac:dyDescent="0.2">
      <c r="S40" s="7" t="s">
        <v>48</v>
      </c>
      <c r="T40" s="19">
        <f>O35/1000</f>
        <v>545.05359413165354</v>
      </c>
      <c r="U40" s="13">
        <f>P35</f>
        <v>0.12836937056003611</v>
      </c>
    </row>
    <row r="41" spans="1:48" ht="16" x14ac:dyDescent="0.2">
      <c r="A41" s="21" t="s">
        <v>49</v>
      </c>
      <c r="B41" s="22">
        <f>B38+B37+B36</f>
        <v>431330.26137212117</v>
      </c>
      <c r="C41" s="22">
        <f t="shared" ref="C41:O41" si="4">C38+C37+C36</f>
        <v>1164</v>
      </c>
      <c r="D41" s="22">
        <f t="shared" si="4"/>
        <v>0</v>
      </c>
      <c r="E41" s="22">
        <f t="shared" si="4"/>
        <v>0</v>
      </c>
      <c r="F41" s="22">
        <f t="shared" si="4"/>
        <v>0</v>
      </c>
      <c r="G41" s="22">
        <f t="shared" si="4"/>
        <v>219319</v>
      </c>
      <c r="H41" s="22">
        <f t="shared" si="4"/>
        <v>0</v>
      </c>
      <c r="I41" s="22">
        <f t="shared" si="4"/>
        <v>0</v>
      </c>
      <c r="J41" s="22">
        <f t="shared" si="4"/>
        <v>0</v>
      </c>
      <c r="K41" s="22">
        <f t="shared" si="4"/>
        <v>0</v>
      </c>
      <c r="L41" s="22">
        <f t="shared" si="4"/>
        <v>0</v>
      </c>
      <c r="M41" s="22">
        <f t="shared" si="4"/>
        <v>0</v>
      </c>
      <c r="N41" s="22">
        <f t="shared" si="4"/>
        <v>690493</v>
      </c>
      <c r="O41" s="22">
        <f t="shared" si="4"/>
        <v>1342306.2613721213</v>
      </c>
      <c r="P41" s="17">
        <f>O41/O$39</f>
        <v>0.31613590246230738</v>
      </c>
      <c r="Q41" s="17" t="s">
        <v>50</v>
      </c>
      <c r="R41" s="7"/>
      <c r="S41" s="7" t="s">
        <v>51</v>
      </c>
      <c r="T41" s="19">
        <f>O33/1000</f>
        <v>353.75496535096909</v>
      </c>
      <c r="U41" s="13">
        <f>P33</f>
        <v>8.3315297290971591E-2</v>
      </c>
    </row>
    <row r="42" spans="1:48" ht="16" x14ac:dyDescent="0.2">
      <c r="A42" s="23" t="s">
        <v>52</v>
      </c>
      <c r="B42" s="22"/>
      <c r="C42" s="24">
        <f>C39+C23+C10</f>
        <v>1425096</v>
      </c>
      <c r="D42" s="24">
        <f t="shared" ref="D42:M42" si="5">D39+D23+D10</f>
        <v>0</v>
      </c>
      <c r="E42" s="24">
        <f t="shared" si="5"/>
        <v>2398</v>
      </c>
      <c r="F42" s="24">
        <f t="shared" si="5"/>
        <v>114425</v>
      </c>
      <c r="G42" s="24">
        <f t="shared" si="5"/>
        <v>1212303.5294117648</v>
      </c>
      <c r="H42" s="24">
        <f t="shared" si="5"/>
        <v>4394</v>
      </c>
      <c r="I42" s="24">
        <f t="shared" si="5"/>
        <v>0</v>
      </c>
      <c r="J42" s="24">
        <f t="shared" si="5"/>
        <v>56408</v>
      </c>
      <c r="K42" s="24">
        <f t="shared" si="5"/>
        <v>0</v>
      </c>
      <c r="L42" s="24">
        <f t="shared" si="5"/>
        <v>107000</v>
      </c>
      <c r="M42" s="24">
        <f t="shared" si="5"/>
        <v>0</v>
      </c>
      <c r="N42" s="24">
        <f>N39+N23-B6+N45</f>
        <v>1627925.91</v>
      </c>
      <c r="O42" s="25">
        <f>SUM(C42:N42)</f>
        <v>4549950.439411765</v>
      </c>
      <c r="P42" s="7"/>
      <c r="Q42" s="7"/>
      <c r="R42" s="7"/>
      <c r="S42" s="7" t="s">
        <v>33</v>
      </c>
      <c r="T42" s="19">
        <f>O31/1000</f>
        <v>139.81</v>
      </c>
      <c r="U42" s="13">
        <f>P31</f>
        <v>3.2927627468618451E-2</v>
      </c>
    </row>
    <row r="43" spans="1:48" ht="16" x14ac:dyDescent="0.2">
      <c r="A43" s="23" t="s">
        <v>53</v>
      </c>
      <c r="B43" s="22"/>
      <c r="C43" s="17">
        <f t="shared" ref="C43:N43" si="6">C42/$O42</f>
        <v>0.31321132372251553</v>
      </c>
      <c r="D43" s="17">
        <f t="shared" si="6"/>
        <v>0</v>
      </c>
      <c r="E43" s="17">
        <f t="shared" si="6"/>
        <v>5.2703870776887461E-4</v>
      </c>
      <c r="F43" s="17">
        <f t="shared" si="6"/>
        <v>2.5148625578170759E-2</v>
      </c>
      <c r="G43" s="17">
        <f t="shared" si="6"/>
        <v>0.26644323835063488</v>
      </c>
      <c r="H43" s="17">
        <f t="shared" si="6"/>
        <v>9.6572480481085701E-4</v>
      </c>
      <c r="I43" s="17">
        <f t="shared" si="6"/>
        <v>0</v>
      </c>
      <c r="J43" s="17">
        <f t="shared" si="6"/>
        <v>1.2397497676324721E-2</v>
      </c>
      <c r="K43" s="17">
        <f t="shared" si="6"/>
        <v>0</v>
      </c>
      <c r="L43" s="17">
        <f t="shared" si="6"/>
        <v>2.3516739671088235E-2</v>
      </c>
      <c r="M43" s="17">
        <f t="shared" si="6"/>
        <v>0</v>
      </c>
      <c r="N43" s="17">
        <f t="shared" si="6"/>
        <v>0.3577898114886861</v>
      </c>
      <c r="O43" s="17">
        <f>SUM(C43:N43)</f>
        <v>1</v>
      </c>
      <c r="P43" s="7"/>
      <c r="Q43" s="7"/>
      <c r="R43" s="7"/>
      <c r="S43" s="7" t="s">
        <v>54</v>
      </c>
      <c r="T43" s="19">
        <f>O32/1000</f>
        <v>413.64073114525621</v>
      </c>
      <c r="U43" s="13">
        <f>P32</f>
        <v>9.7419411351104768E-2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19">
        <f>O34/1000</f>
        <v>1451.413</v>
      </c>
      <c r="U44" s="13">
        <f>P34</f>
        <v>0.34183239086696166</v>
      </c>
    </row>
    <row r="45" spans="1:48" ht="16" x14ac:dyDescent="0.2">
      <c r="A45" s="6" t="s">
        <v>56</v>
      </c>
      <c r="B45" s="6">
        <f>B23-B39</f>
        <v>95953.56799999997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133464.24</v>
      </c>
      <c r="O45" s="25">
        <f>B45+N45</f>
        <v>229417.80799999996</v>
      </c>
      <c r="P45" s="7"/>
      <c r="Q45" s="7"/>
      <c r="R45" s="7"/>
      <c r="S45" s="7" t="s">
        <v>57</v>
      </c>
      <c r="T45" s="19">
        <f>SUM(T39:T44)</f>
        <v>4245.9785520000005</v>
      </c>
      <c r="U45" s="13">
        <f>SUM(U39:U44)</f>
        <v>1</v>
      </c>
    </row>
    <row r="46" spans="1:48" ht="16" x14ac:dyDescent="0.2">
      <c r="A46" s="6"/>
      <c r="B46" s="6"/>
      <c r="C46" s="6"/>
      <c r="D46" s="6"/>
      <c r="E46" s="6"/>
      <c r="F46" s="6"/>
      <c r="G46" s="6"/>
      <c r="H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2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38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1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2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1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8"/>
      <c r="C52" s="41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1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8"/>
      <c r="C53" s="41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1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40"/>
      <c r="C55" s="40"/>
      <c r="D55" s="40"/>
      <c r="E55" s="41"/>
      <c r="F55" s="41"/>
      <c r="G55" s="41"/>
      <c r="H55" s="41"/>
      <c r="I55" s="41"/>
      <c r="J55" s="41"/>
      <c r="K55" s="41"/>
      <c r="L55" s="41"/>
      <c r="M55" s="41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1"/>
      <c r="F56" s="41"/>
      <c r="G56" s="41"/>
      <c r="H56" s="41"/>
      <c r="I56" s="6"/>
      <c r="J56" s="41"/>
      <c r="K56" s="41"/>
      <c r="L56" s="41"/>
      <c r="M56" s="41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40"/>
      <c r="G57" s="40"/>
      <c r="H57" s="28"/>
      <c r="I57" s="38"/>
      <c r="J57" s="40"/>
      <c r="K57" s="28"/>
      <c r="L57" s="6"/>
      <c r="M57" s="6"/>
      <c r="N57" s="29"/>
      <c r="O57" s="7"/>
      <c r="P57" s="6"/>
      <c r="Q57" s="13"/>
      <c r="R57" s="7"/>
      <c r="S57" s="7"/>
      <c r="T57" s="6"/>
      <c r="U57" s="47"/>
    </row>
    <row r="58" spans="1:48" ht="16" x14ac:dyDescent="0.2">
      <c r="A58" s="7"/>
      <c r="B58" s="7"/>
      <c r="C58" s="28"/>
      <c r="D58" s="28"/>
      <c r="E58" s="28"/>
      <c r="F58" s="41"/>
      <c r="G58" s="40"/>
      <c r="H58" s="28"/>
      <c r="I58" s="38"/>
      <c r="J58" s="40"/>
      <c r="K58" s="28"/>
      <c r="L58" s="6"/>
      <c r="M58" s="6"/>
      <c r="N58" s="29"/>
      <c r="O58" s="7"/>
      <c r="P58" s="6"/>
      <c r="Q58" s="13"/>
      <c r="R58" s="7"/>
      <c r="S58" s="7"/>
      <c r="T58" s="6"/>
      <c r="U58" s="47"/>
    </row>
    <row r="59" spans="1:48" ht="16" x14ac:dyDescent="0.2">
      <c r="A59" s="7"/>
      <c r="B59" s="7"/>
      <c r="C59" s="28"/>
      <c r="D59" s="28"/>
      <c r="E59" s="28"/>
      <c r="F59" s="40"/>
      <c r="G59" s="40"/>
      <c r="H59" s="28"/>
      <c r="I59" s="38"/>
      <c r="J59" s="40"/>
      <c r="K59" s="28"/>
      <c r="L59" s="6"/>
      <c r="M59" s="6"/>
      <c r="N59" s="29"/>
      <c r="O59" s="7"/>
      <c r="P59" s="6"/>
      <c r="Q59" s="13"/>
      <c r="R59" s="7"/>
      <c r="S59" s="7"/>
      <c r="T59" s="6"/>
      <c r="U59" s="47"/>
    </row>
    <row r="60" spans="1:48" ht="16" x14ac:dyDescent="0.2">
      <c r="A60" s="23"/>
      <c r="B60" s="7"/>
      <c r="C60" s="28"/>
      <c r="D60" s="28"/>
      <c r="E60" s="28"/>
      <c r="F60" s="40"/>
      <c r="G60" s="40"/>
      <c r="H60" s="28"/>
      <c r="I60" s="38"/>
      <c r="J60" s="40"/>
      <c r="K60" s="28"/>
      <c r="L60" s="6"/>
      <c r="M60" s="6"/>
      <c r="N60" s="29"/>
      <c r="O60" s="7"/>
      <c r="P60" s="6"/>
      <c r="Q60" s="13"/>
      <c r="R60" s="7"/>
      <c r="S60" s="7"/>
      <c r="T60" s="6"/>
      <c r="U60" s="47"/>
    </row>
    <row r="61" spans="1:48" ht="16" x14ac:dyDescent="0.2">
      <c r="A61" s="7"/>
      <c r="B61" s="7"/>
      <c r="C61" s="7"/>
      <c r="D61" s="7"/>
      <c r="E61" s="7"/>
      <c r="F61" s="40"/>
      <c r="G61" s="40"/>
      <c r="H61" s="7"/>
      <c r="I61" s="38"/>
      <c r="J61" s="40"/>
      <c r="K61" s="6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40"/>
      <c r="G62" s="40"/>
      <c r="H62" s="7"/>
      <c r="I62" s="38"/>
      <c r="J62" s="40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47"/>
    </row>
    <row r="65" spans="1:21" ht="16" x14ac:dyDescent="0.2">
      <c r="A65" s="7"/>
      <c r="B65" s="6"/>
      <c r="C65" s="7"/>
      <c r="D65" s="6"/>
      <c r="E65" s="48"/>
      <c r="F65" s="48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47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47"/>
    </row>
    <row r="67" spans="1:21" ht="16" x14ac:dyDescent="0.2">
      <c r="A67" s="49"/>
      <c r="B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47"/>
    </row>
    <row r="68" spans="1:21" ht="16" x14ac:dyDescent="0.2">
      <c r="D68" s="9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47"/>
    </row>
    <row r="69" spans="1:21" ht="16" x14ac:dyDescent="0.2"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47"/>
    </row>
    <row r="70" spans="1:21" ht="16" x14ac:dyDescent="0.2">
      <c r="A70" s="7"/>
      <c r="B70" s="31"/>
      <c r="C70" s="23"/>
      <c r="D70" s="23"/>
      <c r="E70" s="6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50"/>
      <c r="T70" s="31"/>
      <c r="U70" s="35"/>
    </row>
    <row r="71" spans="1:21" x14ac:dyDescent="0.2">
      <c r="C71" s="51"/>
      <c r="D71" s="51"/>
      <c r="E71" s="6"/>
    </row>
    <row r="72" spans="1:21" x14ac:dyDescent="0.2">
      <c r="E72" s="6"/>
    </row>
    <row r="73" spans="1:21" x14ac:dyDescent="0.2">
      <c r="E73" s="6"/>
    </row>
    <row r="74" spans="1:21" x14ac:dyDescent="0.2">
      <c r="D74" s="9"/>
      <c r="E74" s="9"/>
      <c r="F74" s="9"/>
    </row>
  </sheetData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 enableFormatConditionsCalculation="0"/>
  <dimension ref="A1:AV70"/>
  <sheetViews>
    <sheetView workbookViewId="0">
      <selection activeCell="D47" sqref="D47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0.33203125" style="2" customWidth="1"/>
    <col min="4" max="5" width="8.83203125" style="2"/>
    <col min="6" max="6" width="11.33203125" style="2" bestFit="1" customWidth="1"/>
    <col min="7" max="11" width="8.83203125" style="2"/>
    <col min="12" max="13" width="5.33203125" style="2" customWidth="1"/>
    <col min="14" max="14" width="8.83203125" style="2"/>
    <col min="15" max="15" width="11.5" style="2" bestFit="1" customWidth="1"/>
    <col min="16" max="19" width="8.83203125" style="2"/>
    <col min="20" max="21" width="10.16406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60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6" x14ac:dyDescent="0.2">
      <c r="A4" s="67" t="s">
        <v>70</v>
      </c>
      <c r="B4" s="74">
        <v>86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6665035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6" x14ac:dyDescent="0.2">
      <c r="A9" s="4" t="s">
        <v>14</v>
      </c>
      <c r="B9" s="74">
        <v>187576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74">
        <f>SUM(B4:B9)</f>
        <v>6852697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4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v>13314</v>
      </c>
      <c r="C18" s="8">
        <v>229</v>
      </c>
      <c r="D18" s="8">
        <v>0</v>
      </c>
      <c r="E18" s="8">
        <v>0</v>
      </c>
      <c r="F18" s="8">
        <v>0</v>
      </c>
      <c r="G18" s="8">
        <v>13647</v>
      </c>
      <c r="H18" s="8">
        <v>0</v>
      </c>
      <c r="I18" s="8"/>
      <c r="J18" s="8"/>
      <c r="K18" s="8"/>
      <c r="L18" s="8"/>
      <c r="M18" s="8"/>
      <c r="N18" s="8"/>
      <c r="O18" s="8">
        <v>13876</v>
      </c>
      <c r="P18" s="3"/>
      <c r="Q18" s="60"/>
      <c r="R18" s="3"/>
      <c r="S18" s="3"/>
      <c r="T18" s="3"/>
      <c r="U18" s="3"/>
    </row>
    <row r="19" spans="1:21" ht="16" x14ac:dyDescent="0.2">
      <c r="A19" s="4" t="s">
        <v>21</v>
      </c>
      <c r="B19" s="8">
        <v>252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 t="s">
        <v>25</v>
      </c>
      <c r="T19" s="11">
        <f>O42/1000</f>
        <v>210.55676</v>
      </c>
      <c r="U19" s="3"/>
    </row>
    <row r="20" spans="1:21" ht="16" x14ac:dyDescent="0.2">
      <c r="A20" s="4" t="s">
        <v>22</v>
      </c>
      <c r="B20" s="8">
        <v>316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3" t="s">
        <v>9</v>
      </c>
      <c r="T22" s="12">
        <f>N42/1000</f>
        <v>91.067759999999993</v>
      </c>
      <c r="U22" s="13">
        <f>N43</f>
        <v>0.43250931482798266</v>
      </c>
    </row>
    <row r="23" spans="1:21" ht="16" x14ac:dyDescent="0.2">
      <c r="A23" s="4" t="s">
        <v>15</v>
      </c>
      <c r="B23" s="8">
        <v>13882</v>
      </c>
      <c r="C23" s="8">
        <v>229</v>
      </c>
      <c r="D23" s="8">
        <v>0</v>
      </c>
      <c r="E23" s="8">
        <v>0</v>
      </c>
      <c r="F23" s="8">
        <v>0</v>
      </c>
      <c r="G23" s="8">
        <v>13647</v>
      </c>
      <c r="H23" s="8">
        <v>0</v>
      </c>
      <c r="I23" s="8"/>
      <c r="J23" s="8"/>
      <c r="K23" s="8"/>
      <c r="L23" s="8"/>
      <c r="M23" s="8"/>
      <c r="N23" s="8"/>
      <c r="O23" s="8">
        <v>13876</v>
      </c>
      <c r="P23" s="3"/>
      <c r="Q23" s="3"/>
      <c r="R23" s="3"/>
      <c r="S23" s="53" t="s">
        <v>58</v>
      </c>
      <c r="T23" s="12">
        <f>G42/1000</f>
        <v>42.262999999999998</v>
      </c>
      <c r="U23" s="14">
        <f>G43</f>
        <v>0.20072022384842927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4" t="str">
        <f>J29</f>
        <v>Torv</v>
      </c>
      <c r="T24" s="12">
        <f>J42/1000</f>
        <v>0</v>
      </c>
      <c r="U24" s="13">
        <f>J43</f>
        <v>0</v>
      </c>
    </row>
    <row r="25" spans="1:21" ht="15.75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3" t="s">
        <v>30</v>
      </c>
      <c r="T25" s="12">
        <f>F42/1000</f>
        <v>5.5709999999999997</v>
      </c>
      <c r="U25" s="13">
        <f>F43</f>
        <v>2.6458423847327436E-2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3" t="s">
        <v>3</v>
      </c>
      <c r="T26" s="11">
        <f>E42/1000</f>
        <v>2.2869999999999999</v>
      </c>
      <c r="U26" s="13">
        <f>E43</f>
        <v>1.0861679292557503E-2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5" t="str">
        <f>D29</f>
        <v>Kol och koks</v>
      </c>
      <c r="T27" s="2">
        <f>D42/1000</f>
        <v>0</v>
      </c>
      <c r="U27" s="45">
        <f>D43</f>
        <v>0</v>
      </c>
    </row>
    <row r="28" spans="1:21" ht="15.75" x14ac:dyDescent="0.25">
      <c r="A28" s="4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5" t="str">
        <f>K29</f>
        <v>Avfall</v>
      </c>
      <c r="T28" s="2">
        <f>K42/1000</f>
        <v>0</v>
      </c>
      <c r="U28" s="45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4" t="str">
        <f>I29</f>
        <v>Avlutar</v>
      </c>
      <c r="T29" s="12">
        <f>I42/1000</f>
        <v>0</v>
      </c>
      <c r="U29" s="13">
        <f>I43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4" t="str">
        <f>H29</f>
        <v>Biogas</v>
      </c>
      <c r="T30" s="12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8">
        <v>2358</v>
      </c>
      <c r="D31" s="8">
        <v>0</v>
      </c>
      <c r="E31" s="8">
        <v>0</v>
      </c>
      <c r="F31" s="8">
        <v>244</v>
      </c>
      <c r="G31" s="8">
        <v>0</v>
      </c>
      <c r="H31" s="8">
        <v>0</v>
      </c>
      <c r="I31" s="8"/>
      <c r="J31" s="8"/>
      <c r="K31" s="8"/>
      <c r="L31" s="8"/>
      <c r="M31" s="27"/>
      <c r="N31" s="58">
        <v>3186</v>
      </c>
      <c r="O31" s="58">
        <f>SUM(B31:N31)</f>
        <v>5788</v>
      </c>
      <c r="P31" s="17">
        <f>O31/O$39</f>
        <v>2.888093848080675E-2</v>
      </c>
      <c r="Q31" s="18" t="s">
        <v>33</v>
      </c>
      <c r="R31" s="3"/>
      <c r="S31" s="55" t="str">
        <f>L29</f>
        <v>Övrigt</v>
      </c>
      <c r="T31" s="12">
        <f>L42/1000</f>
        <v>0</v>
      </c>
      <c r="U31" s="45">
        <f>L43</f>
        <v>0</v>
      </c>
    </row>
    <row r="32" spans="1:21" ht="16" x14ac:dyDescent="0.2">
      <c r="A32" s="4" t="s">
        <v>35</v>
      </c>
      <c r="B32" s="8">
        <v>0</v>
      </c>
      <c r="C32" s="8">
        <v>2530</v>
      </c>
      <c r="D32" s="8">
        <v>0</v>
      </c>
      <c r="E32" s="68">
        <v>2287</v>
      </c>
      <c r="F32" s="8">
        <v>0</v>
      </c>
      <c r="G32" s="58">
        <f>O32-N32-E32-C32</f>
        <v>8016</v>
      </c>
      <c r="H32" s="8">
        <v>0</v>
      </c>
      <c r="I32" s="8"/>
      <c r="J32" s="8"/>
      <c r="K32" s="8"/>
      <c r="L32" s="8"/>
      <c r="M32" s="27"/>
      <c r="N32" s="58">
        <v>15354</v>
      </c>
      <c r="O32" s="8">
        <v>28187</v>
      </c>
      <c r="P32" s="17">
        <f>O32/O$39</f>
        <v>0.1406473761158431</v>
      </c>
      <c r="Q32" s="18" t="s">
        <v>36</v>
      </c>
      <c r="R32" s="3"/>
      <c r="S32" s="55" t="str">
        <f>M29</f>
        <v>Övrigt</v>
      </c>
      <c r="T32" s="9">
        <f>M42</f>
        <v>0</v>
      </c>
      <c r="U32" s="45">
        <f>M43</f>
        <v>0</v>
      </c>
    </row>
    <row r="33" spans="1:48" ht="16" x14ac:dyDescent="0.2">
      <c r="A33" s="4" t="s">
        <v>37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58">
        <v>14495</v>
      </c>
      <c r="O33" s="58">
        <f>SUM(B33:N33)</f>
        <v>14495</v>
      </c>
      <c r="P33" s="17">
        <f>O33/O$39</f>
        <v>7.2327091098703153E-2</v>
      </c>
      <c r="Q33" s="18" t="s">
        <v>38</v>
      </c>
      <c r="R33" s="3"/>
      <c r="S33" s="53" t="s">
        <v>34</v>
      </c>
      <c r="T33" s="12">
        <f>C42/1000</f>
        <v>69.367999999999995</v>
      </c>
      <c r="U33" s="14">
        <f>C43</f>
        <v>0.32945035818370305</v>
      </c>
    </row>
    <row r="34" spans="1:48" ht="16" x14ac:dyDescent="0.2">
      <c r="A34" s="4" t="s">
        <v>39</v>
      </c>
      <c r="B34" s="8">
        <v>0</v>
      </c>
      <c r="C34" s="8">
        <v>64063</v>
      </c>
      <c r="D34" s="8">
        <v>0</v>
      </c>
      <c r="E34" s="8">
        <v>0</v>
      </c>
      <c r="F34" s="58">
        <v>5327</v>
      </c>
      <c r="G34" s="8">
        <v>0</v>
      </c>
      <c r="H34" s="8">
        <v>0</v>
      </c>
      <c r="I34" s="8"/>
      <c r="J34" s="8"/>
      <c r="K34" s="8"/>
      <c r="L34" s="8"/>
      <c r="M34" s="27"/>
      <c r="N34" s="58">
        <f>O34-F34-C34</f>
        <v>2524</v>
      </c>
      <c r="O34" s="8">
        <v>71914</v>
      </c>
      <c r="P34" s="17">
        <f>O34/O$39</f>
        <v>0.35883618001187573</v>
      </c>
      <c r="Q34" s="18" t="s">
        <v>40</v>
      </c>
      <c r="R34" s="3"/>
      <c r="S34" s="3"/>
      <c r="T34" s="12">
        <f>SUM(T22:T33)</f>
        <v>210.55676</v>
      </c>
      <c r="U34" s="13">
        <f>SUM(U22:U33)</f>
        <v>1</v>
      </c>
    </row>
    <row r="35" spans="1:48" ht="16" x14ac:dyDescent="0.2">
      <c r="A35" s="4" t="s">
        <v>41</v>
      </c>
      <c r="B35" s="8">
        <v>110</v>
      </c>
      <c r="C35" s="8">
        <v>95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12852</v>
      </c>
      <c r="O35" s="8">
        <v>13057</v>
      </c>
      <c r="P35" s="17">
        <f>O35/O$39</f>
        <v>6.5151764641308521E-2</v>
      </c>
      <c r="Q35" s="18" t="s">
        <v>42</v>
      </c>
      <c r="R35" s="18"/>
    </row>
    <row r="36" spans="1:48" ht="16" x14ac:dyDescent="0.2">
      <c r="A36" s="4" t="s">
        <v>43</v>
      </c>
      <c r="B36" s="8">
        <v>0</v>
      </c>
      <c r="C36" s="8">
        <v>93</v>
      </c>
      <c r="D36" s="8">
        <v>0</v>
      </c>
      <c r="E36" s="8">
        <v>0</v>
      </c>
      <c r="F36" s="8">
        <v>0</v>
      </c>
      <c r="G36" s="58">
        <v>20600</v>
      </c>
      <c r="H36" s="8">
        <v>0</v>
      </c>
      <c r="I36" s="8"/>
      <c r="J36" s="8"/>
      <c r="K36" s="8"/>
      <c r="L36" s="8"/>
      <c r="M36" s="27"/>
      <c r="N36" s="58">
        <f>O36-G36-C36</f>
        <v>29918</v>
      </c>
      <c r="O36" s="8">
        <v>50611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10365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58">
        <v>2224</v>
      </c>
      <c r="O37" s="58">
        <f>SUM(B37:N37)</f>
        <v>12589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58">
        <v>3770</v>
      </c>
      <c r="O38" s="58">
        <f>SUM(B38:N38)</f>
        <v>3770</v>
      </c>
      <c r="P38" s="18">
        <f>SUM(P31:P35)</f>
        <v>0.66584335034853737</v>
      </c>
      <c r="Q38" s="18"/>
      <c r="R38" s="3"/>
      <c r="S38" s="7" t="s">
        <v>46</v>
      </c>
      <c r="T38" s="19">
        <f>O45/1000</f>
        <v>10.152760000000001</v>
      </c>
      <c r="U38" s="7"/>
    </row>
    <row r="39" spans="1:48" ht="16" x14ac:dyDescent="0.2">
      <c r="A39" s="4" t="s">
        <v>15</v>
      </c>
      <c r="B39" s="8">
        <v>10475</v>
      </c>
      <c r="C39" s="8">
        <v>69139</v>
      </c>
      <c r="D39" s="8">
        <v>0</v>
      </c>
      <c r="E39" s="69">
        <f>SUM(E31:E38)</f>
        <v>2287</v>
      </c>
      <c r="F39" s="58">
        <f>SUM(F31:F38)</f>
        <v>5571</v>
      </c>
      <c r="G39" s="58">
        <f>SUM(G31:G38)</f>
        <v>28616</v>
      </c>
      <c r="H39" s="8">
        <v>0</v>
      </c>
      <c r="I39" s="8"/>
      <c r="J39" s="8"/>
      <c r="K39" s="8"/>
      <c r="L39" s="8"/>
      <c r="M39" s="27"/>
      <c r="N39" s="8">
        <v>84322</v>
      </c>
      <c r="O39" s="8">
        <v>200409</v>
      </c>
      <c r="P39" s="3"/>
      <c r="Q39" s="3"/>
      <c r="R39" s="3"/>
      <c r="S39" s="7" t="s">
        <v>47</v>
      </c>
      <c r="T39" s="20">
        <f>O41/1000</f>
        <v>66.97</v>
      </c>
      <c r="U39" s="13">
        <f>P41</f>
        <v>0.33416662924319768</v>
      </c>
    </row>
    <row r="40" spans="1:48" x14ac:dyDescent="0.2">
      <c r="N40" s="9"/>
      <c r="O40" s="9"/>
      <c r="S40" s="7" t="s">
        <v>48</v>
      </c>
      <c r="T40" s="20">
        <f>O35/1000</f>
        <v>13.057</v>
      </c>
      <c r="U40" s="14">
        <f>P35</f>
        <v>6.5151764641308521E-2</v>
      </c>
    </row>
    <row r="41" spans="1:48" ht="16" x14ac:dyDescent="0.2">
      <c r="A41" s="21" t="s">
        <v>49</v>
      </c>
      <c r="B41" s="22">
        <f>B38+B37+B36</f>
        <v>10365</v>
      </c>
      <c r="C41" s="22">
        <f t="shared" ref="C41:O41" si="0">C38+C37+C36</f>
        <v>93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59">
        <f t="shared" si="0"/>
        <v>20600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35912</v>
      </c>
      <c r="O41" s="22">
        <f t="shared" si="0"/>
        <v>66970</v>
      </c>
      <c r="P41" s="17">
        <f>O41/O$39</f>
        <v>0.33416662924319768</v>
      </c>
      <c r="Q41" s="17" t="s">
        <v>50</v>
      </c>
      <c r="R41" s="7"/>
      <c r="S41" s="7" t="s">
        <v>51</v>
      </c>
      <c r="T41" s="20">
        <f>O33/1000</f>
        <v>14.494999999999999</v>
      </c>
      <c r="U41" s="13">
        <f>P33</f>
        <v>7.2327091098703153E-2</v>
      </c>
    </row>
    <row r="42" spans="1:48" ht="16" x14ac:dyDescent="0.2">
      <c r="A42" s="23" t="s">
        <v>52</v>
      </c>
      <c r="B42" s="22"/>
      <c r="C42" s="24">
        <f>C39+C23+C10</f>
        <v>69368</v>
      </c>
      <c r="D42" s="24">
        <f t="shared" ref="D42:M42" si="1">D39+D23+D10</f>
        <v>0</v>
      </c>
      <c r="E42" s="24">
        <f t="shared" si="1"/>
        <v>2287</v>
      </c>
      <c r="F42" s="24">
        <f t="shared" si="1"/>
        <v>5571</v>
      </c>
      <c r="G42" s="24">
        <f t="shared" si="1"/>
        <v>42263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91067.76</v>
      </c>
      <c r="O42" s="25">
        <f>SUM(C42:N42)</f>
        <v>210556.76</v>
      </c>
      <c r="P42" s="7"/>
      <c r="Q42" s="7"/>
      <c r="R42" s="7"/>
      <c r="S42" s="7" t="s">
        <v>33</v>
      </c>
      <c r="T42" s="20">
        <f>O31/1000</f>
        <v>5.7880000000000003</v>
      </c>
      <c r="U42" s="13">
        <f>P31</f>
        <v>2.888093848080675E-2</v>
      </c>
    </row>
    <row r="43" spans="1:48" ht="16" x14ac:dyDescent="0.2">
      <c r="A43" s="23" t="s">
        <v>53</v>
      </c>
      <c r="B43" s="22"/>
      <c r="C43" s="17">
        <f t="shared" ref="C43:N43" si="2">C42/$O42</f>
        <v>0.32945035818370305</v>
      </c>
      <c r="D43" s="17">
        <f t="shared" si="2"/>
        <v>0</v>
      </c>
      <c r="E43" s="17">
        <f t="shared" si="2"/>
        <v>1.0861679292557503E-2</v>
      </c>
      <c r="F43" s="17">
        <f t="shared" si="2"/>
        <v>2.6458423847327436E-2</v>
      </c>
      <c r="G43" s="17">
        <f t="shared" si="2"/>
        <v>0.20072022384842927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0.43250931482798266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28.187000000000001</v>
      </c>
      <c r="U43" s="14">
        <f>P32</f>
        <v>0.1406473761158431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71.914000000000001</v>
      </c>
      <c r="U44" s="14">
        <f>P34</f>
        <v>0.35883618001187573</v>
      </c>
    </row>
    <row r="45" spans="1:48" ht="16" x14ac:dyDescent="0.2">
      <c r="A45" s="6" t="s">
        <v>56</v>
      </c>
      <c r="B45" s="6">
        <f>B23-B39</f>
        <v>3407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6745.76</v>
      </c>
      <c r="O45" s="25">
        <f>B45+N45</f>
        <v>10152.76</v>
      </c>
      <c r="P45" s="7"/>
      <c r="Q45" s="7"/>
      <c r="R45" s="7"/>
      <c r="S45" s="7" t="s">
        <v>57</v>
      </c>
      <c r="T45" s="20">
        <f>SUM(T39:T44)</f>
        <v>200.411</v>
      </c>
      <c r="U45" s="13">
        <f>SUM(U39:U44)</f>
        <v>1.000009979591735</v>
      </c>
    </row>
    <row r="46" spans="1:48" ht="16" x14ac:dyDescent="0.2">
      <c r="A46" s="6"/>
      <c r="B46" s="5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ht="16" x14ac:dyDescent="0.2">
      <c r="A47" s="4"/>
      <c r="B47" s="4"/>
      <c r="C47" s="15"/>
      <c r="D47" s="16"/>
      <c r="E47" s="15"/>
      <c r="F47" s="15"/>
      <c r="G47" s="16"/>
      <c r="H47" s="15"/>
      <c r="I47" s="15"/>
      <c r="J47" s="15"/>
      <c r="K47" s="15"/>
      <c r="L47" s="15"/>
      <c r="M47" s="15"/>
      <c r="N47" s="27"/>
      <c r="O47" s="15"/>
      <c r="P47" s="15"/>
      <c r="Q47" s="27"/>
      <c r="R47" s="4"/>
      <c r="S47" s="4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7"/>
      <c r="AH47" s="4"/>
      <c r="AI47" s="4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</row>
    <row r="48" spans="1:48" ht="16" x14ac:dyDescent="0.2">
      <c r="A48" s="27"/>
      <c r="B48" s="4"/>
      <c r="C48" s="15"/>
      <c r="D48" s="16"/>
      <c r="E48" s="15"/>
      <c r="F48" s="16"/>
      <c r="G48" s="16"/>
      <c r="H48" s="15"/>
      <c r="I48" s="15"/>
      <c r="J48" s="15"/>
      <c r="K48" s="15"/>
      <c r="L48" s="15"/>
      <c r="M48" s="15"/>
      <c r="N48" s="8"/>
      <c r="O48" s="8"/>
      <c r="P48" s="15"/>
      <c r="Q48" s="27"/>
      <c r="R48" s="27"/>
      <c r="S48" s="4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7"/>
      <c r="AH48" s="27"/>
      <c r="AI48" s="4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</row>
    <row r="49" spans="1:48" ht="16" x14ac:dyDescent="0.2">
      <c r="A49" s="27"/>
      <c r="B49" s="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27"/>
      <c r="O49" s="15"/>
      <c r="P49" s="15"/>
      <c r="Q49" s="27"/>
      <c r="R49" s="27"/>
      <c r="S49" s="4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7"/>
      <c r="AH49" s="27"/>
      <c r="AI49" s="4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</row>
    <row r="50" spans="1:48" ht="16" x14ac:dyDescent="0.2">
      <c r="A50" s="27"/>
      <c r="B50" s="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27"/>
      <c r="O50" s="15"/>
      <c r="P50" s="15"/>
      <c r="Q50" s="27"/>
      <c r="R50" s="27"/>
      <c r="S50" s="4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7"/>
      <c r="AH50" s="27"/>
      <c r="AI50" s="4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1:48" ht="16" x14ac:dyDescent="0.2">
      <c r="A51" s="27"/>
      <c r="B51" s="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27"/>
      <c r="O51" s="15"/>
      <c r="P51" s="15"/>
      <c r="Q51" s="27"/>
      <c r="R51" s="27"/>
      <c r="S51" s="4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7"/>
      <c r="AH51" s="27"/>
      <c r="AI51" s="4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1:48" ht="16" x14ac:dyDescent="0.2">
      <c r="A52" s="27"/>
      <c r="B52" s="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27"/>
      <c r="O52" s="15"/>
      <c r="P52" s="15"/>
      <c r="Q52" s="27"/>
      <c r="R52" s="27"/>
      <c r="S52" s="4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7"/>
      <c r="AH52" s="27"/>
      <c r="AI52" s="4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1:48" ht="16" x14ac:dyDescent="0.2">
      <c r="A53" s="27"/>
      <c r="B53" s="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27"/>
      <c r="O53" s="15"/>
      <c r="P53" s="15"/>
      <c r="Q53" s="27"/>
      <c r="R53" s="27"/>
      <c r="S53" s="4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7"/>
      <c r="AH53" s="27"/>
      <c r="AI53" s="4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1:48" ht="16" x14ac:dyDescent="0.2">
      <c r="A54" s="27"/>
      <c r="B54" s="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27"/>
      <c r="O54" s="15"/>
      <c r="P54" s="15"/>
      <c r="Q54" s="27"/>
      <c r="R54" s="27"/>
      <c r="S54" s="4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7"/>
      <c r="AH54" s="27"/>
      <c r="AI54" s="4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</row>
    <row r="55" spans="1:48" ht="16" x14ac:dyDescent="0.2">
      <c r="A55" s="27"/>
      <c r="B55" s="4"/>
      <c r="C55" s="15"/>
      <c r="D55" s="16"/>
      <c r="E55" s="15"/>
      <c r="F55" s="16"/>
      <c r="G55" s="15"/>
      <c r="H55" s="15"/>
      <c r="I55" s="15"/>
      <c r="J55" s="15"/>
      <c r="K55" s="15"/>
      <c r="L55" s="15"/>
      <c r="M55" s="15"/>
      <c r="N55" s="27"/>
      <c r="O55" s="15"/>
      <c r="P55" s="15"/>
      <c r="Q55" s="27"/>
      <c r="R55" s="27"/>
      <c r="S55" s="4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27"/>
      <c r="AH55" s="27"/>
      <c r="AI55" s="4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</row>
    <row r="56" spans="1:48" ht="16" x14ac:dyDescent="0.2">
      <c r="A56" s="27"/>
      <c r="B56" s="4"/>
      <c r="C56" s="15"/>
      <c r="D56" s="16"/>
      <c r="E56" s="15"/>
      <c r="F56" s="16"/>
      <c r="G56" s="15"/>
      <c r="H56" s="15"/>
      <c r="I56" s="15"/>
      <c r="J56" s="15"/>
      <c r="K56" s="15"/>
      <c r="L56" s="15"/>
      <c r="M56" s="15"/>
      <c r="N56" s="27"/>
      <c r="O56" s="15"/>
      <c r="P56" s="15"/>
      <c r="Q56" s="27"/>
      <c r="R56" s="27"/>
      <c r="S56" s="4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27"/>
      <c r="AH56" s="27"/>
      <c r="AI56" s="4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3" enableFormatConditionsCalculation="0"/>
  <dimension ref="A1:AV70"/>
  <sheetViews>
    <sheetView workbookViewId="0">
      <selection activeCell="D47" sqref="D47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4" width="8.83203125" style="2"/>
    <col min="15" max="15" width="22.6640625" style="2" bestFit="1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61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6" x14ac:dyDescent="0.2">
      <c r="A4" s="67" t="s">
        <v>70</v>
      </c>
      <c r="B4" s="74">
        <v>156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1445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6" x14ac:dyDescent="0.2">
      <c r="A9" s="4" t="s">
        <v>14</v>
      </c>
      <c r="B9" s="74">
        <v>264283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74">
        <f>SUM(B4:B9)</f>
        <v>265884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4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v>16000</v>
      </c>
      <c r="C18" s="8">
        <v>80</v>
      </c>
      <c r="D18" s="8">
        <v>0</v>
      </c>
      <c r="E18" s="8">
        <v>0</v>
      </c>
      <c r="F18" s="8">
        <v>0</v>
      </c>
      <c r="G18" s="8">
        <v>18410</v>
      </c>
      <c r="H18" s="8">
        <v>0</v>
      </c>
      <c r="I18" s="8"/>
      <c r="J18" s="8"/>
      <c r="K18" s="8"/>
      <c r="L18" s="8"/>
      <c r="M18" s="8"/>
      <c r="N18" s="8"/>
      <c r="O18" s="8">
        <v>18490</v>
      </c>
      <c r="P18" s="60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 t="s">
        <v>25</v>
      </c>
      <c r="T19" s="11">
        <f>O42/1000</f>
        <v>201.36364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3" t="s">
        <v>9</v>
      </c>
      <c r="T22" s="12">
        <f>N42/1000</f>
        <v>98.558639999999997</v>
      </c>
      <c r="U22" s="13">
        <f>N43</f>
        <v>0.48945599116106558</v>
      </c>
    </row>
    <row r="23" spans="1:21" ht="16" x14ac:dyDescent="0.2">
      <c r="A23" s="4" t="s">
        <v>15</v>
      </c>
      <c r="B23" s="8">
        <v>16000</v>
      </c>
      <c r="C23" s="8">
        <v>80</v>
      </c>
      <c r="D23" s="8">
        <v>0</v>
      </c>
      <c r="E23" s="8">
        <v>0</v>
      </c>
      <c r="F23" s="8">
        <v>0</v>
      </c>
      <c r="G23" s="8">
        <v>18410</v>
      </c>
      <c r="H23" s="8">
        <v>0</v>
      </c>
      <c r="I23" s="8"/>
      <c r="J23" s="8"/>
      <c r="K23" s="8"/>
      <c r="L23" s="8"/>
      <c r="M23" s="8"/>
      <c r="N23" s="8"/>
      <c r="O23" s="8">
        <v>18490</v>
      </c>
      <c r="P23" s="3"/>
      <c r="Q23" s="3"/>
      <c r="R23" s="3"/>
      <c r="S23" s="53" t="s">
        <v>58</v>
      </c>
      <c r="T23" s="12">
        <f>G42/1000</f>
        <v>61.677999999999997</v>
      </c>
      <c r="U23" s="14">
        <f>G43</f>
        <v>0.30630157460403473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4" t="str">
        <f>J29</f>
        <v>Torv</v>
      </c>
      <c r="T24" s="12">
        <f>J42/1000</f>
        <v>0</v>
      </c>
      <c r="U24" s="13">
        <f>J43</f>
        <v>0</v>
      </c>
    </row>
    <row r="25" spans="1:21" ht="15.75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3" t="s">
        <v>30</v>
      </c>
      <c r="T25" s="12">
        <f>F42/1000</f>
        <v>3.3140000000000001</v>
      </c>
      <c r="U25" s="13">
        <f>F43</f>
        <v>1.6457787513177651E-2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3" t="s">
        <v>3</v>
      </c>
      <c r="T26" s="11">
        <f>E42/1000</f>
        <v>0</v>
      </c>
      <c r="U26" s="13">
        <f>E43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5" t="str">
        <f>D29</f>
        <v>Kol och koks</v>
      </c>
      <c r="T27" s="2">
        <f>D42/1000</f>
        <v>0</v>
      </c>
      <c r="U27" s="45">
        <f>D43</f>
        <v>0</v>
      </c>
    </row>
    <row r="28" spans="1:21" ht="15.75" x14ac:dyDescent="0.25">
      <c r="A28" s="4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5" t="str">
        <f>K29</f>
        <v>Avfall</v>
      </c>
      <c r="T28" s="2">
        <f>K42/1000</f>
        <v>0</v>
      </c>
      <c r="U28" s="45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4" t="str">
        <f>I29</f>
        <v>Avlutar</v>
      </c>
      <c r="T29" s="12">
        <f>I42/1000</f>
        <v>0</v>
      </c>
      <c r="U29" s="13">
        <f>I43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4" t="str">
        <f>H29</f>
        <v>Biogas</v>
      </c>
      <c r="T30" s="12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8">
        <v>1856</v>
      </c>
      <c r="D31" s="8">
        <v>0</v>
      </c>
      <c r="E31" s="8">
        <v>0</v>
      </c>
      <c r="F31" s="8">
        <v>179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5349</v>
      </c>
      <c r="O31" s="8">
        <v>7384</v>
      </c>
      <c r="P31" s="17">
        <f>O31/O$39</f>
        <v>3.8868681338927111E-2</v>
      </c>
      <c r="Q31" s="18" t="s">
        <v>33</v>
      </c>
      <c r="R31" s="3"/>
      <c r="S31" s="55" t="str">
        <f>L29</f>
        <v>Övrigt</v>
      </c>
      <c r="T31" s="12">
        <f>L42/1000</f>
        <v>0</v>
      </c>
      <c r="U31" s="45">
        <f>L43</f>
        <v>0</v>
      </c>
    </row>
    <row r="32" spans="1:21" ht="16" x14ac:dyDescent="0.2">
      <c r="A32" s="4" t="s">
        <v>35</v>
      </c>
      <c r="B32" s="8">
        <v>0</v>
      </c>
      <c r="C32" s="8">
        <v>292</v>
      </c>
      <c r="D32" s="8">
        <v>0</v>
      </c>
      <c r="E32" s="8">
        <v>0</v>
      </c>
      <c r="F32" s="8">
        <v>0</v>
      </c>
      <c r="G32" s="58">
        <f>G39-G36</f>
        <v>24768</v>
      </c>
      <c r="H32" s="8">
        <v>0</v>
      </c>
      <c r="I32" s="8"/>
      <c r="J32" s="8"/>
      <c r="K32" s="8"/>
      <c r="L32" s="8"/>
      <c r="M32" s="27"/>
      <c r="N32" s="58">
        <f>O32-G32-C32</f>
        <v>19841</v>
      </c>
      <c r="O32" s="8">
        <v>44901</v>
      </c>
      <c r="P32" s="17">
        <f>O32/O$39</f>
        <v>0.23635463986987623</v>
      </c>
      <c r="Q32" s="18" t="s">
        <v>36</v>
      </c>
      <c r="R32" s="3"/>
      <c r="S32" s="55" t="str">
        <f>M29</f>
        <v>Övrigt</v>
      </c>
      <c r="T32" s="9">
        <f>M42</f>
        <v>0</v>
      </c>
      <c r="U32" s="45">
        <f>M43</f>
        <v>0</v>
      </c>
    </row>
    <row r="33" spans="1:48" ht="16" x14ac:dyDescent="0.2">
      <c r="A33" s="4" t="s">
        <v>37</v>
      </c>
      <c r="B33" s="8">
        <v>7640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7781</v>
      </c>
      <c r="O33" s="8">
        <v>15421</v>
      </c>
      <c r="P33" s="17">
        <f>O33/O$39</f>
        <v>8.1174693245882307E-2</v>
      </c>
      <c r="Q33" s="18" t="s">
        <v>38</v>
      </c>
      <c r="R33" s="3"/>
      <c r="S33" s="53" t="s">
        <v>34</v>
      </c>
      <c r="T33" s="12">
        <f>C42/1000</f>
        <v>37.813000000000002</v>
      </c>
      <c r="U33" s="14">
        <f>C43</f>
        <v>0.18778464672172193</v>
      </c>
    </row>
    <row r="34" spans="1:48" ht="16" x14ac:dyDescent="0.2">
      <c r="A34" s="4" t="s">
        <v>39</v>
      </c>
      <c r="B34" s="8">
        <v>0</v>
      </c>
      <c r="C34" s="8">
        <v>34073</v>
      </c>
      <c r="D34" s="8">
        <v>0</v>
      </c>
      <c r="E34" s="8">
        <v>0</v>
      </c>
      <c r="F34" s="8">
        <v>3135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535</v>
      </c>
      <c r="O34" s="8">
        <v>37744</v>
      </c>
      <c r="P34" s="17">
        <f>O34/O$39</f>
        <v>0.19868086517557759</v>
      </c>
      <c r="Q34" s="18" t="s">
        <v>40</v>
      </c>
      <c r="R34" s="3"/>
      <c r="S34" s="3"/>
      <c r="T34" s="12">
        <f>SUM(T22:T33)</f>
        <v>201.36363999999998</v>
      </c>
      <c r="U34" s="13">
        <f>SUM(U22:U33)</f>
        <v>0.99999999999999989</v>
      </c>
    </row>
    <row r="35" spans="1:48" ht="16" x14ac:dyDescent="0.2">
      <c r="A35" s="4" t="s">
        <v>41</v>
      </c>
      <c r="B35" s="8">
        <v>0</v>
      </c>
      <c r="C35" s="8">
        <v>1407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15031</v>
      </c>
      <c r="O35" s="8">
        <v>16438</v>
      </c>
      <c r="P35" s="17">
        <f>O35/O$39</f>
        <v>8.6528085570054689E-2</v>
      </c>
      <c r="Q35" s="18" t="s">
        <v>42</v>
      </c>
      <c r="R35" s="18"/>
    </row>
    <row r="36" spans="1:48" ht="16" x14ac:dyDescent="0.2">
      <c r="A36" s="4" t="s">
        <v>43</v>
      </c>
      <c r="B36" s="8">
        <v>60</v>
      </c>
      <c r="C36" s="8">
        <v>104</v>
      </c>
      <c r="D36" s="8">
        <v>0</v>
      </c>
      <c r="E36" s="8">
        <v>0</v>
      </c>
      <c r="F36" s="8">
        <v>0</v>
      </c>
      <c r="G36" s="58">
        <v>18500</v>
      </c>
      <c r="H36" s="8">
        <v>0</v>
      </c>
      <c r="I36" s="8"/>
      <c r="J36" s="8"/>
      <c r="K36" s="8"/>
      <c r="L36" s="8"/>
      <c r="M36" s="27"/>
      <c r="N36" s="8">
        <v>34106</v>
      </c>
      <c r="O36" s="58">
        <f>SUM(B36:N36)</f>
        <v>52770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6700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58">
        <f>O37-B37</f>
        <v>2096</v>
      </c>
      <c r="O37" s="58">
        <f>O39-SUM(O31:O36)-O38</f>
        <v>8796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6519</v>
      </c>
      <c r="O38" s="8">
        <v>6519</v>
      </c>
      <c r="P38" s="18">
        <f>SUM(P31:P35)</f>
        <v>0.6416069652003179</v>
      </c>
      <c r="Q38" s="18"/>
      <c r="R38" s="3"/>
      <c r="S38" s="7" t="s">
        <v>46</v>
      </c>
      <c r="T38" s="19">
        <f>O45/1000</f>
        <v>8.9006399999999992</v>
      </c>
      <c r="U38" s="7"/>
    </row>
    <row r="39" spans="1:48" ht="16" x14ac:dyDescent="0.2">
      <c r="A39" s="4" t="s">
        <v>15</v>
      </c>
      <c r="B39" s="8">
        <v>14400</v>
      </c>
      <c r="C39" s="8">
        <v>37733</v>
      </c>
      <c r="D39" s="8">
        <v>0</v>
      </c>
      <c r="E39" s="8">
        <v>0</v>
      </c>
      <c r="F39" s="8">
        <v>3314</v>
      </c>
      <c r="G39" s="8">
        <v>43268</v>
      </c>
      <c r="H39" s="8">
        <v>0</v>
      </c>
      <c r="I39" s="8"/>
      <c r="J39" s="8"/>
      <c r="K39" s="8"/>
      <c r="L39" s="8"/>
      <c r="M39" s="27"/>
      <c r="N39" s="8">
        <v>91258</v>
      </c>
      <c r="O39" s="8">
        <v>189973</v>
      </c>
      <c r="P39" s="3"/>
      <c r="Q39" s="3"/>
      <c r="R39" s="3"/>
      <c r="S39" s="7" t="s">
        <v>47</v>
      </c>
      <c r="T39" s="20">
        <f>O41/1000</f>
        <v>68.084999999999994</v>
      </c>
      <c r="U39" s="13">
        <f>P41</f>
        <v>0.35839303479968204</v>
      </c>
    </row>
    <row r="40" spans="1:48" x14ac:dyDescent="0.2">
      <c r="A40" s="2" t="s">
        <v>69</v>
      </c>
      <c r="B40" s="9">
        <f t="shared" ref="B40:H40" si="0">SUM(B31:B38)</f>
        <v>14400</v>
      </c>
      <c r="C40" s="9">
        <f t="shared" si="0"/>
        <v>37732</v>
      </c>
      <c r="D40" s="9">
        <f t="shared" si="0"/>
        <v>0</v>
      </c>
      <c r="E40" s="9">
        <f t="shared" si="0"/>
        <v>0</v>
      </c>
      <c r="F40" s="9">
        <f t="shared" si="0"/>
        <v>3314</v>
      </c>
      <c r="G40" s="9">
        <f t="shared" si="0"/>
        <v>43268</v>
      </c>
      <c r="H40" s="9">
        <f t="shared" si="0"/>
        <v>0</v>
      </c>
      <c r="N40" s="9">
        <f>SUM(N31:N38)</f>
        <v>91258</v>
      </c>
      <c r="O40" s="9">
        <f>SUM(O31:O38)</f>
        <v>189973</v>
      </c>
      <c r="S40" s="7" t="s">
        <v>48</v>
      </c>
      <c r="T40" s="20">
        <f>O35/1000</f>
        <v>16.437999999999999</v>
      </c>
      <c r="U40" s="14">
        <f>P35</f>
        <v>8.6528085570054689E-2</v>
      </c>
    </row>
    <row r="41" spans="1:48" ht="16" x14ac:dyDescent="0.2">
      <c r="A41" s="21" t="s">
        <v>49</v>
      </c>
      <c r="B41" s="22">
        <f>B38+B37+B36</f>
        <v>6760</v>
      </c>
      <c r="C41" s="22">
        <f t="shared" ref="C41:O41" si="1">C38+C37+C36</f>
        <v>104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18500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42721</v>
      </c>
      <c r="O41" s="22">
        <f t="shared" si="1"/>
        <v>68085</v>
      </c>
      <c r="P41" s="17">
        <f>O41/O$39</f>
        <v>0.35839303479968204</v>
      </c>
      <c r="Q41" s="17" t="s">
        <v>50</v>
      </c>
      <c r="R41" s="7"/>
      <c r="S41" s="7" t="s">
        <v>51</v>
      </c>
      <c r="T41" s="20">
        <f>O33/1000</f>
        <v>15.420999999999999</v>
      </c>
      <c r="U41" s="13">
        <f>P33</f>
        <v>8.1174693245882307E-2</v>
      </c>
    </row>
    <row r="42" spans="1:48" ht="16" x14ac:dyDescent="0.2">
      <c r="A42" s="23" t="s">
        <v>52</v>
      </c>
      <c r="B42" s="22"/>
      <c r="C42" s="24">
        <f>C39+C23+C10</f>
        <v>37813</v>
      </c>
      <c r="D42" s="24">
        <f t="shared" ref="D42:M42" si="2">D39+D23+D10</f>
        <v>0</v>
      </c>
      <c r="E42" s="24">
        <f t="shared" si="2"/>
        <v>0</v>
      </c>
      <c r="F42" s="24">
        <f t="shared" si="2"/>
        <v>3314</v>
      </c>
      <c r="G42" s="24">
        <f t="shared" si="2"/>
        <v>61678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98558.64</v>
      </c>
      <c r="O42" s="25">
        <f>SUM(C42:N42)</f>
        <v>201363.64</v>
      </c>
      <c r="P42" s="7"/>
      <c r="Q42" s="7"/>
      <c r="R42" s="7"/>
      <c r="S42" s="7" t="s">
        <v>33</v>
      </c>
      <c r="T42" s="20">
        <f>O31/1000</f>
        <v>7.3840000000000003</v>
      </c>
      <c r="U42" s="13">
        <f>P31</f>
        <v>3.8868681338927111E-2</v>
      </c>
    </row>
    <row r="43" spans="1:48" ht="16" x14ac:dyDescent="0.2">
      <c r="A43" s="23" t="s">
        <v>53</v>
      </c>
      <c r="B43" s="22"/>
      <c r="C43" s="17">
        <f t="shared" ref="C43:N43" si="3">C42/$O42</f>
        <v>0.18778464672172193</v>
      </c>
      <c r="D43" s="17">
        <f t="shared" si="3"/>
        <v>0</v>
      </c>
      <c r="E43" s="17">
        <f t="shared" si="3"/>
        <v>0</v>
      </c>
      <c r="F43" s="17">
        <f t="shared" si="3"/>
        <v>1.6457787513177651E-2</v>
      </c>
      <c r="G43" s="17">
        <f t="shared" si="3"/>
        <v>0.30630157460403473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</v>
      </c>
      <c r="N43" s="17">
        <f t="shared" si="3"/>
        <v>0.48945599116106558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44.901000000000003</v>
      </c>
      <c r="U43" s="14">
        <f>P32</f>
        <v>0.23635463986987623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37.744</v>
      </c>
      <c r="U44" s="14">
        <f>P34</f>
        <v>0.19868086517557759</v>
      </c>
    </row>
    <row r="45" spans="1:48" ht="16" x14ac:dyDescent="0.2">
      <c r="A45" s="6" t="s">
        <v>56</v>
      </c>
      <c r="B45" s="6">
        <f>B23-B39</f>
        <v>1600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7300.64</v>
      </c>
      <c r="O45" s="25">
        <f>B45+N45</f>
        <v>8900.64</v>
      </c>
      <c r="P45" s="7"/>
      <c r="Q45" s="7"/>
      <c r="R45" s="7"/>
      <c r="S45" s="7" t="s">
        <v>57</v>
      </c>
      <c r="T45" s="20">
        <f>SUM(T39:T44)</f>
        <v>189.97299999999998</v>
      </c>
      <c r="U45" s="13">
        <f>SUM(U39:U44)</f>
        <v>1</v>
      </c>
    </row>
    <row r="46" spans="1:48" ht="16" x14ac:dyDescent="0.2">
      <c r="A46" s="6"/>
      <c r="B46" s="5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ht="16" x14ac:dyDescent="0.2">
      <c r="A47" s="4"/>
      <c r="B47" s="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27"/>
      <c r="O47" s="15"/>
      <c r="P47" s="15"/>
      <c r="Q47" s="27"/>
      <c r="R47" s="4"/>
      <c r="S47" s="4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7"/>
      <c r="AH47" s="4"/>
      <c r="AI47" s="4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</row>
    <row r="48" spans="1:48" ht="16" x14ac:dyDescent="0.2">
      <c r="A48" s="27"/>
      <c r="B48" s="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27"/>
      <c r="O48" s="15"/>
      <c r="P48" s="15"/>
      <c r="Q48" s="27"/>
      <c r="R48" s="27"/>
      <c r="S48" s="4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7"/>
      <c r="AH48" s="27"/>
      <c r="AI48" s="4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</row>
    <row r="49" spans="1:48" ht="16" x14ac:dyDescent="0.2">
      <c r="A49" s="27"/>
      <c r="B49" s="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27"/>
      <c r="O49" s="15"/>
      <c r="P49" s="15"/>
      <c r="Q49" s="27"/>
      <c r="R49" s="27"/>
      <c r="S49" s="4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7"/>
      <c r="AH49" s="27"/>
      <c r="AI49" s="4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</row>
    <row r="50" spans="1:48" ht="16" x14ac:dyDescent="0.2">
      <c r="A50" s="27"/>
      <c r="B50" s="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27"/>
      <c r="O50" s="15"/>
      <c r="P50" s="15"/>
      <c r="Q50" s="27"/>
      <c r="R50" s="27"/>
      <c r="S50" s="4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7"/>
      <c r="AH50" s="27"/>
      <c r="AI50" s="4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1:48" ht="16" x14ac:dyDescent="0.2">
      <c r="A51" s="27"/>
      <c r="B51" s="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27"/>
      <c r="O51" s="15"/>
      <c r="P51" s="15"/>
      <c r="Q51" s="27"/>
      <c r="R51" s="27"/>
      <c r="S51" s="4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7"/>
      <c r="AH51" s="27"/>
      <c r="AI51" s="4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1:48" ht="16" x14ac:dyDescent="0.2">
      <c r="A52" s="27"/>
      <c r="B52" s="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27"/>
      <c r="O52" s="15"/>
      <c r="P52" s="15"/>
      <c r="Q52" s="27"/>
      <c r="R52" s="27"/>
      <c r="S52" s="4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7"/>
      <c r="AH52" s="27"/>
      <c r="AI52" s="4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1:48" ht="16" x14ac:dyDescent="0.2">
      <c r="A53" s="27"/>
      <c r="B53" s="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27"/>
      <c r="O53" s="15"/>
      <c r="P53" s="15"/>
      <c r="Q53" s="27"/>
      <c r="R53" s="27"/>
      <c r="S53" s="4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7"/>
      <c r="AH53" s="27"/>
      <c r="AI53" s="4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1:48" ht="16" x14ac:dyDescent="0.2">
      <c r="A54" s="27"/>
      <c r="B54" s="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27"/>
      <c r="O54" s="15"/>
      <c r="P54" s="15"/>
      <c r="Q54" s="27"/>
      <c r="R54" s="27"/>
      <c r="S54" s="4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7"/>
      <c r="AH54" s="27"/>
      <c r="AI54" s="4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</row>
    <row r="55" spans="1:48" ht="16" x14ac:dyDescent="0.2">
      <c r="A55" s="27"/>
      <c r="B55" s="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27"/>
      <c r="O55" s="15"/>
      <c r="P55" s="15"/>
      <c r="Q55" s="27"/>
      <c r="R55" s="27"/>
      <c r="S55" s="4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27"/>
      <c r="AH55" s="27"/>
      <c r="AI55" s="4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</row>
    <row r="56" spans="1:48" ht="16" x14ac:dyDescent="0.2">
      <c r="A56" s="27"/>
      <c r="B56" s="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27"/>
      <c r="O56" s="15"/>
      <c r="P56" s="15"/>
      <c r="Q56" s="27"/>
      <c r="R56" s="27"/>
      <c r="S56" s="4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27"/>
      <c r="AH56" s="27"/>
      <c r="AI56" s="4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4" enableFormatConditionsCalculation="0"/>
  <dimension ref="A1:AV70"/>
  <sheetViews>
    <sheetView workbookViewId="0">
      <selection activeCell="D47" sqref="D47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62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6" x14ac:dyDescent="0.2">
      <c r="A4" s="67" t="s">
        <v>70</v>
      </c>
      <c r="B4" s="75">
        <v>430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1605239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8">
        <v>110027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8">
        <f>SUM(B4:B9)</f>
        <v>1715696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71">
        <f>O18*0.88</f>
        <v>21317.119999999999</v>
      </c>
      <c r="C18" s="63">
        <v>400</v>
      </c>
      <c r="D18" s="8">
        <v>0</v>
      </c>
      <c r="E18" s="8">
        <v>0</v>
      </c>
      <c r="F18" s="8">
        <v>0</v>
      </c>
      <c r="G18" s="63">
        <v>23124</v>
      </c>
      <c r="H18" s="8">
        <v>0</v>
      </c>
      <c r="I18" s="8"/>
      <c r="J18" s="8"/>
      <c r="K18" s="8"/>
      <c r="L18" s="8"/>
      <c r="M18" s="8"/>
      <c r="N18" s="63">
        <v>700</v>
      </c>
      <c r="O18" s="63">
        <f>SUM(C18:N18)</f>
        <v>24224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70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 t="s">
        <v>25</v>
      </c>
      <c r="T19" s="11">
        <f>O42/1000</f>
        <v>300.26400000000001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3" t="s">
        <v>9</v>
      </c>
      <c r="T22" s="12">
        <f>N42/1000</f>
        <v>182.54499999999999</v>
      </c>
      <c r="U22" s="13">
        <f>N43</f>
        <v>0.60794833879519361</v>
      </c>
    </row>
    <row r="23" spans="1:21" ht="16" x14ac:dyDescent="0.2">
      <c r="A23" s="4" t="s">
        <v>15</v>
      </c>
      <c r="B23" s="71">
        <f>SUM(B17:B22)</f>
        <v>21317.119999999999</v>
      </c>
      <c r="C23" s="63">
        <f>SUM(C17:C22)</f>
        <v>400</v>
      </c>
      <c r="D23" s="8">
        <v>0</v>
      </c>
      <c r="E23" s="8">
        <v>0</v>
      </c>
      <c r="F23" s="8">
        <v>0</v>
      </c>
      <c r="G23" s="63">
        <f>SUM(G17:G22)</f>
        <v>23124</v>
      </c>
      <c r="H23" s="8">
        <v>0</v>
      </c>
      <c r="I23" s="8"/>
      <c r="J23" s="8"/>
      <c r="K23" s="8"/>
      <c r="L23" s="8"/>
      <c r="M23" s="8"/>
      <c r="N23" s="63">
        <f>SUM(N17:N22)</f>
        <v>700</v>
      </c>
      <c r="O23" s="63">
        <f>SUM(O17:O22)</f>
        <v>24224</v>
      </c>
      <c r="P23" s="3"/>
      <c r="Q23" s="3"/>
      <c r="R23" s="3"/>
      <c r="S23" s="53" t="s">
        <v>58</v>
      </c>
      <c r="T23" s="12">
        <f>G42/1000</f>
        <v>49.606000000000002</v>
      </c>
      <c r="U23" s="14">
        <f>G43</f>
        <v>0.16520795033703675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4" t="str">
        <f>J29</f>
        <v>Torv</v>
      </c>
      <c r="T24" s="12">
        <f>J42/1000</f>
        <v>0</v>
      </c>
      <c r="U24" s="13">
        <f>J43</f>
        <v>0</v>
      </c>
    </row>
    <row r="25" spans="1:21" ht="15.75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3" t="s">
        <v>30</v>
      </c>
      <c r="T25" s="12">
        <f>F42/1000</f>
        <v>4.8010000000000002</v>
      </c>
      <c r="U25" s="13">
        <f>F43</f>
        <v>1.5989262782085099E-2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3" t="s">
        <v>3</v>
      </c>
      <c r="T26" s="11">
        <f>E42/1000</f>
        <v>0</v>
      </c>
      <c r="U26" s="13">
        <f>E43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5" t="str">
        <f>D29</f>
        <v>Kol och koks</v>
      </c>
      <c r="T27" s="2">
        <f>D42/1000</f>
        <v>0</v>
      </c>
      <c r="U27" s="45">
        <f>D43</f>
        <v>0</v>
      </c>
    </row>
    <row r="28" spans="1:21" ht="15.75" x14ac:dyDescent="0.25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5" t="str">
        <f>K29</f>
        <v>Avfall</v>
      </c>
      <c r="T28" s="2">
        <f>K42/1000</f>
        <v>0</v>
      </c>
      <c r="U28" s="45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4" t="str">
        <f>I29</f>
        <v>Avlutar</v>
      </c>
      <c r="T29" s="12">
        <f>I42/1000</f>
        <v>0</v>
      </c>
      <c r="U29" s="13">
        <f>I43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4" t="str">
        <f>H29</f>
        <v>Biogas</v>
      </c>
      <c r="T30" s="12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8">
        <v>6802</v>
      </c>
      <c r="D31" s="8">
        <v>0</v>
      </c>
      <c r="E31" s="8">
        <v>0</v>
      </c>
      <c r="F31" s="8">
        <v>704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27657</v>
      </c>
      <c r="O31" s="8">
        <v>35163</v>
      </c>
      <c r="P31" s="17">
        <f>O31/O$39</f>
        <v>0.1252673852876646</v>
      </c>
      <c r="Q31" s="18" t="s">
        <v>33</v>
      </c>
      <c r="R31" s="3"/>
      <c r="S31" s="55" t="str">
        <f>L29</f>
        <v>Övrigt</v>
      </c>
      <c r="T31" s="12">
        <f>L42/1000</f>
        <v>0</v>
      </c>
      <c r="U31" s="45">
        <f>L43</f>
        <v>0</v>
      </c>
    </row>
    <row r="32" spans="1:21" ht="16" x14ac:dyDescent="0.2">
      <c r="A32" s="4" t="s">
        <v>35</v>
      </c>
      <c r="B32" s="8">
        <v>0</v>
      </c>
      <c r="C32" s="58">
        <f>O32-N32-G32</f>
        <v>4931</v>
      </c>
      <c r="D32" s="8">
        <v>0</v>
      </c>
      <c r="E32" s="8">
        <v>0</v>
      </c>
      <c r="F32" s="8">
        <v>0</v>
      </c>
      <c r="G32" s="58">
        <f>G39-G36</f>
        <v>182</v>
      </c>
      <c r="H32" s="8">
        <v>0</v>
      </c>
      <c r="I32" s="8"/>
      <c r="J32" s="8"/>
      <c r="K32" s="8"/>
      <c r="L32" s="8"/>
      <c r="M32" s="27"/>
      <c r="N32" s="8">
        <v>23713</v>
      </c>
      <c r="O32" s="8">
        <v>28826</v>
      </c>
      <c r="P32" s="17">
        <f>O32/O$39</f>
        <v>0.10269196736064101</v>
      </c>
      <c r="Q32" s="18" t="s">
        <v>36</v>
      </c>
      <c r="R32" s="3"/>
      <c r="S32" s="55" t="str">
        <f>M29</f>
        <v>Övrigt</v>
      </c>
      <c r="T32" s="9">
        <f>M42</f>
        <v>0</v>
      </c>
      <c r="U32" s="45">
        <f>M43</f>
        <v>0</v>
      </c>
    </row>
    <row r="33" spans="1:48" ht="16" x14ac:dyDescent="0.2">
      <c r="A33" s="4" t="s">
        <v>37</v>
      </c>
      <c r="B33" s="72">
        <f>B23*0.2</f>
        <v>4263.424</v>
      </c>
      <c r="C33" s="8">
        <v>525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21870</v>
      </c>
      <c r="O33" s="74">
        <f>SUM(B33:N33)</f>
        <v>26658.423999999999</v>
      </c>
      <c r="P33" s="17">
        <f>O33/O$39</f>
        <v>9.4970027311945079E-2</v>
      </c>
      <c r="Q33" s="18" t="s">
        <v>38</v>
      </c>
      <c r="R33" s="3"/>
      <c r="S33" s="53" t="s">
        <v>34</v>
      </c>
      <c r="T33" s="12">
        <f>C42/1000</f>
        <v>63.311999999999998</v>
      </c>
      <c r="U33" s="14">
        <f>C43</f>
        <v>0.2108544480856846</v>
      </c>
    </row>
    <row r="34" spans="1:48" ht="16" x14ac:dyDescent="0.2">
      <c r="A34" s="4" t="s">
        <v>39</v>
      </c>
      <c r="B34" s="8">
        <v>0</v>
      </c>
      <c r="C34" s="58">
        <f>C39-C35-C31-C32-C33</f>
        <v>49428</v>
      </c>
      <c r="D34" s="8">
        <v>0</v>
      </c>
      <c r="E34" s="8">
        <v>0</v>
      </c>
      <c r="F34" s="8">
        <v>4097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469</v>
      </c>
      <c r="O34" s="58">
        <f>SUM(B34:N34)</f>
        <v>53994</v>
      </c>
      <c r="P34" s="17">
        <f>O34/O$39</f>
        <v>0.19235239317527408</v>
      </c>
      <c r="Q34" s="18" t="s">
        <v>40</v>
      </c>
      <c r="R34" s="3"/>
      <c r="S34" s="3"/>
      <c r="T34" s="12">
        <f>SUM(T22:T33)</f>
        <v>300.26399999999995</v>
      </c>
      <c r="U34" s="13">
        <f>SUM(U22:U33)</f>
        <v>1</v>
      </c>
    </row>
    <row r="35" spans="1:48" ht="16" x14ac:dyDescent="0.2">
      <c r="A35" s="4" t="s">
        <v>41</v>
      </c>
      <c r="B35" s="72">
        <f>B23*0.2</f>
        <v>4263.424</v>
      </c>
      <c r="C35" s="8">
        <v>1226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18942</v>
      </c>
      <c r="O35" s="74">
        <f>SUM(B35:N35)</f>
        <v>24431.423999999999</v>
      </c>
      <c r="P35" s="17">
        <f>O35/O$39</f>
        <v>8.7036390618954462E-2</v>
      </c>
      <c r="Q35" s="18" t="s">
        <v>42</v>
      </c>
      <c r="R35" s="18"/>
    </row>
    <row r="36" spans="1:48" ht="16" x14ac:dyDescent="0.2">
      <c r="A36" s="4" t="s">
        <v>43</v>
      </c>
      <c r="B36" s="72">
        <f>B23*0.05</f>
        <v>1065.856</v>
      </c>
      <c r="C36" s="8">
        <v>14</v>
      </c>
      <c r="D36" s="8">
        <v>0</v>
      </c>
      <c r="E36" s="8">
        <v>0</v>
      </c>
      <c r="F36" s="8">
        <v>0</v>
      </c>
      <c r="G36" s="58">
        <v>26300</v>
      </c>
      <c r="H36" s="8">
        <v>0</v>
      </c>
      <c r="I36" s="8"/>
      <c r="J36" s="8"/>
      <c r="K36" s="8"/>
      <c r="L36" s="8"/>
      <c r="M36" s="27"/>
      <c r="N36" s="8">
        <v>53578</v>
      </c>
      <c r="O36" s="74">
        <f t="shared" ref="O36:O37" si="0">SUM(B36:N36)</f>
        <v>80957.856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72">
        <f>B23*0.4</f>
        <v>8526.848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7065</v>
      </c>
      <c r="O37" s="74">
        <f t="shared" si="0"/>
        <v>15591.848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15081</v>
      </c>
      <c r="O38" s="8">
        <v>15081</v>
      </c>
      <c r="P38" s="18">
        <f>SUM(P31:P35)</f>
        <v>0.60231816375447922</v>
      </c>
      <c r="Q38" s="18"/>
      <c r="R38" s="3"/>
      <c r="S38" s="7" t="s">
        <v>46</v>
      </c>
      <c r="T38" s="19">
        <f>O45/1000</f>
        <v>16.79712</v>
      </c>
      <c r="U38" s="7"/>
    </row>
    <row r="39" spans="1:48" ht="16" x14ac:dyDescent="0.2">
      <c r="A39" s="4" t="s">
        <v>15</v>
      </c>
      <c r="B39" s="63">
        <v>17990</v>
      </c>
      <c r="C39" s="8">
        <v>62912</v>
      </c>
      <c r="D39" s="8">
        <v>0</v>
      </c>
      <c r="E39" s="8">
        <v>0</v>
      </c>
      <c r="F39" s="8">
        <v>4801</v>
      </c>
      <c r="G39" s="8">
        <v>26482</v>
      </c>
      <c r="H39" s="8">
        <v>0</v>
      </c>
      <c r="I39" s="8"/>
      <c r="J39" s="8"/>
      <c r="K39" s="8"/>
      <c r="L39" s="8"/>
      <c r="M39" s="27"/>
      <c r="N39" s="8">
        <v>168375</v>
      </c>
      <c r="O39" s="71">
        <f>SUM(O31:O38)</f>
        <v>280703.55200000003</v>
      </c>
      <c r="P39" s="3"/>
      <c r="Q39" s="3"/>
      <c r="R39" s="3"/>
      <c r="S39" s="7" t="s">
        <v>47</v>
      </c>
      <c r="T39" s="20">
        <f>O41/1000</f>
        <v>111.63070399999999</v>
      </c>
      <c r="U39" s="13">
        <f>P41</f>
        <v>0.39768183624552061</v>
      </c>
    </row>
    <row r="40" spans="1:48" x14ac:dyDescent="0.2">
      <c r="S40" s="7" t="s">
        <v>48</v>
      </c>
      <c r="T40" s="20">
        <f>O35/1000</f>
        <v>24.431424</v>
      </c>
      <c r="U40" s="14">
        <f>P35</f>
        <v>8.7036390618954462E-2</v>
      </c>
    </row>
    <row r="41" spans="1:48" ht="16" x14ac:dyDescent="0.2">
      <c r="A41" s="21" t="s">
        <v>49</v>
      </c>
      <c r="B41" s="22">
        <f>B38+B37+B36</f>
        <v>9592.7039999999997</v>
      </c>
      <c r="C41" s="22">
        <f t="shared" ref="C41:O41" si="1">C38+C37+C36</f>
        <v>14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26300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75724</v>
      </c>
      <c r="O41" s="22">
        <f t="shared" si="1"/>
        <v>111630.704</v>
      </c>
      <c r="P41" s="17">
        <f>O41/O$39</f>
        <v>0.39768183624552061</v>
      </c>
      <c r="Q41" s="17" t="s">
        <v>50</v>
      </c>
      <c r="R41" s="7"/>
      <c r="S41" s="7" t="s">
        <v>51</v>
      </c>
      <c r="T41" s="20">
        <f>O33/1000</f>
        <v>26.658424</v>
      </c>
      <c r="U41" s="13">
        <f>P33</f>
        <v>9.4970027311945079E-2</v>
      </c>
    </row>
    <row r="42" spans="1:48" ht="16" x14ac:dyDescent="0.2">
      <c r="A42" s="23" t="s">
        <v>52</v>
      </c>
      <c r="B42" s="22"/>
      <c r="C42" s="24">
        <f>C39+C23+C10</f>
        <v>63312</v>
      </c>
      <c r="D42" s="24">
        <f t="shared" ref="D42:M42" si="2">D39+D23+D10</f>
        <v>0</v>
      </c>
      <c r="E42" s="24">
        <f t="shared" si="2"/>
        <v>0</v>
      </c>
      <c r="F42" s="24">
        <f t="shared" si="2"/>
        <v>4801</v>
      </c>
      <c r="G42" s="24">
        <f t="shared" si="2"/>
        <v>49606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182545</v>
      </c>
      <c r="O42" s="25">
        <f>SUM(C42:N42)</f>
        <v>300264</v>
      </c>
      <c r="P42" s="7"/>
      <c r="Q42" s="7"/>
      <c r="R42" s="7"/>
      <c r="S42" s="7" t="s">
        <v>33</v>
      </c>
      <c r="T42" s="20">
        <f>O31/1000</f>
        <v>35.162999999999997</v>
      </c>
      <c r="U42" s="13">
        <f>P31</f>
        <v>0.1252673852876646</v>
      </c>
    </row>
    <row r="43" spans="1:48" ht="16" x14ac:dyDescent="0.2">
      <c r="A43" s="23" t="s">
        <v>53</v>
      </c>
      <c r="B43" s="22"/>
      <c r="C43" s="17">
        <f t="shared" ref="C43:N43" si="3">C42/$O42</f>
        <v>0.2108544480856846</v>
      </c>
      <c r="D43" s="17">
        <f t="shared" si="3"/>
        <v>0</v>
      </c>
      <c r="E43" s="17">
        <f t="shared" si="3"/>
        <v>0</v>
      </c>
      <c r="F43" s="17">
        <f t="shared" si="3"/>
        <v>1.5989262782085099E-2</v>
      </c>
      <c r="G43" s="17">
        <f t="shared" si="3"/>
        <v>0.16520795033703675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</v>
      </c>
      <c r="N43" s="17">
        <f t="shared" si="3"/>
        <v>0.60794833879519361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28.826000000000001</v>
      </c>
      <c r="U43" s="14">
        <f>P32</f>
        <v>0.10269196736064101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53.994</v>
      </c>
      <c r="U44" s="14">
        <f>P34</f>
        <v>0.19235239317527408</v>
      </c>
    </row>
    <row r="45" spans="1:48" ht="16" x14ac:dyDescent="0.2">
      <c r="A45" s="6" t="s">
        <v>56</v>
      </c>
      <c r="B45" s="6">
        <f>B23-B39</f>
        <v>3327.119999999999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13470</v>
      </c>
      <c r="O45" s="25">
        <f>B45+N45</f>
        <v>16797.12</v>
      </c>
      <c r="P45" s="7"/>
      <c r="Q45" s="7"/>
      <c r="R45" s="7"/>
      <c r="S45" s="7" t="s">
        <v>57</v>
      </c>
      <c r="T45" s="20">
        <f>SUM(T39:T44)</f>
        <v>280.703552</v>
      </c>
      <c r="U45" s="13">
        <f>SUM(U39:U44)</f>
        <v>0.99999999999999978</v>
      </c>
    </row>
    <row r="46" spans="1:48" ht="16" x14ac:dyDescent="0.2">
      <c r="A46" s="6"/>
      <c r="B46" s="5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0"/>
      <c r="E48" s="40"/>
      <c r="F48" s="41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1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1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1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1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1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1"/>
      <c r="G55" s="41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1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1"/>
      <c r="G56" s="41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1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5" enableFormatConditionsCalculation="0"/>
  <dimension ref="A1:AV70"/>
  <sheetViews>
    <sheetView workbookViewId="0">
      <selection activeCell="D47" sqref="D47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63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6" x14ac:dyDescent="0.2">
      <c r="A4" s="67" t="s">
        <v>70</v>
      </c>
      <c r="B4" s="75">
        <v>79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2046112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8">
        <v>580191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8">
        <f>SUM(B4:B9)</f>
        <v>2626382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63">
        <v>50700</v>
      </c>
      <c r="C18" s="63">
        <v>500</v>
      </c>
      <c r="D18" s="8">
        <v>0</v>
      </c>
      <c r="E18" s="8">
        <v>0</v>
      </c>
      <c r="F18" s="8">
        <v>1490</v>
      </c>
      <c r="G18" s="63">
        <v>50300</v>
      </c>
      <c r="H18" s="8">
        <v>0</v>
      </c>
      <c r="I18" s="8"/>
      <c r="J18" s="8"/>
      <c r="K18" s="8"/>
      <c r="L18" s="8"/>
      <c r="M18" s="8"/>
      <c r="N18" s="8"/>
      <c r="O18" s="63">
        <f>SUM(C18:N18)</f>
        <v>52290</v>
      </c>
      <c r="P18" s="60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 t="s">
        <v>25</v>
      </c>
      <c r="T19" s="11">
        <f>O42/1000</f>
        <v>513.48332000000005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3" t="s">
        <v>9</v>
      </c>
      <c r="T22" s="12">
        <f>N42/1000</f>
        <v>159.76331999999999</v>
      </c>
      <c r="U22" s="13">
        <f>N43</f>
        <v>0.31113633837219873</v>
      </c>
    </row>
    <row r="23" spans="1:21" ht="16" x14ac:dyDescent="0.2">
      <c r="A23" s="4" t="s">
        <v>15</v>
      </c>
      <c r="B23" s="63">
        <f>B18</f>
        <v>50700</v>
      </c>
      <c r="C23" s="63">
        <f>C18</f>
        <v>500</v>
      </c>
      <c r="D23" s="8">
        <v>0</v>
      </c>
      <c r="E23" s="8">
        <v>0</v>
      </c>
      <c r="F23" s="8">
        <v>1490</v>
      </c>
      <c r="G23" s="63">
        <v>50300</v>
      </c>
      <c r="H23" s="8">
        <v>0</v>
      </c>
      <c r="I23" s="8"/>
      <c r="J23" s="8"/>
      <c r="K23" s="8"/>
      <c r="L23" s="8"/>
      <c r="M23" s="8"/>
      <c r="N23" s="8"/>
      <c r="O23" s="63">
        <f>SUM(O17:O22)</f>
        <v>52290</v>
      </c>
      <c r="P23" s="3"/>
      <c r="Q23" s="3"/>
      <c r="R23" s="3"/>
      <c r="S23" s="53" t="s">
        <v>58</v>
      </c>
      <c r="T23" s="12">
        <f>G42/1000</f>
        <v>129.435</v>
      </c>
      <c r="U23" s="14">
        <f>G43</f>
        <v>0.25207245290849956</v>
      </c>
    </row>
    <row r="24" spans="1:21" ht="15.75" x14ac:dyDescent="0.25">
      <c r="B24" s="57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4" t="str">
        <f>J29</f>
        <v>Torv</v>
      </c>
      <c r="T24" s="12">
        <f>J42/1000</f>
        <v>0</v>
      </c>
      <c r="U24" s="13">
        <f>J43</f>
        <v>0</v>
      </c>
    </row>
    <row r="25" spans="1:21" ht="15.75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3" t="s">
        <v>30</v>
      </c>
      <c r="T25" s="12">
        <f>F42/1000</f>
        <v>18.222000000000001</v>
      </c>
      <c r="U25" s="13">
        <f>F43</f>
        <v>3.5487033931306665E-2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3" t="s">
        <v>3</v>
      </c>
      <c r="T26" s="11">
        <f>E42/1000</f>
        <v>0</v>
      </c>
      <c r="U26" s="13">
        <f>E43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5" t="str">
        <f>D29</f>
        <v>Kol och koks</v>
      </c>
      <c r="T27" s="2">
        <f>D42/1000</f>
        <v>0</v>
      </c>
      <c r="U27" s="45">
        <f>D43</f>
        <v>0</v>
      </c>
    </row>
    <row r="28" spans="1:21" ht="15.75" x14ac:dyDescent="0.25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5" t="str">
        <f>K29</f>
        <v>Avfall</v>
      </c>
      <c r="T28" s="2">
        <f>K42/1000</f>
        <v>0</v>
      </c>
      <c r="U28" s="45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4" t="str">
        <f>I29</f>
        <v>Avlutar</v>
      </c>
      <c r="T29" s="12">
        <f>I42/1000</f>
        <v>0</v>
      </c>
      <c r="U29" s="13">
        <f>I43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4" t="str">
        <f>H29</f>
        <v>Biogas</v>
      </c>
      <c r="T30" s="12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8">
        <v>4656</v>
      </c>
      <c r="D31" s="8">
        <v>0</v>
      </c>
      <c r="E31" s="8">
        <v>0</v>
      </c>
      <c r="F31" s="8">
        <v>476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7417</v>
      </c>
      <c r="O31" s="8">
        <v>12549</v>
      </c>
      <c r="P31" s="17">
        <f>O31/O$39</f>
        <v>2.5211299580313932E-2</v>
      </c>
      <c r="Q31" s="18" t="s">
        <v>33</v>
      </c>
      <c r="R31" s="3"/>
      <c r="S31" s="55" t="str">
        <f>L29</f>
        <v>Övrigt</v>
      </c>
      <c r="T31" s="12">
        <f>L42/1000</f>
        <v>0</v>
      </c>
      <c r="U31" s="45">
        <f>L43</f>
        <v>0</v>
      </c>
    </row>
    <row r="32" spans="1:21" ht="16" x14ac:dyDescent="0.2">
      <c r="A32" s="4" t="s">
        <v>35</v>
      </c>
      <c r="B32" s="8">
        <v>2181</v>
      </c>
      <c r="C32" s="8">
        <v>5972</v>
      </c>
      <c r="D32" s="8">
        <v>0</v>
      </c>
      <c r="E32" s="8">
        <v>0</v>
      </c>
      <c r="F32" s="8">
        <v>0</v>
      </c>
      <c r="G32" s="8">
        <v>36316</v>
      </c>
      <c r="H32" s="8">
        <v>0</v>
      </c>
      <c r="I32" s="8"/>
      <c r="J32" s="8"/>
      <c r="K32" s="8"/>
      <c r="L32" s="8"/>
      <c r="M32" s="27"/>
      <c r="N32" s="8">
        <v>19578</v>
      </c>
      <c r="O32" s="8">
        <v>64048</v>
      </c>
      <c r="P32" s="17">
        <f>O32/O$39</f>
        <v>0.12867426213403033</v>
      </c>
      <c r="Q32" s="18" t="s">
        <v>36</v>
      </c>
      <c r="R32" s="3"/>
      <c r="S32" s="55" t="str">
        <f>M29</f>
        <v>Övrigt</v>
      </c>
      <c r="T32" s="9">
        <f>M42</f>
        <v>0</v>
      </c>
      <c r="U32" s="45">
        <f>M43</f>
        <v>0</v>
      </c>
    </row>
    <row r="33" spans="1:48" ht="16" x14ac:dyDescent="0.2">
      <c r="A33" s="4" t="s">
        <v>37</v>
      </c>
      <c r="B33" s="63">
        <v>11555</v>
      </c>
      <c r="C33" s="8">
        <v>58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15057</v>
      </c>
      <c r="O33" s="64">
        <f>SUM(B33:N33)</f>
        <v>26670</v>
      </c>
      <c r="P33" s="17">
        <f>O33/O$39</f>
        <v>5.3580792079605748E-2</v>
      </c>
      <c r="Q33" s="18" t="s">
        <v>38</v>
      </c>
      <c r="R33" s="3"/>
      <c r="S33" s="53" t="s">
        <v>34</v>
      </c>
      <c r="T33" s="12">
        <f>C42/1000</f>
        <v>206.06299999999999</v>
      </c>
      <c r="U33" s="14">
        <f>C43</f>
        <v>0.40130417478799507</v>
      </c>
    </row>
    <row r="34" spans="1:48" ht="16" x14ac:dyDescent="0.2">
      <c r="A34" s="4" t="s">
        <v>39</v>
      </c>
      <c r="B34" s="8">
        <v>0</v>
      </c>
      <c r="C34" s="8">
        <v>191435</v>
      </c>
      <c r="D34" s="8">
        <v>0</v>
      </c>
      <c r="E34" s="8">
        <v>0</v>
      </c>
      <c r="F34" s="8">
        <v>16256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564</v>
      </c>
      <c r="O34" s="8">
        <v>208255</v>
      </c>
      <c r="P34" s="17">
        <f>O34/O$39</f>
        <v>0.41839024576446548</v>
      </c>
      <c r="Q34" s="18" t="s">
        <v>40</v>
      </c>
      <c r="R34" s="3"/>
      <c r="S34" s="3"/>
      <c r="T34" s="12">
        <f>SUM(T22:T33)</f>
        <v>513.48331999999994</v>
      </c>
      <c r="U34" s="13">
        <f>SUM(U22:U33)</f>
        <v>1</v>
      </c>
    </row>
    <row r="35" spans="1:48" ht="16" x14ac:dyDescent="0.2">
      <c r="A35" s="4" t="s">
        <v>41</v>
      </c>
      <c r="B35" s="8">
        <v>3377</v>
      </c>
      <c r="C35" s="8">
        <v>3131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33670</v>
      </c>
      <c r="O35" s="8">
        <v>40178</v>
      </c>
      <c r="P35" s="17">
        <f>O35/O$39</f>
        <v>8.0718750062782146E-2</v>
      </c>
      <c r="Q35" s="18" t="s">
        <v>42</v>
      </c>
      <c r="R35" s="18"/>
    </row>
    <row r="36" spans="1:48" ht="16" x14ac:dyDescent="0.2">
      <c r="A36" s="4" t="s">
        <v>43</v>
      </c>
      <c r="B36" s="63">
        <v>13121</v>
      </c>
      <c r="C36" s="8">
        <v>310</v>
      </c>
      <c r="D36" s="8">
        <v>0</v>
      </c>
      <c r="E36" s="8">
        <v>0</v>
      </c>
      <c r="F36" s="8">
        <v>0</v>
      </c>
      <c r="G36" s="8">
        <v>42819</v>
      </c>
      <c r="H36" s="8">
        <v>0</v>
      </c>
      <c r="I36" s="8"/>
      <c r="J36" s="8"/>
      <c r="K36" s="8"/>
      <c r="L36" s="8"/>
      <c r="M36" s="27"/>
      <c r="N36" s="8">
        <v>53960</v>
      </c>
      <c r="O36" s="64">
        <f>SUM(B36:N36)</f>
        <v>110210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63">
        <v>18160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6026</v>
      </c>
      <c r="O37" s="64">
        <f>SUM(B37:N37)</f>
        <v>24186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11657</v>
      </c>
      <c r="O38" s="8">
        <v>11657</v>
      </c>
      <c r="P38" s="18">
        <f>SUM(P31:P35)</f>
        <v>0.70657534962119772</v>
      </c>
      <c r="Q38" s="18"/>
      <c r="R38" s="3"/>
      <c r="S38" s="7" t="s">
        <v>46</v>
      </c>
      <c r="T38" s="19">
        <f>O45/1000</f>
        <v>14.140319999999999</v>
      </c>
      <c r="U38" s="7"/>
    </row>
    <row r="39" spans="1:48" ht="16" x14ac:dyDescent="0.2">
      <c r="A39" s="4" t="s">
        <v>15</v>
      </c>
      <c r="B39" s="63">
        <f>SUM(B32:B38)</f>
        <v>48394</v>
      </c>
      <c r="C39" s="8">
        <v>205563</v>
      </c>
      <c r="D39" s="8">
        <v>0</v>
      </c>
      <c r="E39" s="8">
        <v>0</v>
      </c>
      <c r="F39" s="8">
        <v>16732</v>
      </c>
      <c r="G39" s="8">
        <v>79135</v>
      </c>
      <c r="H39" s="8">
        <v>0</v>
      </c>
      <c r="I39" s="8"/>
      <c r="J39" s="8"/>
      <c r="K39" s="8"/>
      <c r="L39" s="8"/>
      <c r="M39" s="27"/>
      <c r="N39" s="8">
        <v>147929</v>
      </c>
      <c r="O39" s="64">
        <f>SUM(O31:O38)</f>
        <v>497753</v>
      </c>
      <c r="P39" s="3"/>
      <c r="Q39" s="3"/>
      <c r="R39" s="3"/>
      <c r="S39" s="7" t="s">
        <v>47</v>
      </c>
      <c r="T39" s="20">
        <f>O41/1000</f>
        <v>146.053</v>
      </c>
      <c r="U39" s="13">
        <f>P41</f>
        <v>0.29342465037880233</v>
      </c>
    </row>
    <row r="40" spans="1:48" x14ac:dyDescent="0.2">
      <c r="S40" s="7" t="s">
        <v>48</v>
      </c>
      <c r="T40" s="20">
        <f>O35/1000</f>
        <v>40.177999999999997</v>
      </c>
      <c r="U40" s="14">
        <f>P35</f>
        <v>8.0718750062782146E-2</v>
      </c>
    </row>
    <row r="41" spans="1:48" ht="16" x14ac:dyDescent="0.2">
      <c r="A41" s="21" t="s">
        <v>49</v>
      </c>
      <c r="B41" s="22">
        <f>B38+B37+B36</f>
        <v>31281</v>
      </c>
      <c r="C41" s="22">
        <f t="shared" ref="C41:O41" si="0">C38+C37+C36</f>
        <v>310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42819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71643</v>
      </c>
      <c r="O41" s="22">
        <f t="shared" si="0"/>
        <v>146053</v>
      </c>
      <c r="P41" s="17">
        <f>O41/O$39</f>
        <v>0.29342465037880233</v>
      </c>
      <c r="Q41" s="17" t="s">
        <v>50</v>
      </c>
      <c r="R41" s="7"/>
      <c r="S41" s="7" t="s">
        <v>51</v>
      </c>
      <c r="T41" s="20">
        <f>O33/1000</f>
        <v>26.67</v>
      </c>
      <c r="U41" s="13">
        <f>P33</f>
        <v>5.3580792079605748E-2</v>
      </c>
    </row>
    <row r="42" spans="1:48" ht="16" x14ac:dyDescent="0.2">
      <c r="A42" s="23" t="s">
        <v>52</v>
      </c>
      <c r="B42" s="22"/>
      <c r="C42" s="24">
        <f>C39+C23+C10</f>
        <v>206063</v>
      </c>
      <c r="D42" s="24">
        <f t="shared" ref="D42:M42" si="1">D39+D23+D10</f>
        <v>0</v>
      </c>
      <c r="E42" s="24">
        <f t="shared" si="1"/>
        <v>0</v>
      </c>
      <c r="F42" s="24">
        <f t="shared" si="1"/>
        <v>18222</v>
      </c>
      <c r="G42" s="24">
        <f t="shared" si="1"/>
        <v>129435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159763.32</v>
      </c>
      <c r="O42" s="25">
        <f>SUM(C42:N42)</f>
        <v>513483.32</v>
      </c>
      <c r="P42" s="7"/>
      <c r="Q42" s="7"/>
      <c r="R42" s="7"/>
      <c r="S42" s="7" t="s">
        <v>33</v>
      </c>
      <c r="T42" s="20">
        <f>O31/1000</f>
        <v>12.548999999999999</v>
      </c>
      <c r="U42" s="13">
        <f>P31</f>
        <v>2.5211299580313932E-2</v>
      </c>
    </row>
    <row r="43" spans="1:48" ht="16" x14ac:dyDescent="0.2">
      <c r="A43" s="23" t="s">
        <v>53</v>
      </c>
      <c r="B43" s="22"/>
      <c r="C43" s="17">
        <f t="shared" ref="C43:N43" si="2">C42/$O42</f>
        <v>0.40130417478799507</v>
      </c>
      <c r="D43" s="17">
        <f t="shared" si="2"/>
        <v>0</v>
      </c>
      <c r="E43" s="17">
        <f t="shared" si="2"/>
        <v>0</v>
      </c>
      <c r="F43" s="17">
        <f t="shared" si="2"/>
        <v>3.5487033931306665E-2</v>
      </c>
      <c r="G43" s="17">
        <f t="shared" si="2"/>
        <v>0.25207245290849956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0.31113633837219873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64.048000000000002</v>
      </c>
      <c r="U43" s="14">
        <f>P32</f>
        <v>0.12867426213403033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208.255</v>
      </c>
      <c r="U44" s="14">
        <f>P34</f>
        <v>0.41839024576446548</v>
      </c>
    </row>
    <row r="45" spans="1:48" ht="16" x14ac:dyDescent="0.2">
      <c r="A45" s="6" t="s">
        <v>56</v>
      </c>
      <c r="B45" s="6">
        <f>B23-B39</f>
        <v>2306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11834.32</v>
      </c>
      <c r="O45" s="25">
        <f>B45+N45</f>
        <v>14140.32</v>
      </c>
      <c r="P45" s="7"/>
      <c r="Q45" s="7"/>
      <c r="R45" s="7"/>
      <c r="S45" s="7" t="s">
        <v>57</v>
      </c>
      <c r="T45" s="20">
        <f>SUM(T39:T44)</f>
        <v>497.75300000000004</v>
      </c>
      <c r="U45" s="13">
        <f>SUM(U39:U44)</f>
        <v>1</v>
      </c>
    </row>
    <row r="46" spans="1:48" ht="16" x14ac:dyDescent="0.2">
      <c r="A46" s="6"/>
      <c r="B46" s="5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0"/>
      <c r="E48" s="40"/>
      <c r="F48" s="41"/>
      <c r="G48" s="40"/>
      <c r="H48" s="41"/>
      <c r="I48" s="40"/>
      <c r="J48" s="40"/>
      <c r="K48" s="40"/>
      <c r="L48" s="40"/>
      <c r="M48" s="40"/>
      <c r="N48" s="40"/>
      <c r="O48" s="40"/>
      <c r="P48" s="41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1"/>
      <c r="I52" s="40"/>
      <c r="J52" s="40"/>
      <c r="K52" s="40"/>
      <c r="L52" s="40"/>
      <c r="M52" s="40"/>
      <c r="N52" s="40"/>
      <c r="O52" s="40"/>
      <c r="P52" s="41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1"/>
      <c r="G55" s="40"/>
      <c r="H55" s="41"/>
      <c r="I55" s="40"/>
      <c r="J55" s="7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1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19"/>
      <c r="E57" s="28"/>
      <c r="F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7"/>
      <c r="D59" s="7"/>
      <c r="E59" s="7"/>
      <c r="F59" s="66"/>
      <c r="G59" s="52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52"/>
      <c r="D60" s="28"/>
      <c r="E60" s="28"/>
      <c r="F60" s="52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40"/>
      <c r="C61" s="40"/>
      <c r="D61" s="40"/>
      <c r="E61" s="40"/>
      <c r="F61" s="40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ht="16" x14ac:dyDescent="0.2">
      <c r="A62" s="4"/>
      <c r="B62" s="8"/>
      <c r="C62" s="7"/>
      <c r="D62" s="7"/>
      <c r="E62" s="7"/>
      <c r="F62" s="7"/>
      <c r="G62" s="7"/>
      <c r="H62" s="6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ht="16" x14ac:dyDescent="0.2">
      <c r="A63" s="4"/>
      <c r="B63" s="8"/>
      <c r="C63" s="33"/>
      <c r="D63" s="33"/>
      <c r="E63" s="33"/>
      <c r="F63" s="33"/>
      <c r="G63" s="33"/>
      <c r="H63" s="6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4"/>
      <c r="B64" s="8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4"/>
      <c r="B65" s="8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4"/>
      <c r="B66" s="8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4"/>
      <c r="B67" s="8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4"/>
      <c r="B68" s="8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4"/>
      <c r="B69" s="8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4"/>
      <c r="B70" s="8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6" enableFormatConditionsCalculation="0"/>
  <dimension ref="A1:AV70"/>
  <sheetViews>
    <sheetView workbookViewId="0">
      <selection activeCell="D47" sqref="D47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4" width="8.83203125" style="2"/>
    <col min="15" max="15" width="11.1640625" style="2" bestFit="1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64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6" x14ac:dyDescent="0.2">
      <c r="A4" s="67" t="s">
        <v>70</v>
      </c>
      <c r="B4" s="75">
        <v>193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27"/>
      <c r="Q7" s="27"/>
      <c r="R7" s="27"/>
      <c r="AH7" s="27"/>
      <c r="AI7" s="27"/>
    </row>
    <row r="8" spans="1:35" ht="15.75" x14ac:dyDescent="0.25">
      <c r="A8" s="4" t="s">
        <v>13</v>
      </c>
      <c r="B8" s="8">
        <v>1230996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27"/>
      <c r="Q8" s="27"/>
      <c r="R8" s="27"/>
      <c r="AH8" s="27"/>
      <c r="AI8" s="27"/>
    </row>
    <row r="9" spans="1:35" ht="16" x14ac:dyDescent="0.2">
      <c r="A9" s="4" t="s">
        <v>14</v>
      </c>
      <c r="B9" s="74">
        <v>6988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27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74">
        <f>SUM(B4:B9)</f>
        <v>1238177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27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v>60330</v>
      </c>
      <c r="C18" s="8">
        <v>2905</v>
      </c>
      <c r="D18" s="8">
        <v>0</v>
      </c>
      <c r="E18" s="8">
        <v>0</v>
      </c>
      <c r="F18" s="8">
        <v>0</v>
      </c>
      <c r="G18" s="8">
        <v>73266</v>
      </c>
      <c r="H18" s="8">
        <v>0</v>
      </c>
      <c r="I18" s="8"/>
      <c r="J18" s="8"/>
      <c r="K18" s="8"/>
      <c r="L18" s="8"/>
      <c r="M18" s="8"/>
      <c r="N18" s="8">
        <f>778*1.015</f>
        <v>789.67</v>
      </c>
      <c r="O18" s="8">
        <f>SUM(C18:N18)</f>
        <v>76960.67</v>
      </c>
      <c r="P18" s="65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 t="s">
        <v>25</v>
      </c>
      <c r="T19" s="11">
        <f>O42/1000</f>
        <v>522.40647000000001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3" t="s">
        <v>9</v>
      </c>
      <c r="T22" s="12">
        <f>N42/1000</f>
        <v>264.83347000000003</v>
      </c>
      <c r="U22" s="13">
        <f>N43</f>
        <v>0.50694906209718271</v>
      </c>
    </row>
    <row r="23" spans="1:21" ht="16" x14ac:dyDescent="0.2">
      <c r="A23" s="4" t="s">
        <v>15</v>
      </c>
      <c r="B23" s="8">
        <v>60330</v>
      </c>
      <c r="C23" s="8">
        <v>2905</v>
      </c>
      <c r="D23" s="8">
        <v>0</v>
      </c>
      <c r="E23" s="8">
        <v>0</v>
      </c>
      <c r="F23" s="8">
        <v>0</v>
      </c>
      <c r="G23" s="8">
        <v>73266</v>
      </c>
      <c r="H23" s="8">
        <v>0</v>
      </c>
      <c r="I23" s="8"/>
      <c r="J23" s="8"/>
      <c r="K23" s="8"/>
      <c r="L23" s="8"/>
      <c r="M23" s="8"/>
      <c r="N23" s="8">
        <f>SUM(N18:N22)</f>
        <v>789.67</v>
      </c>
      <c r="O23" s="8">
        <f>SUM(O17:O22)</f>
        <v>76960.67</v>
      </c>
      <c r="P23" s="3"/>
      <c r="Q23" s="3"/>
      <c r="R23" s="3"/>
      <c r="S23" s="53" t="s">
        <v>58</v>
      </c>
      <c r="T23" s="12">
        <f>G42/1000</f>
        <v>97.450999999999993</v>
      </c>
      <c r="U23" s="14">
        <f>G43</f>
        <v>0.18654248290607886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4" t="str">
        <f>J29</f>
        <v>Torv</v>
      </c>
      <c r="T24" s="12">
        <f>J42/1000</f>
        <v>0</v>
      </c>
      <c r="U24" s="13">
        <f>J43</f>
        <v>0</v>
      </c>
    </row>
    <row r="25" spans="1:21" ht="15.75" x14ac:dyDescent="0.25">
      <c r="B25" s="9"/>
      <c r="C25" s="61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3" t="s">
        <v>30</v>
      </c>
      <c r="T25" s="12">
        <f>F42/1000</f>
        <v>11.214</v>
      </c>
      <c r="U25" s="13">
        <f>F43</f>
        <v>2.1466043481429317E-2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3" t="s">
        <v>3</v>
      </c>
      <c r="T26" s="11">
        <f>E42/1000</f>
        <v>1.2999999999999999E-2</v>
      </c>
      <c r="U26" s="13">
        <f>E43</f>
        <v>2.4884837280058953E-5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5" t="str">
        <f>D29</f>
        <v>Kol och koks</v>
      </c>
      <c r="T27" s="2">
        <f>D42/1000</f>
        <v>0</v>
      </c>
      <c r="U27" s="45">
        <f>D43</f>
        <v>0</v>
      </c>
    </row>
    <row r="28" spans="1:21" ht="15.75" x14ac:dyDescent="0.25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5" t="str">
        <f>K29</f>
        <v>Avfall</v>
      </c>
      <c r="T28" s="2">
        <f>K42/1000</f>
        <v>0</v>
      </c>
      <c r="U28" s="45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4" t="str">
        <f>I29</f>
        <v>Avlutar</v>
      </c>
      <c r="T29" s="12">
        <f>I42/1000</f>
        <v>0</v>
      </c>
      <c r="U29" s="13">
        <f>I43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4" t="str">
        <f>H29</f>
        <v>Biogas</v>
      </c>
      <c r="T30" s="12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8">
        <v>5093</v>
      </c>
      <c r="D31" s="8">
        <v>0</v>
      </c>
      <c r="E31" s="8">
        <v>0</v>
      </c>
      <c r="F31" s="8">
        <v>526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14628</v>
      </c>
      <c r="O31" s="8">
        <v>20247</v>
      </c>
      <c r="P31" s="17">
        <f>O31/O$39</f>
        <v>4.2412131038339962E-2</v>
      </c>
      <c r="Q31" s="18" t="s">
        <v>33</v>
      </c>
      <c r="R31" s="3"/>
      <c r="S31" s="55" t="str">
        <f>L29</f>
        <v>Övrigt</v>
      </c>
      <c r="T31" s="12">
        <f>L42/1000</f>
        <v>0</v>
      </c>
      <c r="U31" s="45">
        <f>L43</f>
        <v>0</v>
      </c>
    </row>
    <row r="32" spans="1:21" ht="16" x14ac:dyDescent="0.2">
      <c r="A32" s="4" t="s">
        <v>35</v>
      </c>
      <c r="B32" s="8">
        <v>0</v>
      </c>
      <c r="C32" s="58">
        <f>C39-C31-C33-C34-C35-C36</f>
        <v>552</v>
      </c>
      <c r="D32" s="8">
        <v>0</v>
      </c>
      <c r="E32" s="58">
        <v>13</v>
      </c>
      <c r="F32" s="8">
        <v>0</v>
      </c>
      <c r="G32" s="58">
        <f>O32-N32-C32-E32</f>
        <v>385</v>
      </c>
      <c r="H32" s="8">
        <v>0</v>
      </c>
      <c r="I32" s="8"/>
      <c r="J32" s="8"/>
      <c r="K32" s="8"/>
      <c r="L32" s="8"/>
      <c r="M32" s="27"/>
      <c r="N32" s="8">
        <v>8804</v>
      </c>
      <c r="O32" s="8">
        <v>9754</v>
      </c>
      <c r="P32" s="17">
        <f>O32/O$39</f>
        <v>2.0432060361928583E-2</v>
      </c>
      <c r="Q32" s="18" t="s">
        <v>36</v>
      </c>
      <c r="R32" s="3"/>
      <c r="S32" s="55" t="str">
        <f>M29</f>
        <v>Övrigt</v>
      </c>
      <c r="T32" s="9">
        <f>M42</f>
        <v>0</v>
      </c>
      <c r="U32" s="45">
        <f>M43</f>
        <v>0</v>
      </c>
    </row>
    <row r="33" spans="1:48" ht="16" x14ac:dyDescent="0.2">
      <c r="A33" s="4" t="s">
        <v>37</v>
      </c>
      <c r="B33" s="63">
        <v>8800</v>
      </c>
      <c r="C33" s="8">
        <v>5742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42314</v>
      </c>
      <c r="O33" s="64">
        <f>48056+B33</f>
        <v>56856</v>
      </c>
      <c r="P33" s="17">
        <f>O33/O$39</f>
        <v>0.11909834159706904</v>
      </c>
      <c r="Q33" s="18" t="s">
        <v>38</v>
      </c>
      <c r="R33" s="3"/>
      <c r="S33" s="53" t="s">
        <v>34</v>
      </c>
      <c r="T33" s="12">
        <f>C42/1000</f>
        <v>148.89500000000001</v>
      </c>
      <c r="U33" s="14">
        <f>C43</f>
        <v>0.28501752667802904</v>
      </c>
    </row>
    <row r="34" spans="1:48" ht="16" x14ac:dyDescent="0.2">
      <c r="A34" s="4" t="s">
        <v>39</v>
      </c>
      <c r="B34" s="8">
        <v>0</v>
      </c>
      <c r="C34" s="8">
        <v>133127</v>
      </c>
      <c r="D34" s="8">
        <v>0</v>
      </c>
      <c r="E34" s="8">
        <v>0</v>
      </c>
      <c r="F34" s="8">
        <v>10688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7041</v>
      </c>
      <c r="O34" s="8">
        <v>150856</v>
      </c>
      <c r="P34" s="17">
        <f>O34/O$39</f>
        <v>0.31600357781003674</v>
      </c>
      <c r="Q34" s="18" t="s">
        <v>40</v>
      </c>
      <c r="R34" s="3"/>
      <c r="S34" s="3"/>
      <c r="T34" s="12">
        <f>SUM(T22:T33)</f>
        <v>522.40647000000001</v>
      </c>
      <c r="U34" s="13">
        <f>SUM(U22:U33)</f>
        <v>1</v>
      </c>
    </row>
    <row r="35" spans="1:48" ht="16" x14ac:dyDescent="0.2">
      <c r="A35" s="4" t="s">
        <v>41</v>
      </c>
      <c r="B35" s="63">
        <v>19300</v>
      </c>
      <c r="C35" s="8">
        <v>1285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67248</v>
      </c>
      <c r="O35" s="64">
        <f>68533+B35</f>
        <v>87833</v>
      </c>
      <c r="P35" s="17">
        <f>O35/O$39</f>
        <v>0.18398699587546372</v>
      </c>
      <c r="Q35" s="18" t="s">
        <v>42</v>
      </c>
      <c r="R35" s="18"/>
    </row>
    <row r="36" spans="1:48" ht="16" x14ac:dyDescent="0.2">
      <c r="A36" s="4" t="s">
        <v>43</v>
      </c>
      <c r="B36" s="63">
        <v>3800</v>
      </c>
      <c r="C36" s="58">
        <v>191</v>
      </c>
      <c r="D36" s="8">
        <v>0</v>
      </c>
      <c r="E36" s="8">
        <v>0</v>
      </c>
      <c r="F36" s="8">
        <v>0</v>
      </c>
      <c r="G36" s="58">
        <v>23800</v>
      </c>
      <c r="H36" s="8">
        <v>0</v>
      </c>
      <c r="I36" s="8"/>
      <c r="J36" s="8"/>
      <c r="K36" s="8"/>
      <c r="L36" s="8"/>
      <c r="M36" s="27"/>
      <c r="N36" s="8">
        <v>48374</v>
      </c>
      <c r="O36" s="58">
        <f>SUM(B36:N36)</f>
        <v>76165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63">
        <v>19600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8855</v>
      </c>
      <c r="O37" s="64">
        <f>8855+B37</f>
        <v>28455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47221</v>
      </c>
      <c r="O38" s="8">
        <v>47221</v>
      </c>
      <c r="P38" s="18">
        <f>SUM(P31:P35)</f>
        <v>0.68193310668283802</v>
      </c>
      <c r="Q38" s="18"/>
      <c r="R38" s="3"/>
      <c r="S38" s="7" t="s">
        <v>46</v>
      </c>
      <c r="T38" s="19">
        <f>O45/1000</f>
        <v>28.288799999999998</v>
      </c>
      <c r="U38" s="7"/>
    </row>
    <row r="39" spans="1:48" ht="16" x14ac:dyDescent="0.2">
      <c r="A39" s="4" t="s">
        <v>15</v>
      </c>
      <c r="B39" s="62">
        <v>51600</v>
      </c>
      <c r="C39" s="8">
        <v>145990</v>
      </c>
      <c r="D39" s="8">
        <v>0</v>
      </c>
      <c r="E39" s="58">
        <f>SUM(E32)</f>
        <v>13</v>
      </c>
      <c r="F39" s="8">
        <v>11214</v>
      </c>
      <c r="G39" s="58">
        <f>G32+G36</f>
        <v>24185</v>
      </c>
      <c r="H39" s="8">
        <v>0</v>
      </c>
      <c r="I39" s="8"/>
      <c r="J39" s="8"/>
      <c r="K39" s="8"/>
      <c r="L39" s="8"/>
      <c r="M39" s="27"/>
      <c r="N39" s="8">
        <v>244485</v>
      </c>
      <c r="O39" s="58">
        <f>SUM(O31:O38)</f>
        <v>477387</v>
      </c>
      <c r="P39" s="65"/>
      <c r="Q39" s="3"/>
      <c r="R39" s="3"/>
      <c r="S39" s="7" t="s">
        <v>47</v>
      </c>
      <c r="T39" s="20">
        <f>O41/1000</f>
        <v>151.84100000000001</v>
      </c>
      <c r="U39" s="13">
        <f>P41</f>
        <v>0.31806689331716198</v>
      </c>
    </row>
    <row r="40" spans="1:48" x14ac:dyDescent="0.2">
      <c r="C40" s="9">
        <f>C39-C34-C31-C33-C35</f>
        <v>743</v>
      </c>
      <c r="S40" s="7" t="s">
        <v>48</v>
      </c>
      <c r="T40" s="20">
        <f>O35/1000</f>
        <v>87.832999999999998</v>
      </c>
      <c r="U40" s="14">
        <f>P35</f>
        <v>0.18398699587546372</v>
      </c>
    </row>
    <row r="41" spans="1:48" ht="16" x14ac:dyDescent="0.2">
      <c r="A41" s="21" t="s">
        <v>49</v>
      </c>
      <c r="C41" s="22">
        <f t="shared" ref="C41:L41" si="0">C38+C37+C36</f>
        <v>191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23800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>M38+M37+M36</f>
        <v>0</v>
      </c>
      <c r="N41" s="22">
        <f>N38+N37+N36</f>
        <v>104450</v>
      </c>
      <c r="O41" s="22">
        <f>O38+O37+O36</f>
        <v>151841</v>
      </c>
      <c r="P41" s="17">
        <f>O41/O$39</f>
        <v>0.31806689331716198</v>
      </c>
      <c r="Q41" s="17" t="s">
        <v>50</v>
      </c>
      <c r="R41" s="7"/>
      <c r="S41" s="7" t="s">
        <v>51</v>
      </c>
      <c r="T41" s="20">
        <f>O33/1000</f>
        <v>56.856000000000002</v>
      </c>
      <c r="U41" s="13">
        <f>P33</f>
        <v>0.11909834159706904</v>
      </c>
    </row>
    <row r="42" spans="1:48" ht="16" x14ac:dyDescent="0.2">
      <c r="A42" s="23" t="s">
        <v>52</v>
      </c>
      <c r="B42" s="22">
        <f>SUM(B33:B37)</f>
        <v>51500</v>
      </c>
      <c r="C42" s="24">
        <f>C39+C23+C10</f>
        <v>148895</v>
      </c>
      <c r="D42" s="24">
        <f t="shared" ref="D42:M42" si="1">D39+D23+D10</f>
        <v>0</v>
      </c>
      <c r="E42" s="24">
        <f t="shared" si="1"/>
        <v>13</v>
      </c>
      <c r="F42" s="24">
        <f t="shared" si="1"/>
        <v>11214</v>
      </c>
      <c r="G42" s="24">
        <f>G39+G23+G10</f>
        <v>97451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264833.47000000003</v>
      </c>
      <c r="O42" s="25">
        <f>SUM(C42:N42)</f>
        <v>522406.47000000003</v>
      </c>
      <c r="P42" s="7"/>
      <c r="Q42" s="7"/>
      <c r="R42" s="7"/>
      <c r="S42" s="7" t="s">
        <v>33</v>
      </c>
      <c r="T42" s="20">
        <f>O31/1000</f>
        <v>20.247</v>
      </c>
      <c r="U42" s="13">
        <f>P31</f>
        <v>4.2412131038339962E-2</v>
      </c>
    </row>
    <row r="43" spans="1:48" ht="16" x14ac:dyDescent="0.2">
      <c r="A43" s="23" t="s">
        <v>53</v>
      </c>
      <c r="B43" s="22"/>
      <c r="C43" s="17">
        <f t="shared" ref="C43:N43" si="2">C42/$O42</f>
        <v>0.28501752667802904</v>
      </c>
      <c r="D43" s="17">
        <f t="shared" si="2"/>
        <v>0</v>
      </c>
      <c r="E43" s="17">
        <f t="shared" si="2"/>
        <v>2.4884837280058953E-5</v>
      </c>
      <c r="F43" s="17">
        <f t="shared" si="2"/>
        <v>2.1466043481429317E-2</v>
      </c>
      <c r="G43" s="17">
        <f t="shared" si="2"/>
        <v>0.18654248290607886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0.50694906209718271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9.7539999999999996</v>
      </c>
      <c r="U43" s="14">
        <f>P32</f>
        <v>2.0432060361928583E-2</v>
      </c>
    </row>
    <row r="44" spans="1:48" x14ac:dyDescent="0.2">
      <c r="A44" s="6"/>
      <c r="B44" s="52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150.85599999999999</v>
      </c>
      <c r="U44" s="14">
        <f>P34</f>
        <v>0.31600357781003674</v>
      </c>
    </row>
    <row r="45" spans="1:48" ht="16" x14ac:dyDescent="0.2">
      <c r="A45" s="6" t="s">
        <v>56</v>
      </c>
      <c r="B45" s="6">
        <f>B23-B39</f>
        <v>8730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19558.8</v>
      </c>
      <c r="O45" s="25">
        <f>B45+N45</f>
        <v>28288.799999999999</v>
      </c>
      <c r="P45" s="7"/>
      <c r="Q45" s="7"/>
      <c r="R45" s="7"/>
      <c r="S45" s="7" t="s">
        <v>57</v>
      </c>
      <c r="T45" s="20">
        <f>SUM(T39:T44)</f>
        <v>477.38700000000006</v>
      </c>
      <c r="U45" s="13">
        <f>SUM(U39:U44)</f>
        <v>1</v>
      </c>
    </row>
    <row r="46" spans="1:48" ht="16" x14ac:dyDescent="0.2">
      <c r="A46" s="6"/>
      <c r="B46" s="5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0"/>
      <c r="G48" s="40"/>
      <c r="H48" s="41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1"/>
      <c r="E52" s="40"/>
      <c r="F52" s="40"/>
      <c r="G52" s="40"/>
      <c r="H52" s="41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1"/>
      <c r="E55" s="40"/>
      <c r="F55" s="40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1"/>
      <c r="E56" s="40"/>
      <c r="F56" s="40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7" enableFormatConditionsCalculation="0"/>
  <dimension ref="A1:AV70"/>
  <sheetViews>
    <sheetView workbookViewId="0">
      <selection activeCell="D47" sqref="D47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65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6" x14ac:dyDescent="0.2">
      <c r="A4" s="67" t="s">
        <v>70</v>
      </c>
      <c r="B4" s="74">
        <v>253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6" x14ac:dyDescent="0.2">
      <c r="A8" s="4" t="s">
        <v>13</v>
      </c>
      <c r="B8" s="74">
        <v>311861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6" x14ac:dyDescent="0.2">
      <c r="A9" s="4" t="s">
        <v>14</v>
      </c>
      <c r="B9" s="58">
        <v>766812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8">
        <f>SUM(B4:B9)</f>
        <v>1078926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v>12133</v>
      </c>
      <c r="C18" s="8">
        <v>438</v>
      </c>
      <c r="D18" s="8">
        <v>0</v>
      </c>
      <c r="E18" s="8">
        <v>0</v>
      </c>
      <c r="F18" s="8">
        <v>0</v>
      </c>
      <c r="G18" s="8">
        <v>12737</v>
      </c>
      <c r="H18" s="8">
        <v>0</v>
      </c>
      <c r="I18" s="8"/>
      <c r="J18" s="8"/>
      <c r="K18" s="8"/>
      <c r="L18" s="8"/>
      <c r="M18" s="8"/>
      <c r="N18" s="8"/>
      <c r="O18" s="8">
        <v>13175</v>
      </c>
      <c r="P18" s="65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137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 t="s">
        <v>25</v>
      </c>
      <c r="T19" s="11">
        <f>O42/1000</f>
        <v>306.41120000000001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3" t="s">
        <v>9</v>
      </c>
      <c r="T22" s="12">
        <f>N42/1000</f>
        <v>123.4872</v>
      </c>
      <c r="U22" s="13">
        <f>N43</f>
        <v>0.40301137817416594</v>
      </c>
    </row>
    <row r="23" spans="1:21" ht="16" x14ac:dyDescent="0.2">
      <c r="A23" s="4" t="s">
        <v>15</v>
      </c>
      <c r="B23" s="8">
        <v>12270</v>
      </c>
      <c r="C23" s="8">
        <v>438</v>
      </c>
      <c r="D23" s="8">
        <v>0</v>
      </c>
      <c r="E23" s="8">
        <v>0</v>
      </c>
      <c r="F23" s="8">
        <v>0</v>
      </c>
      <c r="G23" s="8">
        <v>12737</v>
      </c>
      <c r="H23" s="8">
        <v>0</v>
      </c>
      <c r="I23" s="8"/>
      <c r="J23" s="8"/>
      <c r="K23" s="8"/>
      <c r="L23" s="8"/>
      <c r="M23" s="8"/>
      <c r="N23" s="8"/>
      <c r="O23" s="8">
        <v>13175</v>
      </c>
      <c r="P23" s="3"/>
      <c r="Q23" s="3"/>
      <c r="R23" s="3"/>
      <c r="S23" s="53" t="s">
        <v>58</v>
      </c>
      <c r="T23" s="12">
        <f>G42/1000</f>
        <v>57.597999999999999</v>
      </c>
      <c r="U23" s="14">
        <f>G43</f>
        <v>0.18797615752948979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4" t="str">
        <f>J29</f>
        <v>Torv</v>
      </c>
      <c r="T24" s="12">
        <f>J42/1000</f>
        <v>0</v>
      </c>
      <c r="U24" s="13">
        <f>J43</f>
        <v>0</v>
      </c>
    </row>
    <row r="25" spans="1:21" ht="15.75" x14ac:dyDescent="0.25">
      <c r="B25" s="61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3" t="s">
        <v>30</v>
      </c>
      <c r="T25" s="12">
        <f>F42/1000</f>
        <v>9.0150000000000006</v>
      </c>
      <c r="U25" s="13">
        <f>F43</f>
        <v>2.9421248309461273E-2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3" t="s">
        <v>3</v>
      </c>
      <c r="T26" s="11">
        <f>E42/1000</f>
        <v>9.8000000000000004E-2</v>
      </c>
      <c r="U26" s="13">
        <f>E43</f>
        <v>3.1983165106236322E-4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5" t="str">
        <f>D29</f>
        <v>Kol och koks</v>
      </c>
      <c r="T27" s="2">
        <f>D42/1000</f>
        <v>0</v>
      </c>
      <c r="U27" s="45">
        <f>D43</f>
        <v>0</v>
      </c>
    </row>
    <row r="28" spans="1:21" ht="15.75" x14ac:dyDescent="0.25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5" t="str">
        <f>K29</f>
        <v>Avfall</v>
      </c>
      <c r="T28" s="2">
        <f>K42/1000</f>
        <v>0</v>
      </c>
      <c r="U28" s="45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4" t="str">
        <f>I29</f>
        <v>Avlutar</v>
      </c>
      <c r="T29" s="12">
        <f>I42/1000</f>
        <v>0</v>
      </c>
      <c r="U29" s="13">
        <f>I43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4" t="str">
        <f>H29</f>
        <v>Biogas</v>
      </c>
      <c r="T30" s="12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8">
        <v>5926</v>
      </c>
      <c r="D31" s="8">
        <v>0</v>
      </c>
      <c r="E31" s="8">
        <v>0</v>
      </c>
      <c r="F31" s="8">
        <v>612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12905</v>
      </c>
      <c r="O31" s="8">
        <v>19443</v>
      </c>
      <c r="P31" s="17">
        <f>O31/O$39</f>
        <v>6.6017235173879682E-2</v>
      </c>
      <c r="Q31" s="18" t="s">
        <v>33</v>
      </c>
      <c r="R31" s="3"/>
      <c r="S31" s="55" t="str">
        <f>L29</f>
        <v>Övrigt</v>
      </c>
      <c r="T31" s="12">
        <f>L42/1000</f>
        <v>0</v>
      </c>
      <c r="U31" s="45">
        <f>L43</f>
        <v>0</v>
      </c>
    </row>
    <row r="32" spans="1:21" ht="16" x14ac:dyDescent="0.2">
      <c r="A32" s="4" t="s">
        <v>35</v>
      </c>
      <c r="B32" s="8">
        <v>1537</v>
      </c>
      <c r="C32" s="58">
        <f>O32-N32-G32-E32-B32</f>
        <v>7504</v>
      </c>
      <c r="D32" s="8">
        <v>0</v>
      </c>
      <c r="E32" s="8">
        <v>98</v>
      </c>
      <c r="F32" s="8">
        <v>0</v>
      </c>
      <c r="G32" s="69">
        <v>20318</v>
      </c>
      <c r="H32" s="8">
        <v>0</v>
      </c>
      <c r="I32" s="8"/>
      <c r="J32" s="8"/>
      <c r="K32" s="8"/>
      <c r="L32" s="8"/>
      <c r="M32" s="27"/>
      <c r="N32" s="8">
        <v>13998</v>
      </c>
      <c r="O32" s="8">
        <v>43455</v>
      </c>
      <c r="P32" s="17">
        <f>O32/O$39</f>
        <v>0.14754816409406685</v>
      </c>
      <c r="Q32" s="18" t="s">
        <v>36</v>
      </c>
      <c r="R32" s="3"/>
      <c r="S32" s="55" t="str">
        <f>M29</f>
        <v>Övrigt</v>
      </c>
      <c r="T32" s="9">
        <f>M42</f>
        <v>0</v>
      </c>
      <c r="U32" s="45">
        <f>M43</f>
        <v>0</v>
      </c>
    </row>
    <row r="33" spans="1:48" ht="16" x14ac:dyDescent="0.2">
      <c r="A33" s="4" t="s">
        <v>37</v>
      </c>
      <c r="B33" s="8">
        <v>4195</v>
      </c>
      <c r="C33" s="8">
        <v>53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12480</v>
      </c>
      <c r="O33" s="8">
        <v>16728</v>
      </c>
      <c r="P33" s="17">
        <f>O33/O$39</f>
        <v>5.6798658128306291E-2</v>
      </c>
      <c r="Q33" s="18" t="s">
        <v>38</v>
      </c>
      <c r="R33" s="3"/>
      <c r="S33" s="53" t="s">
        <v>34</v>
      </c>
      <c r="T33" s="12">
        <f>C42/1000</f>
        <v>116.21299999999999</v>
      </c>
      <c r="U33" s="14">
        <f>C43</f>
        <v>0.37927138433582058</v>
      </c>
    </row>
    <row r="34" spans="1:48" ht="16" x14ac:dyDescent="0.2">
      <c r="A34" s="4" t="s">
        <v>39</v>
      </c>
      <c r="B34" s="8">
        <v>0</v>
      </c>
      <c r="C34" s="8">
        <v>99803</v>
      </c>
      <c r="D34" s="8">
        <v>0</v>
      </c>
      <c r="E34" s="8">
        <v>0</v>
      </c>
      <c r="F34" s="8">
        <v>8403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125</v>
      </c>
      <c r="O34" s="8">
        <v>108331</v>
      </c>
      <c r="P34" s="17">
        <f>O34/O$39</f>
        <v>0.36782971267919351</v>
      </c>
      <c r="Q34" s="18" t="s">
        <v>40</v>
      </c>
      <c r="R34" s="3"/>
      <c r="S34" s="3"/>
      <c r="T34" s="12">
        <f>SUM(T22:T33)</f>
        <v>306.41120000000001</v>
      </c>
      <c r="U34" s="13">
        <f>SUM(U22:U33)</f>
        <v>0.99999999999999978</v>
      </c>
    </row>
    <row r="35" spans="1:48" ht="16" x14ac:dyDescent="0.2">
      <c r="A35" s="4" t="s">
        <v>41</v>
      </c>
      <c r="B35" s="8">
        <v>31</v>
      </c>
      <c r="C35" s="8">
        <v>2489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18351</v>
      </c>
      <c r="O35" s="8">
        <v>20871</v>
      </c>
      <c r="P35" s="17">
        <f>O35/O$39</f>
        <v>7.0865901111661925E-2</v>
      </c>
      <c r="Q35" s="18" t="s">
        <v>42</v>
      </c>
      <c r="R35" s="18"/>
    </row>
    <row r="36" spans="1:48" ht="16" x14ac:dyDescent="0.2">
      <c r="A36" s="4" t="s">
        <v>43</v>
      </c>
      <c r="B36" s="8">
        <v>694</v>
      </c>
      <c r="C36" s="8">
        <v>0</v>
      </c>
      <c r="D36" s="8">
        <v>0</v>
      </c>
      <c r="E36" s="8">
        <v>0</v>
      </c>
      <c r="F36" s="8">
        <v>0</v>
      </c>
      <c r="G36" s="8">
        <v>24543</v>
      </c>
      <c r="H36" s="8">
        <v>0</v>
      </c>
      <c r="I36" s="8"/>
      <c r="J36" s="8"/>
      <c r="K36" s="8"/>
      <c r="L36" s="8"/>
      <c r="M36" s="27"/>
      <c r="N36" s="8">
        <v>32579</v>
      </c>
      <c r="O36" s="8">
        <v>57816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3968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1701</v>
      </c>
      <c r="O37" s="8">
        <v>5669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22201</v>
      </c>
      <c r="O38" s="8">
        <v>22201</v>
      </c>
      <c r="P38" s="18">
        <f>SUM(P31:P35)</f>
        <v>0.70905967118710822</v>
      </c>
      <c r="Q38" s="18"/>
      <c r="R38" s="3"/>
      <c r="S38" s="7" t="s">
        <v>46</v>
      </c>
      <c r="T38" s="19">
        <f>O45/1000</f>
        <v>10.9922</v>
      </c>
      <c r="U38" s="7"/>
    </row>
    <row r="39" spans="1:48" ht="16" x14ac:dyDescent="0.2">
      <c r="A39" s="4" t="s">
        <v>15</v>
      </c>
      <c r="B39" s="8">
        <v>10425</v>
      </c>
      <c r="C39" s="58">
        <f>SUM(C31:C38)</f>
        <v>115775</v>
      </c>
      <c r="D39" s="8">
        <v>0</v>
      </c>
      <c r="E39" s="8">
        <v>98</v>
      </c>
      <c r="F39" s="8">
        <v>9015</v>
      </c>
      <c r="G39" s="69">
        <f>SUM(G31:G38)</f>
        <v>44861</v>
      </c>
      <c r="H39" s="8">
        <v>0</v>
      </c>
      <c r="I39" s="8"/>
      <c r="J39" s="8"/>
      <c r="K39" s="8"/>
      <c r="L39" s="8"/>
      <c r="M39" s="27"/>
      <c r="N39" s="8">
        <v>114340</v>
      </c>
      <c r="O39" s="8">
        <v>294514</v>
      </c>
      <c r="P39" s="3"/>
      <c r="Q39" s="3"/>
      <c r="R39" s="3"/>
      <c r="S39" s="7" t="s">
        <v>47</v>
      </c>
      <c r="T39" s="20">
        <f>O41/1000</f>
        <v>85.686000000000007</v>
      </c>
      <c r="U39" s="13">
        <f>P41</f>
        <v>0.29094032881289172</v>
      </c>
    </row>
    <row r="40" spans="1:48" x14ac:dyDescent="0.2">
      <c r="S40" s="7" t="s">
        <v>48</v>
      </c>
      <c r="T40" s="20">
        <f>O35/1000</f>
        <v>20.870999999999999</v>
      </c>
      <c r="U40" s="14">
        <f>P35</f>
        <v>7.0865901111661925E-2</v>
      </c>
    </row>
    <row r="41" spans="1:48" ht="16" x14ac:dyDescent="0.2">
      <c r="A41" s="21" t="s">
        <v>49</v>
      </c>
      <c r="B41" s="22">
        <f>B38+B37+B36</f>
        <v>4662</v>
      </c>
      <c r="C41" s="22">
        <f t="shared" ref="C41:O41" si="0">C38+C37+C36</f>
        <v>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24543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56481</v>
      </c>
      <c r="O41" s="22">
        <f t="shared" si="0"/>
        <v>85686</v>
      </c>
      <c r="P41" s="17">
        <f>O41/O$39</f>
        <v>0.29094032881289172</v>
      </c>
      <c r="Q41" s="17" t="s">
        <v>50</v>
      </c>
      <c r="R41" s="7"/>
      <c r="S41" s="7" t="s">
        <v>51</v>
      </c>
      <c r="T41" s="20">
        <f>O33/1000</f>
        <v>16.728000000000002</v>
      </c>
      <c r="U41" s="13">
        <f>P33</f>
        <v>5.6798658128306291E-2</v>
      </c>
    </row>
    <row r="42" spans="1:48" ht="16" x14ac:dyDescent="0.2">
      <c r="A42" s="23" t="s">
        <v>52</v>
      </c>
      <c r="B42" s="22"/>
      <c r="C42" s="24">
        <f>C39+C23+C10</f>
        <v>116213</v>
      </c>
      <c r="D42" s="24">
        <f t="shared" ref="D42:M42" si="1">D39+D23+D10</f>
        <v>0</v>
      </c>
      <c r="E42" s="24">
        <f t="shared" si="1"/>
        <v>98</v>
      </c>
      <c r="F42" s="24">
        <f t="shared" si="1"/>
        <v>9015</v>
      </c>
      <c r="G42" s="24">
        <f t="shared" si="1"/>
        <v>57598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123487.2</v>
      </c>
      <c r="O42" s="25">
        <f>SUM(C42:N42)</f>
        <v>306411.2</v>
      </c>
      <c r="P42" s="7"/>
      <c r="Q42" s="7"/>
      <c r="R42" s="7"/>
      <c r="S42" s="7" t="s">
        <v>33</v>
      </c>
      <c r="T42" s="20">
        <f>O31/1000</f>
        <v>19.443000000000001</v>
      </c>
      <c r="U42" s="13">
        <f>P31</f>
        <v>6.6017235173879682E-2</v>
      </c>
    </row>
    <row r="43" spans="1:48" ht="16" x14ac:dyDescent="0.2">
      <c r="A43" s="23" t="s">
        <v>53</v>
      </c>
      <c r="B43" s="22"/>
      <c r="C43" s="17">
        <f t="shared" ref="C43:N43" si="2">C42/$O42</f>
        <v>0.37927138433582058</v>
      </c>
      <c r="D43" s="17">
        <f t="shared" si="2"/>
        <v>0</v>
      </c>
      <c r="E43" s="17">
        <f t="shared" si="2"/>
        <v>3.1983165106236322E-4</v>
      </c>
      <c r="F43" s="17">
        <f t="shared" si="2"/>
        <v>2.9421248309461273E-2</v>
      </c>
      <c r="G43" s="17">
        <f t="shared" si="2"/>
        <v>0.18797615752948979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0.40301137817416594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43.454999999999998</v>
      </c>
      <c r="U43" s="14">
        <f>P32</f>
        <v>0.14754816409406685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108.331</v>
      </c>
      <c r="U44" s="14">
        <f>P34</f>
        <v>0.36782971267919351</v>
      </c>
    </row>
    <row r="45" spans="1:48" ht="16" x14ac:dyDescent="0.2">
      <c r="A45" s="6" t="s">
        <v>56</v>
      </c>
      <c r="B45" s="6">
        <f>B23-B39</f>
        <v>1845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9147.2000000000007</v>
      </c>
      <c r="O45" s="25">
        <f>B45+N45</f>
        <v>10992.2</v>
      </c>
      <c r="P45" s="7"/>
      <c r="Q45" s="7"/>
      <c r="R45" s="7"/>
      <c r="S45" s="7" t="s">
        <v>57</v>
      </c>
      <c r="T45" s="20">
        <f>SUM(T39:T44)</f>
        <v>294.51400000000001</v>
      </c>
      <c r="U45" s="13">
        <f>SUM(U39:U44)</f>
        <v>1</v>
      </c>
    </row>
    <row r="46" spans="1:48" ht="16" x14ac:dyDescent="0.2">
      <c r="A46" s="6"/>
      <c r="B46" s="5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1"/>
      <c r="E47" s="40"/>
      <c r="F47" s="40"/>
      <c r="G47" s="41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0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8" enableFormatConditionsCalculation="0"/>
  <dimension ref="A1:AV70"/>
  <sheetViews>
    <sheetView workbookViewId="0">
      <selection activeCell="D47" sqref="D47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66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6" x14ac:dyDescent="0.2">
      <c r="A4" s="67" t="s">
        <v>70</v>
      </c>
      <c r="B4" s="2">
        <v>47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6" x14ac:dyDescent="0.2">
      <c r="A8" s="4" t="s">
        <v>13</v>
      </c>
      <c r="B8" s="58">
        <v>1848608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6" x14ac:dyDescent="0.2">
      <c r="A9" s="4" t="s">
        <v>14</v>
      </c>
      <c r="B9" s="74">
        <v>397243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8">
        <f>SUM(B4:B9)</f>
        <v>2245898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v>28745</v>
      </c>
      <c r="C18" s="8">
        <v>169</v>
      </c>
      <c r="D18" s="8">
        <v>0</v>
      </c>
      <c r="E18" s="8">
        <v>0</v>
      </c>
      <c r="F18" s="8">
        <v>0</v>
      </c>
      <c r="G18" s="8">
        <v>31782</v>
      </c>
      <c r="H18" s="8">
        <v>0</v>
      </c>
      <c r="I18" s="8"/>
      <c r="J18" s="8"/>
      <c r="K18" s="8"/>
      <c r="L18" s="8"/>
      <c r="M18" s="8"/>
      <c r="N18" s="8"/>
      <c r="O18" s="8">
        <v>31952</v>
      </c>
      <c r="P18" s="65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 t="s">
        <v>25</v>
      </c>
      <c r="T19" s="11">
        <f>O42/1000</f>
        <v>593.88556000000005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7213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53" t="s">
        <v>9</v>
      </c>
      <c r="T22" s="12">
        <f>N42/1000</f>
        <v>302.24556000000001</v>
      </c>
      <c r="U22" s="13">
        <f>N43</f>
        <v>0.50892895930993842</v>
      </c>
    </row>
    <row r="23" spans="1:21" ht="16" x14ac:dyDescent="0.2">
      <c r="A23" s="4" t="s">
        <v>15</v>
      </c>
      <c r="B23" s="8">
        <v>35958</v>
      </c>
      <c r="C23" s="8">
        <v>169</v>
      </c>
      <c r="D23" s="8">
        <v>0</v>
      </c>
      <c r="E23" s="8">
        <v>0</v>
      </c>
      <c r="F23" s="8">
        <v>0</v>
      </c>
      <c r="G23" s="8">
        <v>31782</v>
      </c>
      <c r="H23" s="8">
        <v>0</v>
      </c>
      <c r="I23" s="8"/>
      <c r="J23" s="8"/>
      <c r="K23" s="8"/>
      <c r="L23" s="8"/>
      <c r="M23" s="8"/>
      <c r="N23" s="8"/>
      <c r="O23" s="8">
        <v>31952</v>
      </c>
      <c r="P23" s="3"/>
      <c r="Q23" s="3"/>
      <c r="R23" s="3"/>
      <c r="S23" s="53" t="s">
        <v>58</v>
      </c>
      <c r="T23" s="12">
        <f>G42/1000</f>
        <v>58.02</v>
      </c>
      <c r="U23" s="14">
        <f>G43</f>
        <v>9.7695589702500918E-2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4" t="str">
        <f>J29</f>
        <v>Torv</v>
      </c>
      <c r="T24" s="12">
        <f>J42/1000</f>
        <v>0</v>
      </c>
      <c r="U24" s="13">
        <f>J43</f>
        <v>0</v>
      </c>
    </row>
    <row r="25" spans="1:21" ht="15.75" x14ac:dyDescent="0.25">
      <c r="B25" s="61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3" t="s">
        <v>30</v>
      </c>
      <c r="T25" s="12">
        <f>F42/1000</f>
        <v>17.562000000000001</v>
      </c>
      <c r="U25" s="13">
        <f>F43</f>
        <v>2.9571353780684612E-2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3" t="s">
        <v>3</v>
      </c>
      <c r="T26" s="11">
        <f>E42/1000</f>
        <v>0</v>
      </c>
      <c r="U26" s="13">
        <f>E43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5" t="str">
        <f>D29</f>
        <v>Kol och koks</v>
      </c>
      <c r="T27" s="2">
        <f>D42/1000</f>
        <v>0</v>
      </c>
      <c r="U27" s="45">
        <f>D43</f>
        <v>0</v>
      </c>
    </row>
    <row r="28" spans="1:21" ht="15.75" x14ac:dyDescent="0.25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5" t="str">
        <f>K29</f>
        <v>Avfall</v>
      </c>
      <c r="T28" s="2">
        <f>K42/1000</f>
        <v>0</v>
      </c>
      <c r="U28" s="45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4" t="str">
        <f>I29</f>
        <v>Avlutar</v>
      </c>
      <c r="T29" s="12">
        <f>I42/1000</f>
        <v>0</v>
      </c>
      <c r="U29" s="13">
        <f>I43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4" t="str">
        <f>H29</f>
        <v>Biogas</v>
      </c>
      <c r="T30" s="12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8">
        <v>1025</v>
      </c>
      <c r="D31" s="8">
        <v>0</v>
      </c>
      <c r="E31" s="8">
        <v>0</v>
      </c>
      <c r="F31" s="8">
        <v>106</v>
      </c>
      <c r="G31" s="8">
        <v>0</v>
      </c>
      <c r="H31" s="8">
        <v>0</v>
      </c>
      <c r="I31" s="8"/>
      <c r="J31" s="8"/>
      <c r="K31" s="8"/>
      <c r="L31" s="8"/>
      <c r="M31" s="27"/>
      <c r="N31" s="58">
        <v>2240</v>
      </c>
      <c r="O31" s="58">
        <f>SUM(B31:N31)</f>
        <v>3371</v>
      </c>
      <c r="P31" s="17">
        <f>O31/O$39</f>
        <v>5.9670475947717974E-3</v>
      </c>
      <c r="Q31" s="18" t="s">
        <v>33</v>
      </c>
      <c r="R31" s="3"/>
      <c r="S31" s="55" t="str">
        <f>L29</f>
        <v>Övrigt</v>
      </c>
      <c r="T31" s="12">
        <f>L42/1000</f>
        <v>0</v>
      </c>
      <c r="U31" s="45">
        <f>L43</f>
        <v>0</v>
      </c>
    </row>
    <row r="32" spans="1:21" ht="16" x14ac:dyDescent="0.2">
      <c r="A32" s="4" t="s">
        <v>35</v>
      </c>
      <c r="B32" s="8">
        <v>521</v>
      </c>
      <c r="C32" s="8">
        <v>179</v>
      </c>
      <c r="D32" s="8">
        <v>0</v>
      </c>
      <c r="E32" s="8">
        <v>0</v>
      </c>
      <c r="F32" s="8">
        <v>0</v>
      </c>
      <c r="G32" s="8">
        <v>380</v>
      </c>
      <c r="H32" s="8">
        <v>0</v>
      </c>
      <c r="I32" s="8"/>
      <c r="J32" s="8"/>
      <c r="K32" s="8"/>
      <c r="L32" s="8"/>
      <c r="M32" s="27"/>
      <c r="N32" s="58">
        <v>67064</v>
      </c>
      <c r="O32" s="58">
        <f t="shared" ref="O32:O38" si="0">SUM(B32:N32)</f>
        <v>68144</v>
      </c>
      <c r="P32" s="17">
        <f>O32/O$39</f>
        <v>0.12062251299262217</v>
      </c>
      <c r="Q32" s="18" t="s">
        <v>36</v>
      </c>
      <c r="R32" s="3"/>
      <c r="S32" s="55" t="str">
        <f>M29</f>
        <v>Övrigt</v>
      </c>
      <c r="T32" s="9">
        <f>M42</f>
        <v>0</v>
      </c>
      <c r="U32" s="45">
        <f>M43</f>
        <v>0</v>
      </c>
    </row>
    <row r="33" spans="1:48" ht="16" x14ac:dyDescent="0.2">
      <c r="A33" s="4" t="s">
        <v>37</v>
      </c>
      <c r="B33" s="8">
        <v>5223</v>
      </c>
      <c r="C33" s="8">
        <v>369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58">
        <v>32250</v>
      </c>
      <c r="O33" s="58">
        <f t="shared" si="0"/>
        <v>37842</v>
      </c>
      <c r="P33" s="17">
        <f>O33/O$39</f>
        <v>6.698457878414546E-2</v>
      </c>
      <c r="Q33" s="18" t="s">
        <v>38</v>
      </c>
      <c r="R33" s="3"/>
      <c r="S33" s="53" t="s">
        <v>34</v>
      </c>
      <c r="T33" s="12">
        <f>C42/1000</f>
        <v>216.05799999999999</v>
      </c>
      <c r="U33" s="14">
        <f>C43</f>
        <v>0.36380409720687601</v>
      </c>
    </row>
    <row r="34" spans="1:48" ht="16" x14ac:dyDescent="0.2">
      <c r="A34" s="4" t="s">
        <v>39</v>
      </c>
      <c r="B34" s="8">
        <v>0</v>
      </c>
      <c r="C34" s="8">
        <v>211901</v>
      </c>
      <c r="D34" s="8">
        <v>0</v>
      </c>
      <c r="E34" s="8">
        <v>0</v>
      </c>
      <c r="F34" s="8">
        <v>17456</v>
      </c>
      <c r="G34" s="8">
        <v>0</v>
      </c>
      <c r="H34" s="8">
        <v>0</v>
      </c>
      <c r="I34" s="8"/>
      <c r="J34" s="8"/>
      <c r="K34" s="8"/>
      <c r="L34" s="8"/>
      <c r="M34" s="27"/>
      <c r="N34" s="58">
        <v>313</v>
      </c>
      <c r="O34" s="58">
        <f t="shared" si="0"/>
        <v>229670</v>
      </c>
      <c r="P34" s="17">
        <f>O34/O$39</f>
        <v>0.40654162595409038</v>
      </c>
      <c r="Q34" s="18" t="s">
        <v>40</v>
      </c>
      <c r="R34" s="3"/>
      <c r="S34" s="3"/>
      <c r="T34" s="12">
        <f>SUM(T22:T33)</f>
        <v>593.88555999999994</v>
      </c>
      <c r="U34" s="13">
        <f>SUM(U22:U33)</f>
        <v>1</v>
      </c>
    </row>
    <row r="35" spans="1:48" ht="16" x14ac:dyDescent="0.2">
      <c r="A35" s="4" t="s">
        <v>41</v>
      </c>
      <c r="B35" s="8">
        <v>8524</v>
      </c>
      <c r="C35" s="8">
        <v>2115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58">
        <v>46297</v>
      </c>
      <c r="O35" s="58">
        <f t="shared" si="0"/>
        <v>56936</v>
      </c>
      <c r="P35" s="17">
        <f>O35/O$39</f>
        <v>0.10078309755441324</v>
      </c>
      <c r="Q35" s="18" t="s">
        <v>42</v>
      </c>
      <c r="R35" s="18"/>
    </row>
    <row r="36" spans="1:48" ht="16" x14ac:dyDescent="0.2">
      <c r="A36" s="4" t="s">
        <v>43</v>
      </c>
      <c r="B36" s="8">
        <v>3842</v>
      </c>
      <c r="C36" s="8">
        <v>281</v>
      </c>
      <c r="D36" s="8">
        <v>0</v>
      </c>
      <c r="E36" s="8">
        <v>0</v>
      </c>
      <c r="F36" s="8">
        <v>0</v>
      </c>
      <c r="G36" s="8">
        <v>25857</v>
      </c>
      <c r="H36" s="8">
        <v>0</v>
      </c>
      <c r="I36" s="8"/>
      <c r="J36" s="8"/>
      <c r="K36" s="8"/>
      <c r="L36" s="8"/>
      <c r="M36" s="27"/>
      <c r="N36" s="58">
        <v>60150</v>
      </c>
      <c r="O36" s="58">
        <f t="shared" si="0"/>
        <v>90130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7280</v>
      </c>
      <c r="C37" s="8">
        <v>20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58">
        <v>4951</v>
      </c>
      <c r="O37" s="58">
        <f t="shared" si="0"/>
        <v>12251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58">
        <v>66592</v>
      </c>
      <c r="O38" s="58">
        <f t="shared" si="0"/>
        <v>66592</v>
      </c>
      <c r="P38" s="18">
        <f>SUM(P31:P35)</f>
        <v>0.70089886288004311</v>
      </c>
      <c r="Q38" s="18"/>
      <c r="R38" s="3"/>
      <c r="S38" s="7" t="s">
        <v>46</v>
      </c>
      <c r="T38" s="19">
        <f>O45/1000</f>
        <v>32.956559999999996</v>
      </c>
      <c r="U38" s="7"/>
    </row>
    <row r="39" spans="1:48" ht="16" x14ac:dyDescent="0.2">
      <c r="A39" s="4" t="s">
        <v>15</v>
      </c>
      <c r="B39" s="8">
        <v>25390</v>
      </c>
      <c r="C39" s="8">
        <v>215889</v>
      </c>
      <c r="D39" s="8">
        <v>0</v>
      </c>
      <c r="E39" s="8">
        <v>0</v>
      </c>
      <c r="F39" s="8">
        <v>17562</v>
      </c>
      <c r="G39" s="8">
        <v>26238</v>
      </c>
      <c r="H39" s="8">
        <v>0</v>
      </c>
      <c r="I39" s="8"/>
      <c r="J39" s="8"/>
      <c r="K39" s="8"/>
      <c r="L39" s="8"/>
      <c r="M39" s="27"/>
      <c r="N39" s="8">
        <v>279857</v>
      </c>
      <c r="O39" s="8">
        <v>564936</v>
      </c>
      <c r="P39" s="3"/>
      <c r="Q39" s="3"/>
      <c r="R39" s="3"/>
      <c r="S39" s="7" t="s">
        <v>47</v>
      </c>
      <c r="T39" s="20">
        <f>O41/1000</f>
        <v>168.97300000000001</v>
      </c>
      <c r="U39" s="13">
        <f>P41</f>
        <v>0.29910113711995695</v>
      </c>
    </row>
    <row r="40" spans="1:48" x14ac:dyDescent="0.2">
      <c r="N40" s="9"/>
      <c r="S40" s="7" t="s">
        <v>48</v>
      </c>
      <c r="T40" s="20">
        <f>O35/1000</f>
        <v>56.936</v>
      </c>
      <c r="U40" s="14">
        <f>P35</f>
        <v>0.10078309755441324</v>
      </c>
    </row>
    <row r="41" spans="1:48" ht="16" x14ac:dyDescent="0.2">
      <c r="A41" s="21" t="s">
        <v>49</v>
      </c>
      <c r="B41" s="22">
        <f>B38+B37+B36</f>
        <v>11122</v>
      </c>
      <c r="C41" s="22">
        <f t="shared" ref="C41:O41" si="1">C38+C37+C36</f>
        <v>301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25857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131693</v>
      </c>
      <c r="O41" s="22">
        <f t="shared" si="1"/>
        <v>168973</v>
      </c>
      <c r="P41" s="17">
        <f>O41/O$39</f>
        <v>0.29910113711995695</v>
      </c>
      <c r="Q41" s="17" t="s">
        <v>50</v>
      </c>
      <c r="R41" s="7"/>
      <c r="S41" s="7" t="s">
        <v>51</v>
      </c>
      <c r="T41" s="20">
        <f>O33/1000</f>
        <v>37.841999999999999</v>
      </c>
      <c r="U41" s="13">
        <f>P33</f>
        <v>6.698457878414546E-2</v>
      </c>
    </row>
    <row r="42" spans="1:48" ht="16" x14ac:dyDescent="0.2">
      <c r="A42" s="23" t="s">
        <v>52</v>
      </c>
      <c r="B42" s="22"/>
      <c r="C42" s="24">
        <f>C39+C23+C10</f>
        <v>216058</v>
      </c>
      <c r="D42" s="24">
        <f t="shared" ref="D42:M42" si="2">D39+D23+D10</f>
        <v>0</v>
      </c>
      <c r="E42" s="24">
        <f t="shared" si="2"/>
        <v>0</v>
      </c>
      <c r="F42" s="24">
        <f t="shared" si="2"/>
        <v>17562</v>
      </c>
      <c r="G42" s="24">
        <f t="shared" si="2"/>
        <v>58020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302245.56</v>
      </c>
      <c r="O42" s="25">
        <f>SUM(C42:N42)</f>
        <v>593885.56000000006</v>
      </c>
      <c r="P42" s="7"/>
      <c r="Q42" s="7"/>
      <c r="R42" s="7"/>
      <c r="S42" s="7" t="s">
        <v>33</v>
      </c>
      <c r="T42" s="20">
        <f>O31/1000</f>
        <v>3.371</v>
      </c>
      <c r="U42" s="13">
        <f>P31</f>
        <v>5.9670475947717974E-3</v>
      </c>
    </row>
    <row r="43" spans="1:48" ht="16" x14ac:dyDescent="0.2">
      <c r="A43" s="23" t="s">
        <v>53</v>
      </c>
      <c r="B43" s="22"/>
      <c r="C43" s="17">
        <f t="shared" ref="C43:N43" si="3">C42/$O42</f>
        <v>0.36380409720687601</v>
      </c>
      <c r="D43" s="17">
        <f t="shared" si="3"/>
        <v>0</v>
      </c>
      <c r="E43" s="17">
        <f t="shared" si="3"/>
        <v>0</v>
      </c>
      <c r="F43" s="17">
        <f t="shared" si="3"/>
        <v>2.9571353780684612E-2</v>
      </c>
      <c r="G43" s="17">
        <f t="shared" si="3"/>
        <v>9.7695589702500918E-2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</v>
      </c>
      <c r="N43" s="17">
        <f t="shared" si="3"/>
        <v>0.50892895930993842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68.144000000000005</v>
      </c>
      <c r="U43" s="14">
        <f>P32</f>
        <v>0.12062251299262217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229.67</v>
      </c>
      <c r="U44" s="14">
        <f>P34</f>
        <v>0.40654162595409038</v>
      </c>
    </row>
    <row r="45" spans="1:48" ht="16" x14ac:dyDescent="0.2">
      <c r="A45" s="6" t="s">
        <v>56</v>
      </c>
      <c r="B45" s="6">
        <f>B23-B39</f>
        <v>10568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22388.560000000001</v>
      </c>
      <c r="O45" s="25">
        <f>B45+N45</f>
        <v>32956.559999999998</v>
      </c>
      <c r="P45" s="7"/>
      <c r="Q45" s="7"/>
      <c r="R45" s="7"/>
      <c r="S45" s="7" t="s">
        <v>57</v>
      </c>
      <c r="T45" s="20">
        <f>SUM(T39:T44)</f>
        <v>564.93600000000004</v>
      </c>
      <c r="U45" s="13">
        <f>SUM(U39:U44)</f>
        <v>1</v>
      </c>
    </row>
    <row r="46" spans="1:48" ht="16" x14ac:dyDescent="0.2">
      <c r="A46" s="6"/>
      <c r="B46" s="5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1"/>
      <c r="G48" s="40"/>
      <c r="H48" s="41"/>
      <c r="I48" s="40"/>
      <c r="J48" s="40"/>
      <c r="K48" s="40"/>
      <c r="L48" s="40"/>
      <c r="M48" s="40"/>
      <c r="N48" s="38"/>
      <c r="O48" s="38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1"/>
      <c r="E52" s="40"/>
      <c r="F52" s="40"/>
      <c r="G52" s="40"/>
      <c r="H52" s="41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1"/>
      <c r="E55" s="40"/>
      <c r="F55" s="41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1"/>
      <c r="E56" s="40"/>
      <c r="F56" s="41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9" enableFormatConditionsCalculation="0"/>
  <dimension ref="A1:AV70"/>
  <sheetViews>
    <sheetView topLeftCell="A4" workbookViewId="0">
      <selection activeCell="D47" sqref="D47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6" width="8.83203125" style="2"/>
    <col min="7" max="7" width="15.6640625" style="2" bestFit="1" customWidth="1"/>
    <col min="8" max="11" width="8.83203125" style="2"/>
    <col min="12" max="12" width="7.6640625" style="2" customWidth="1"/>
    <col min="13" max="13" width="5.33203125" style="2" customWidth="1"/>
    <col min="14" max="14" width="8.83203125" style="2"/>
    <col min="15" max="15" width="10.5" style="2" customWidth="1"/>
    <col min="16" max="19" width="8.83203125" style="2"/>
    <col min="20" max="21" width="13.16406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67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6" x14ac:dyDescent="0.2">
      <c r="A4" s="67" t="s">
        <v>70</v>
      </c>
      <c r="B4" s="2">
        <v>516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176131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76893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8">
        <f>SUM(B4:B9)</f>
        <v>253540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 t="s">
        <v>68</v>
      </c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63">
        <v>485300</v>
      </c>
      <c r="C17" s="8">
        <v>0</v>
      </c>
      <c r="D17" s="63">
        <v>0</v>
      </c>
      <c r="E17" s="8">
        <v>0</v>
      </c>
      <c r="F17" s="8">
        <v>0</v>
      </c>
      <c r="G17" s="63">
        <v>556000</v>
      </c>
      <c r="H17" s="8">
        <v>0</v>
      </c>
      <c r="I17" s="8"/>
      <c r="J17" s="63">
        <v>54200</v>
      </c>
      <c r="K17" s="8"/>
      <c r="L17" s="63">
        <v>107000</v>
      </c>
      <c r="M17" s="8"/>
      <c r="O17" s="63">
        <f>SUM(C17:N17)</f>
        <v>717200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63">
        <f>95000+14300+785</f>
        <v>110085</v>
      </c>
      <c r="C18" s="8">
        <v>3319</v>
      </c>
      <c r="D18" s="73">
        <v>0</v>
      </c>
      <c r="E18" s="8">
        <v>0</v>
      </c>
      <c r="F18" s="8">
        <v>0</v>
      </c>
      <c r="G18" s="8">
        <f>87925+14300/0.85</f>
        <v>104748.5294117647</v>
      </c>
      <c r="H18" s="8">
        <v>0</v>
      </c>
      <c r="I18" s="8"/>
      <c r="J18" s="63">
        <v>2208</v>
      </c>
      <c r="K18" s="8"/>
      <c r="L18" s="8"/>
      <c r="M18" s="8"/>
      <c r="N18" s="70">
        <v>800</v>
      </c>
      <c r="O18" s="63">
        <f>SUM(C18:N18)</f>
        <v>111075.5294117647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f t="shared" ref="O19:O22" si="0">SUM(C19:H19)</f>
        <v>0</v>
      </c>
      <c r="P19" s="3"/>
      <c r="Q19" s="3"/>
      <c r="R19" s="3"/>
      <c r="S19" s="3" t="s">
        <v>25</v>
      </c>
      <c r="T19" s="11">
        <f>O42/1000</f>
        <v>1897.1724094117646</v>
      </c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f t="shared" si="0"/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2715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f t="shared" si="0"/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f t="shared" si="0"/>
        <v>0</v>
      </c>
      <c r="P22" s="3"/>
      <c r="Q22" s="3"/>
      <c r="R22" s="3"/>
      <c r="S22" s="53" t="s">
        <v>9</v>
      </c>
      <c r="T22" s="12">
        <f>N42/1000</f>
        <v>405.42388</v>
      </c>
      <c r="U22" s="13">
        <f>N43</f>
        <v>0.2136990175424833</v>
      </c>
    </row>
    <row r="23" spans="1:21" ht="16" x14ac:dyDescent="0.2">
      <c r="A23" s="4" t="s">
        <v>15</v>
      </c>
      <c r="B23" s="8">
        <f>SUM(B17:B22)</f>
        <v>598100</v>
      </c>
      <c r="C23" s="8">
        <v>3319</v>
      </c>
      <c r="D23" s="8">
        <v>0</v>
      </c>
      <c r="E23" s="8">
        <v>0</v>
      </c>
      <c r="F23" s="8">
        <v>0</v>
      </c>
      <c r="G23" s="63">
        <f>SUM(G17:G22)</f>
        <v>660748.5294117647</v>
      </c>
      <c r="H23" s="8">
        <f t="shared" ref="H23:N23" si="1">SUM(H17:H22)</f>
        <v>0</v>
      </c>
      <c r="I23" s="8">
        <f t="shared" si="1"/>
        <v>0</v>
      </c>
      <c r="J23" s="63">
        <f t="shared" si="1"/>
        <v>56408</v>
      </c>
      <c r="K23" s="8">
        <f t="shared" si="1"/>
        <v>0</v>
      </c>
      <c r="L23" s="63">
        <f t="shared" si="1"/>
        <v>107000</v>
      </c>
      <c r="M23" s="8">
        <f t="shared" si="1"/>
        <v>0</v>
      </c>
      <c r="N23" s="8">
        <f t="shared" si="1"/>
        <v>800</v>
      </c>
      <c r="O23" s="63">
        <f>SUM(O17:O22)</f>
        <v>828275.5294117647</v>
      </c>
      <c r="P23" s="3"/>
      <c r="Q23" s="3"/>
      <c r="R23" s="3"/>
      <c r="S23" s="53" t="s">
        <v>58</v>
      </c>
      <c r="T23" s="12">
        <f>G42/1000</f>
        <v>716.2535294117647</v>
      </c>
      <c r="U23" s="14">
        <f>G43</f>
        <v>0.37753739505090395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54" t="str">
        <f>J29</f>
        <v>Torv</v>
      </c>
      <c r="T24" s="12">
        <f>J42/1000</f>
        <v>56.408000000000001</v>
      </c>
      <c r="U24" s="13">
        <f>J43</f>
        <v>2.9732669376891164E-2</v>
      </c>
    </row>
    <row r="25" spans="1:21" ht="15.75" x14ac:dyDescent="0.25">
      <c r="B25" s="9"/>
      <c r="C25" s="61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53" t="s">
        <v>30</v>
      </c>
      <c r="T25" s="12">
        <f>F42/1000</f>
        <v>44.725999999999999</v>
      </c>
      <c r="U25" s="13">
        <f>F43</f>
        <v>2.3575084572238586E-2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53" t="s">
        <v>3</v>
      </c>
      <c r="T26" s="11">
        <f>E42/1000</f>
        <v>0</v>
      </c>
      <c r="U26" s="13">
        <f>E43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55" t="str">
        <f>D29</f>
        <v>Kol och koks</v>
      </c>
      <c r="T27" s="2">
        <f>D42/1000</f>
        <v>0</v>
      </c>
      <c r="U27" s="45">
        <f>D43</f>
        <v>0</v>
      </c>
    </row>
    <row r="28" spans="1:21" ht="15.75" x14ac:dyDescent="0.25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55" t="str">
        <f>K29</f>
        <v>Avfall</v>
      </c>
      <c r="T28" s="2">
        <f>K42/1000</f>
        <v>0</v>
      </c>
      <c r="U28" s="45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4" t="str">
        <f>I29</f>
        <v>Avlutar</v>
      </c>
      <c r="T29" s="12">
        <f>I42/1000</f>
        <v>0</v>
      </c>
      <c r="U29" s="13">
        <f>I43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54" t="str">
        <f>H29</f>
        <v>Biogas</v>
      </c>
      <c r="T30" s="12">
        <f>H42/1000</f>
        <v>0</v>
      </c>
      <c r="U30" s="13">
        <f>H43</f>
        <v>0</v>
      </c>
    </row>
    <row r="31" spans="1:21" ht="16" x14ac:dyDescent="0.2">
      <c r="A31" s="4" t="s">
        <v>32</v>
      </c>
      <c r="B31" s="8">
        <v>0</v>
      </c>
      <c r="C31" s="8">
        <v>6885</v>
      </c>
      <c r="D31" s="8">
        <v>0</v>
      </c>
      <c r="E31" s="8">
        <v>0</v>
      </c>
      <c r="F31" s="8">
        <v>706</v>
      </c>
      <c r="G31" s="8">
        <v>0</v>
      </c>
      <c r="H31" s="8">
        <v>0</v>
      </c>
      <c r="I31" s="8"/>
      <c r="J31" s="8"/>
      <c r="K31" s="8"/>
      <c r="L31" s="8"/>
      <c r="M31" s="27"/>
      <c r="N31" s="58">
        <v>28274</v>
      </c>
      <c r="O31" s="58">
        <f>SUM(B31:N31)</f>
        <v>35865</v>
      </c>
      <c r="P31" s="17">
        <f>O31/O$39</f>
        <v>2.0660645229675059E-2</v>
      </c>
      <c r="Q31" s="18" t="s">
        <v>33</v>
      </c>
      <c r="R31" s="3"/>
      <c r="S31" s="55" t="str">
        <f>L29</f>
        <v>Övrigt</v>
      </c>
      <c r="T31" s="12">
        <f>L42/1000</f>
        <v>107</v>
      </c>
      <c r="U31" s="45">
        <f>L43</f>
        <v>5.6399723857030112E-2</v>
      </c>
    </row>
    <row r="32" spans="1:21" ht="16" x14ac:dyDescent="0.2">
      <c r="A32" s="4" t="s">
        <v>35</v>
      </c>
      <c r="B32" s="71">
        <v>17807.731145256166</v>
      </c>
      <c r="C32" s="8">
        <v>7479</v>
      </c>
      <c r="D32" s="8">
        <v>0</v>
      </c>
      <c r="E32" s="8">
        <v>0</v>
      </c>
      <c r="F32" s="8">
        <v>0</v>
      </c>
      <c r="G32" s="58">
        <v>18605</v>
      </c>
      <c r="H32" s="8">
        <v>0</v>
      </c>
      <c r="I32" s="8"/>
      <c r="J32" s="8"/>
      <c r="K32" s="8"/>
      <c r="L32" s="8"/>
      <c r="M32" s="27"/>
      <c r="N32" s="58">
        <v>82435</v>
      </c>
      <c r="O32" s="74">
        <f>SUM(B32:N32)</f>
        <v>126326.73114525617</v>
      </c>
      <c r="P32" s="17">
        <f>O32/O$39</f>
        <v>7.2772669042706836E-2</v>
      </c>
      <c r="Q32" s="18" t="s">
        <v>36</v>
      </c>
      <c r="R32" s="3"/>
      <c r="S32" s="55" t="str">
        <f>M29</f>
        <v>Övrigt</v>
      </c>
      <c r="T32" s="9">
        <f>M42</f>
        <v>0</v>
      </c>
      <c r="U32" s="45">
        <f>M43</f>
        <v>0</v>
      </c>
    </row>
    <row r="33" spans="1:48" ht="16" x14ac:dyDescent="0.2">
      <c r="A33" s="4" t="s">
        <v>37</v>
      </c>
      <c r="B33" s="71">
        <v>62777.541350969128</v>
      </c>
      <c r="C33" s="8">
        <v>8080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58">
        <v>88227</v>
      </c>
      <c r="O33" s="58">
        <f>SUM(B33:N33)</f>
        <v>159084.54135096911</v>
      </c>
      <c r="P33" s="17">
        <f>O33/O$39</f>
        <v>9.1643364572088229E-2</v>
      </c>
      <c r="Q33" s="18" t="s">
        <v>38</v>
      </c>
      <c r="R33" s="3"/>
      <c r="S33" s="53" t="s">
        <v>34</v>
      </c>
      <c r="T33" s="12">
        <f>C42/1000</f>
        <v>567.36099999999999</v>
      </c>
      <c r="U33" s="14">
        <f>C43</f>
        <v>0.29905610960045292</v>
      </c>
    </row>
    <row r="34" spans="1:48" ht="16" x14ac:dyDescent="0.2">
      <c r="A34" s="4" t="s">
        <v>39</v>
      </c>
      <c r="B34" s="8">
        <v>0</v>
      </c>
      <c r="C34" s="8">
        <v>531795</v>
      </c>
      <c r="D34" s="8">
        <v>0</v>
      </c>
      <c r="E34" s="8">
        <v>0</v>
      </c>
      <c r="F34" s="8">
        <v>44020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10441</v>
      </c>
      <c r="O34" s="8">
        <v>586256</v>
      </c>
      <c r="P34" s="17">
        <f>O34/O$39</f>
        <v>0.33772277233426407</v>
      </c>
      <c r="Q34" s="18" t="s">
        <v>40</v>
      </c>
      <c r="R34" s="3"/>
      <c r="S34" s="3"/>
      <c r="T34" s="12">
        <f>SUM(T22:T33)</f>
        <v>1897.1724094117644</v>
      </c>
      <c r="U34" s="13">
        <f>SUM(U22:U33)</f>
        <v>0.99999999999999989</v>
      </c>
    </row>
    <row r="35" spans="1:48" ht="16" x14ac:dyDescent="0.2">
      <c r="A35" s="4" t="s">
        <v>41</v>
      </c>
      <c r="B35" s="71">
        <v>119167.17013165356</v>
      </c>
      <c r="C35" s="8">
        <v>9652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156490</v>
      </c>
      <c r="O35" s="74">
        <f>SUM(B35:N35)</f>
        <v>285309.17013165355</v>
      </c>
      <c r="P35" s="17">
        <f>O35/O$39</f>
        <v>0.16435721580546767</v>
      </c>
      <c r="Q35" s="18" t="s">
        <v>42</v>
      </c>
      <c r="R35" s="18"/>
    </row>
    <row r="36" spans="1:48" ht="16" x14ac:dyDescent="0.2">
      <c r="A36" s="4" t="s">
        <v>43</v>
      </c>
      <c r="B36" s="71">
        <v>79770.027123229651</v>
      </c>
      <c r="C36" s="8">
        <v>151</v>
      </c>
      <c r="D36" s="8">
        <v>0</v>
      </c>
      <c r="E36" s="8">
        <v>0</v>
      </c>
      <c r="F36" s="8">
        <v>0</v>
      </c>
      <c r="G36" s="58">
        <v>36900</v>
      </c>
      <c r="H36" s="8">
        <v>0</v>
      </c>
      <c r="I36" s="8"/>
      <c r="J36" s="8"/>
      <c r="K36" s="8"/>
      <c r="L36" s="8"/>
      <c r="M36" s="27"/>
      <c r="N36" s="58">
        <v>112654</v>
      </c>
      <c r="O36" s="74">
        <f>SUM(B36:N36)</f>
        <v>229475.02712322964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71">
        <v>254377.5302488915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58">
        <v>49042</v>
      </c>
      <c r="O37" s="58">
        <f>SUM(B37:N37)</f>
        <v>303419.5302488915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58">
        <v>10173</v>
      </c>
      <c r="O38" s="58">
        <f>SUM(B38:N38)</f>
        <v>10173</v>
      </c>
      <c r="P38" s="18">
        <f>SUM(P31:P35)</f>
        <v>0.68715666698420186</v>
      </c>
      <c r="Q38" s="18"/>
      <c r="R38" s="3"/>
      <c r="S38" s="7" t="s">
        <v>46</v>
      </c>
      <c r="T38" s="19">
        <f>O45/1000</f>
        <v>107.21888</v>
      </c>
      <c r="U38" s="7"/>
    </row>
    <row r="39" spans="1:48" ht="16" x14ac:dyDescent="0.2">
      <c r="A39" s="4" t="s">
        <v>15</v>
      </c>
      <c r="B39" s="63">
        <v>533900</v>
      </c>
      <c r="C39" s="8">
        <v>564042</v>
      </c>
      <c r="D39" s="8">
        <v>0</v>
      </c>
      <c r="E39" s="8">
        <v>0</v>
      </c>
      <c r="F39" s="8">
        <v>44726</v>
      </c>
      <c r="G39" s="58">
        <f>SUM(G31:G38)</f>
        <v>55505</v>
      </c>
      <c r="H39" s="8">
        <v>0</v>
      </c>
      <c r="I39" s="8"/>
      <c r="J39" s="8"/>
      <c r="K39" s="8"/>
      <c r="L39" s="8"/>
      <c r="M39" s="27"/>
      <c r="N39" s="58">
        <v>537736</v>
      </c>
      <c r="O39" s="64">
        <f>SUM(O31:O38)</f>
        <v>1735909</v>
      </c>
      <c r="P39" s="3"/>
      <c r="Q39" s="3"/>
      <c r="R39" s="3"/>
      <c r="S39" s="7" t="s">
        <v>47</v>
      </c>
      <c r="T39" s="20">
        <f>O41/1000</f>
        <v>543.06755737212109</v>
      </c>
      <c r="U39" s="13">
        <f>P41</f>
        <v>0.31284333301579814</v>
      </c>
    </row>
    <row r="40" spans="1:48" x14ac:dyDescent="0.2">
      <c r="S40" s="7" t="s">
        <v>48</v>
      </c>
      <c r="T40" s="20">
        <f>O35/1000</f>
        <v>285.30917013165356</v>
      </c>
      <c r="U40" s="14">
        <f>P35</f>
        <v>0.16435721580546767</v>
      </c>
    </row>
    <row r="41" spans="1:48" ht="16" x14ac:dyDescent="0.2">
      <c r="A41" s="21" t="s">
        <v>49</v>
      </c>
      <c r="B41" s="22">
        <f>B38+B37+B36</f>
        <v>334147.55737212114</v>
      </c>
      <c r="C41" s="22">
        <f t="shared" ref="C41:O41" si="2">C38+C37+C36</f>
        <v>151</v>
      </c>
      <c r="D41" s="22">
        <f t="shared" si="2"/>
        <v>0</v>
      </c>
      <c r="E41" s="22">
        <f t="shared" si="2"/>
        <v>0</v>
      </c>
      <c r="F41" s="22">
        <f t="shared" si="2"/>
        <v>0</v>
      </c>
      <c r="G41" s="22">
        <f t="shared" si="2"/>
        <v>36900</v>
      </c>
      <c r="H41" s="22">
        <f t="shared" si="2"/>
        <v>0</v>
      </c>
      <c r="I41" s="22">
        <f t="shared" si="2"/>
        <v>0</v>
      </c>
      <c r="J41" s="22">
        <f t="shared" si="2"/>
        <v>0</v>
      </c>
      <c r="K41" s="22">
        <f t="shared" si="2"/>
        <v>0</v>
      </c>
      <c r="L41" s="22">
        <f t="shared" si="2"/>
        <v>0</v>
      </c>
      <c r="M41" s="22">
        <f t="shared" si="2"/>
        <v>0</v>
      </c>
      <c r="N41" s="22">
        <f t="shared" si="2"/>
        <v>171869</v>
      </c>
      <c r="O41" s="22">
        <f t="shared" si="2"/>
        <v>543067.55737212114</v>
      </c>
      <c r="P41" s="17">
        <f>O41/O$39</f>
        <v>0.31284333301579814</v>
      </c>
      <c r="Q41" s="17" t="s">
        <v>50</v>
      </c>
      <c r="R41" s="7"/>
      <c r="S41" s="7" t="s">
        <v>51</v>
      </c>
      <c r="T41" s="20">
        <f>O33/1000</f>
        <v>159.08454135096912</v>
      </c>
      <c r="U41" s="13">
        <f>P33</f>
        <v>9.1643364572088229E-2</v>
      </c>
    </row>
    <row r="42" spans="1:48" ht="16" x14ac:dyDescent="0.2">
      <c r="A42" s="23" t="s">
        <v>52</v>
      </c>
      <c r="B42" s="22"/>
      <c r="C42" s="24">
        <f>C39+C23+C10</f>
        <v>567361</v>
      </c>
      <c r="D42" s="24">
        <f t="shared" ref="D42:M42" si="3">D39+D23+D10</f>
        <v>0</v>
      </c>
      <c r="E42" s="24">
        <f t="shared" si="3"/>
        <v>0</v>
      </c>
      <c r="F42" s="24">
        <f t="shared" si="3"/>
        <v>44726</v>
      </c>
      <c r="G42" s="24">
        <f t="shared" si="3"/>
        <v>716253.5294117647</v>
      </c>
      <c r="H42" s="24">
        <f t="shared" si="3"/>
        <v>0</v>
      </c>
      <c r="I42" s="24">
        <f t="shared" si="3"/>
        <v>0</v>
      </c>
      <c r="J42" s="24">
        <f t="shared" si="3"/>
        <v>56408</v>
      </c>
      <c r="K42" s="24">
        <f t="shared" si="3"/>
        <v>0</v>
      </c>
      <c r="L42" s="24">
        <f t="shared" si="3"/>
        <v>107000</v>
      </c>
      <c r="M42" s="24">
        <f t="shared" si="3"/>
        <v>0</v>
      </c>
      <c r="N42" s="24">
        <f>N39+N23-B6+N45</f>
        <v>405423.88</v>
      </c>
      <c r="O42" s="25">
        <f>SUM(C42:N42)</f>
        <v>1897172.4094117647</v>
      </c>
      <c r="P42" s="7"/>
      <c r="Q42" s="7"/>
      <c r="R42" s="7"/>
      <c r="S42" s="7" t="s">
        <v>33</v>
      </c>
      <c r="T42" s="20">
        <f>O31/1000</f>
        <v>35.865000000000002</v>
      </c>
      <c r="U42" s="13">
        <f>P31</f>
        <v>2.0660645229675059E-2</v>
      </c>
    </row>
    <row r="43" spans="1:48" ht="16" x14ac:dyDescent="0.2">
      <c r="A43" s="23" t="s">
        <v>53</v>
      </c>
      <c r="B43" s="22"/>
      <c r="C43" s="17">
        <f t="shared" ref="C43:N43" si="4">C42/$O42</f>
        <v>0.29905610960045292</v>
      </c>
      <c r="D43" s="17">
        <f t="shared" si="4"/>
        <v>0</v>
      </c>
      <c r="E43" s="17">
        <f t="shared" si="4"/>
        <v>0</v>
      </c>
      <c r="F43" s="17">
        <f t="shared" si="4"/>
        <v>2.3575084572238586E-2</v>
      </c>
      <c r="G43" s="17">
        <f t="shared" si="4"/>
        <v>0.37753739505090395</v>
      </c>
      <c r="H43" s="17">
        <f t="shared" si="4"/>
        <v>0</v>
      </c>
      <c r="I43" s="17">
        <f t="shared" si="4"/>
        <v>0</v>
      </c>
      <c r="J43" s="17">
        <f t="shared" si="4"/>
        <v>2.9732669376891164E-2</v>
      </c>
      <c r="K43" s="17">
        <f t="shared" si="4"/>
        <v>0</v>
      </c>
      <c r="L43" s="17">
        <f t="shared" si="4"/>
        <v>5.6399723857030112E-2</v>
      </c>
      <c r="M43" s="17">
        <f t="shared" si="4"/>
        <v>0</v>
      </c>
      <c r="N43" s="17">
        <f t="shared" si="4"/>
        <v>0.2136990175424833</v>
      </c>
      <c r="O43" s="17">
        <f>SUM(C43:N43)</f>
        <v>0.99999999999999989</v>
      </c>
      <c r="P43" s="7"/>
      <c r="Q43" s="7"/>
      <c r="R43" s="7"/>
      <c r="S43" s="7" t="s">
        <v>54</v>
      </c>
      <c r="T43" s="20">
        <f>O32/1000</f>
        <v>126.32673114525618</v>
      </c>
      <c r="U43" s="14">
        <f>P32</f>
        <v>7.2772669042706836E-2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586.25599999999997</v>
      </c>
      <c r="U44" s="14">
        <f>P34</f>
        <v>0.33772277233426407</v>
      </c>
    </row>
    <row r="45" spans="1:48" ht="16" x14ac:dyDescent="0.2">
      <c r="A45" s="6" t="s">
        <v>56</v>
      </c>
      <c r="B45" s="6">
        <f>B23-B39</f>
        <v>64200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43018.879999999997</v>
      </c>
      <c r="O45" s="25">
        <f>B45+N45</f>
        <v>107218.88</v>
      </c>
      <c r="P45" s="7"/>
      <c r="Q45" s="7"/>
      <c r="R45" s="7"/>
      <c r="S45" s="7" t="s">
        <v>57</v>
      </c>
      <c r="T45" s="20">
        <f>SUM(T39:T44)</f>
        <v>1735.9090000000001</v>
      </c>
      <c r="U45" s="13">
        <f>SUM(U39:U44)</f>
        <v>1</v>
      </c>
    </row>
    <row r="46" spans="1:48" ht="16" x14ac:dyDescent="0.2">
      <c r="A46" s="6"/>
      <c r="B46" s="5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ht="16" x14ac:dyDescent="0.2">
      <c r="A47" s="37"/>
      <c r="B47" s="8"/>
      <c r="C47" s="8"/>
      <c r="D47" s="8"/>
      <c r="E47" s="40"/>
      <c r="F47" s="40"/>
      <c r="G47" s="40"/>
      <c r="H47" s="40"/>
      <c r="I47" s="40"/>
      <c r="J47" s="40"/>
      <c r="K47" s="40"/>
      <c r="L47" s="40"/>
      <c r="M47" s="40"/>
      <c r="N47" s="38"/>
      <c r="O47" s="38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ht="16" x14ac:dyDescent="0.2">
      <c r="A48" s="40"/>
      <c r="B48" s="71"/>
      <c r="C48" s="8"/>
      <c r="D48" s="8"/>
      <c r="E48" s="40"/>
      <c r="F48" s="41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ht="16" x14ac:dyDescent="0.2">
      <c r="A49" s="6"/>
      <c r="B49" s="71"/>
      <c r="C49" s="8"/>
      <c r="D49" s="8"/>
      <c r="E49" s="6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ht="16" x14ac:dyDescent="0.2">
      <c r="A50" s="6"/>
      <c r="B50" s="8"/>
      <c r="C50" s="8"/>
      <c r="D50" s="8"/>
      <c r="E50" s="6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ht="16" x14ac:dyDescent="0.2">
      <c r="A51" s="6"/>
      <c r="B51" s="71"/>
      <c r="C51" s="8"/>
      <c r="D51" s="8"/>
      <c r="E51" s="6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ht="16" x14ac:dyDescent="0.2">
      <c r="A52" s="6"/>
      <c r="B52" s="71"/>
      <c r="C52" s="8"/>
      <c r="D52" s="8"/>
      <c r="E52" s="6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ht="16" x14ac:dyDescent="0.2">
      <c r="A53" s="6"/>
      <c r="B53" s="71"/>
      <c r="C53" s="8"/>
      <c r="D53" s="8"/>
      <c r="E53" s="6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ht="16" x14ac:dyDescent="0.2">
      <c r="A54" s="6"/>
      <c r="B54" s="8"/>
      <c r="C54" s="8"/>
      <c r="D54" s="8"/>
      <c r="E54" s="6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ht="16" x14ac:dyDescent="0.2">
      <c r="A55" s="6"/>
      <c r="B55" s="63"/>
      <c r="C55" s="8"/>
      <c r="D55" s="8"/>
      <c r="E55" s="6"/>
      <c r="F55" s="41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ht="16" x14ac:dyDescent="0.2">
      <c r="A56" s="6"/>
      <c r="B56" s="8"/>
      <c r="C56" s="8"/>
      <c r="D56" s="8"/>
      <c r="E56" s="6"/>
      <c r="F56" s="41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6"/>
      <c r="B57" s="8"/>
      <c r="C57" s="8"/>
      <c r="D57" s="8"/>
      <c r="E57" s="6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6"/>
      <c r="B58" s="8"/>
      <c r="C58" s="8"/>
      <c r="D58" s="8"/>
      <c r="E58" s="6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6"/>
      <c r="B59" s="8"/>
      <c r="C59" s="8"/>
      <c r="D59" s="8"/>
      <c r="E59" s="6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6"/>
      <c r="B60" s="8"/>
      <c r="C60" s="8"/>
      <c r="D60" s="8"/>
      <c r="E60" s="6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6"/>
      <c r="B61" s="8"/>
      <c r="C61" s="8"/>
      <c r="D61" s="8"/>
      <c r="E61" s="6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6"/>
      <c r="B62" s="6"/>
      <c r="C62" s="6"/>
      <c r="D62" s="6"/>
      <c r="E62" s="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6"/>
      <c r="B63" s="6"/>
      <c r="C63" s="6"/>
      <c r="D63" s="6"/>
      <c r="E63" s="6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dresurs" ma:contentTypeID="0x0101009148F5A04DDD49CBA7127AADA5FB792B00AADE34325A8B49CDA8BB4DB53328F21400B1422EAB8DF0294E85CCB7CF19F0629E" ma:contentTypeVersion="1" ma:contentTypeDescription="Ladda upp en bild." ma:contentTypeScope="" ma:versionID="89db0ba08def9c0c99553822dc9a3775">
  <xsd:schema xmlns:xsd="http://www.w3.org/2001/XMLSchema" xmlns:xs="http://www.w3.org/2001/XMLSchema" xmlns:p="http://schemas.microsoft.com/office/2006/metadata/properties" xmlns:ns1="http://schemas.microsoft.com/sharepoint/v3" xmlns:ns2="B2487248-3291-4FB7-A798-DA4F8D952CAD" xmlns:ns3="http://schemas.microsoft.com/sharepoint/v3/fields" targetNamespace="http://schemas.microsoft.com/office/2006/metadata/properties" ma:root="true" ma:fieldsID="f88401ac58d331235390f5b8f93600ac" ns1:_="" ns2:_="" ns3:_="">
    <xsd:import namespace="http://schemas.microsoft.com/sharepoint/v3"/>
    <xsd:import namespace="B2487248-3291-4FB7-A798-DA4F8D952CA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-sökväg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typ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-filtyp" ma:hidden="true" ma:internalName="HTML_x0020_File_x0020_Type" ma:readOnly="true">
      <xsd:simpleType>
        <xsd:restriction base="dms:Text"/>
      </xsd:simpleType>
    </xsd:element>
    <xsd:element name="FSObjType" ma:index="11" nillable="true" ma:displayName="Objekttyp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malagt startdatum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malagt slut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87248-3291-4FB7-A798-DA4F8D952CA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Miniatyr finn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Förhandsgranskning finn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Bredd" ma:internalName="ImageWidth" ma:readOnly="true">
      <xsd:simpleType>
        <xsd:restriction base="dms:Unknown"/>
      </xsd:simpleType>
    </xsd:element>
    <xsd:element name="ImageHeight" ma:index="22" nillable="true" ma:displayName="Höjd" ma:internalName="ImageHeight" ma:readOnly="true">
      <xsd:simpleType>
        <xsd:restriction base="dms:Unknown"/>
      </xsd:simpleType>
    </xsd:element>
    <xsd:element name="ImageCreateDate" ma:index="25" nillable="true" ma:displayName="Datum då bilden togs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Författare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 ma:index="23" ma:displayName="Kommentarer"/>
        <xsd:element name="keywords" minOccurs="0" maxOccurs="1" type="xsd:string" ma:index="14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B2487248-3291-4FB7-A798-DA4F8D952CAD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44E63C2-91E9-4C81-A768-1750CFAB375A}"/>
</file>

<file path=customXml/itemProps2.xml><?xml version="1.0" encoding="utf-8"?>
<ds:datastoreItem xmlns:ds="http://schemas.openxmlformats.org/officeDocument/2006/customXml" ds:itemID="{82AEFAF6-350C-4756-8D78-9CCEB745972E}"/>
</file>

<file path=customXml/itemProps3.xml><?xml version="1.0" encoding="utf-8"?>
<ds:datastoreItem xmlns:ds="http://schemas.openxmlformats.org/officeDocument/2006/customXml" ds:itemID="{AC598C08-CA2B-4DD3-B744-D547F070B0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Jämtland</vt:lpstr>
      <vt:lpstr>Ragunda</vt:lpstr>
      <vt:lpstr>Bräcke</vt:lpstr>
      <vt:lpstr>Krokom</vt:lpstr>
      <vt:lpstr>Strömsund</vt:lpstr>
      <vt:lpstr>Åre</vt:lpstr>
      <vt:lpstr>Berg</vt:lpstr>
      <vt:lpstr>Härjedalen</vt:lpstr>
      <vt:lpstr>Östersund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keywords/>
  <dc:description/>
  <cp:lastModifiedBy>Kaj</cp:lastModifiedBy>
  <dcterms:created xsi:type="dcterms:W3CDTF">2016-02-15T22:09:51Z</dcterms:created>
  <dcterms:modified xsi:type="dcterms:W3CDTF">2017-09-01T02:37:06Z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0x0101009148F5A04DDD49CBA7127AADA5FB792B00AADE34325A8B49CDA8BB4DB53328F21400B1422EAB8DF0294E85CCB7CF19F0629E</vt:lpwstr>
  </property>
</Properties>
</file>