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comments1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9.xml" ContentType="application/vnd.openxmlformats-officedocument.spreadsheetml.comments+xml"/>
  <Override PartName="/xl/comments4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10.xml" ContentType="application/vnd.openxmlformats-officedocument.spreadsheetml.comments+xml"/>
  <Override PartName="/xl/comments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13.xml" ContentType="application/vnd.openxmlformats-officedocument.spreadsheetml.comments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7460" tabRatio="828"/>
  </bookViews>
  <sheets>
    <sheet name="Jönköpings län" sheetId="18" r:id="rId1"/>
    <sheet name="Aneby" sheetId="1" r:id="rId2"/>
    <sheet name="Gnosjö" sheetId="4" r:id="rId3"/>
    <sheet name="Mullsjö" sheetId="7" r:id="rId4"/>
    <sheet name="Habo" sheetId="5" r:id="rId5"/>
    <sheet name="Gislaved" sheetId="3" r:id="rId6"/>
    <sheet name="Vaggeryd" sheetId="11" r:id="rId7"/>
    <sheet name="Jönköping" sheetId="16" r:id="rId8"/>
    <sheet name="Nässjö" sheetId="8" r:id="rId9"/>
    <sheet name="Värnamo" sheetId="13" r:id="rId10"/>
    <sheet name="Sävsjö" sheetId="9" r:id="rId11"/>
    <sheet name="Vetlanda" sheetId="12" r:id="rId12"/>
    <sheet name="Eksjö" sheetId="15" r:id="rId13"/>
    <sheet name="Tranås" sheetId="10" r:id="rId1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2" i="18" l="1"/>
  <c r="O33" i="18"/>
  <c r="O34" i="18"/>
  <c r="O35" i="18"/>
  <c r="O36" i="18"/>
  <c r="O37" i="18"/>
  <c r="O38" i="18"/>
  <c r="O31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B39" i="18"/>
  <c r="O18" i="18"/>
  <c r="O17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B18" i="18"/>
  <c r="B22" i="18"/>
  <c r="B23" i="18"/>
  <c r="B10" i="18"/>
  <c r="L23" i="12"/>
  <c r="L42" i="12"/>
  <c r="C23" i="12"/>
  <c r="C42" i="12"/>
  <c r="D42" i="12"/>
  <c r="E39" i="12"/>
  <c r="E42" i="12"/>
  <c r="F34" i="12"/>
  <c r="F39" i="12"/>
  <c r="F42" i="12"/>
  <c r="G18" i="12"/>
  <c r="G23" i="12"/>
  <c r="G42" i="12"/>
  <c r="H23" i="12"/>
  <c r="H42" i="12"/>
  <c r="I42" i="12"/>
  <c r="J42" i="12"/>
  <c r="K42" i="12"/>
  <c r="M42" i="12"/>
  <c r="N45" i="12"/>
  <c r="N42" i="12"/>
  <c r="O42" i="12"/>
  <c r="L43" i="12"/>
  <c r="U29" i="12"/>
  <c r="T29" i="12"/>
  <c r="S29" i="12"/>
  <c r="N45" i="4"/>
  <c r="N42" i="4"/>
  <c r="C42" i="4"/>
  <c r="D42" i="4"/>
  <c r="E39" i="4"/>
  <c r="E42" i="4"/>
  <c r="F42" i="4"/>
  <c r="G42" i="4"/>
  <c r="H39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O36" i="7"/>
  <c r="O32" i="7"/>
  <c r="C32" i="7"/>
  <c r="N32" i="7"/>
  <c r="N39" i="7"/>
  <c r="N45" i="7"/>
  <c r="N42" i="7"/>
  <c r="C42" i="7"/>
  <c r="D42" i="7"/>
  <c r="E39" i="7"/>
  <c r="E42" i="7"/>
  <c r="F42" i="7"/>
  <c r="G39" i="7"/>
  <c r="G42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O36" i="5"/>
  <c r="O38" i="5"/>
  <c r="N38" i="5"/>
  <c r="N39" i="5"/>
  <c r="N45" i="5"/>
  <c r="N42" i="5"/>
  <c r="C42" i="5"/>
  <c r="D42" i="5"/>
  <c r="G32" i="5"/>
  <c r="E32" i="5"/>
  <c r="E39" i="5"/>
  <c r="E42" i="5"/>
  <c r="F42" i="5"/>
  <c r="G42" i="5"/>
  <c r="H42" i="5"/>
  <c r="I42" i="5"/>
  <c r="J42" i="5"/>
  <c r="K42" i="5"/>
  <c r="L42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23" i="3"/>
  <c r="N45" i="3"/>
  <c r="N42" i="3"/>
  <c r="C23" i="3"/>
  <c r="C42" i="3"/>
  <c r="D42" i="3"/>
  <c r="E39" i="3"/>
  <c r="E23" i="3"/>
  <c r="E42" i="3"/>
  <c r="F42" i="3"/>
  <c r="G32" i="3"/>
  <c r="G39" i="3"/>
  <c r="G23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45" i="11"/>
  <c r="N42" i="11"/>
  <c r="C42" i="11"/>
  <c r="D42" i="11"/>
  <c r="E42" i="11"/>
  <c r="F42" i="11"/>
  <c r="G42" i="11"/>
  <c r="H42" i="11"/>
  <c r="I42" i="11"/>
  <c r="J42" i="11"/>
  <c r="K42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N23" i="16"/>
  <c r="N45" i="16"/>
  <c r="N42" i="16"/>
  <c r="C23" i="16"/>
  <c r="C42" i="16"/>
  <c r="D23" i="16"/>
  <c r="D42" i="16"/>
  <c r="E23" i="16"/>
  <c r="E42" i="16"/>
  <c r="F23" i="16"/>
  <c r="F42" i="16"/>
  <c r="G17" i="16"/>
  <c r="G23" i="16"/>
  <c r="G42" i="16"/>
  <c r="H23" i="16"/>
  <c r="H42" i="16"/>
  <c r="I23" i="16"/>
  <c r="I42" i="16"/>
  <c r="J23" i="16"/>
  <c r="J42" i="16"/>
  <c r="K23" i="16"/>
  <c r="K42" i="16"/>
  <c r="L23" i="16"/>
  <c r="L42" i="16"/>
  <c r="M23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N45" i="8"/>
  <c r="N42" i="8"/>
  <c r="C42" i="8"/>
  <c r="D42" i="8"/>
  <c r="E39" i="8"/>
  <c r="E42" i="8"/>
  <c r="F42" i="8"/>
  <c r="G23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36" i="13"/>
  <c r="N39" i="13"/>
  <c r="N17" i="13"/>
  <c r="N23" i="13"/>
  <c r="N45" i="13"/>
  <c r="N42" i="13"/>
  <c r="C42" i="13"/>
  <c r="D42" i="13"/>
  <c r="E42" i="13"/>
  <c r="F42" i="13"/>
  <c r="G23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45" i="9"/>
  <c r="N42" i="9"/>
  <c r="C34" i="9"/>
  <c r="C39" i="9"/>
  <c r="C23" i="9"/>
  <c r="C42" i="9"/>
  <c r="D42" i="9"/>
  <c r="E39" i="9"/>
  <c r="E23" i="9"/>
  <c r="E42" i="9"/>
  <c r="F42" i="9"/>
  <c r="G23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43" i="12"/>
  <c r="U24" i="12"/>
  <c r="G43" i="12"/>
  <c r="U25" i="12"/>
  <c r="J43" i="12"/>
  <c r="U26" i="12"/>
  <c r="F43" i="12"/>
  <c r="U27" i="12"/>
  <c r="E43" i="12"/>
  <c r="U28" i="12"/>
  <c r="K43" i="12"/>
  <c r="U30" i="12"/>
  <c r="I43" i="12"/>
  <c r="U31" i="12"/>
  <c r="H43" i="12"/>
  <c r="U32" i="12"/>
  <c r="C43" i="12"/>
  <c r="U33" i="12"/>
  <c r="U34" i="12"/>
  <c r="N45" i="15"/>
  <c r="N42" i="15"/>
  <c r="C42" i="15"/>
  <c r="D42" i="15"/>
  <c r="E42" i="15"/>
  <c r="F42" i="15"/>
  <c r="G32" i="15"/>
  <c r="G39" i="15"/>
  <c r="G23" i="15"/>
  <c r="G42" i="15"/>
  <c r="H42" i="15"/>
  <c r="I42" i="15"/>
  <c r="J42" i="15"/>
  <c r="K23" i="15"/>
  <c r="K42" i="15"/>
  <c r="L42" i="15"/>
  <c r="M42" i="15"/>
  <c r="O42" i="15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U32" i="15"/>
  <c r="C43" i="15"/>
  <c r="U33" i="15"/>
  <c r="U34" i="15"/>
  <c r="N45" i="10"/>
  <c r="N42" i="10"/>
  <c r="C42" i="10"/>
  <c r="D42" i="10"/>
  <c r="E42" i="10"/>
  <c r="F42" i="10"/>
  <c r="G23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45" i="1"/>
  <c r="N42" i="1"/>
  <c r="C39" i="1"/>
  <c r="C42" i="1"/>
  <c r="D42" i="1"/>
  <c r="E32" i="1"/>
  <c r="E39" i="1"/>
  <c r="E42" i="1"/>
  <c r="F42" i="1"/>
  <c r="G42" i="1"/>
  <c r="H42" i="1"/>
  <c r="I42" i="1"/>
  <c r="J42" i="1"/>
  <c r="K42" i="1"/>
  <c r="L42" i="1"/>
  <c r="M42" i="1"/>
  <c r="O42" i="1"/>
  <c r="N43" i="1"/>
  <c r="U24" i="1"/>
  <c r="G43" i="1"/>
  <c r="U25" i="1"/>
  <c r="J43" i="1"/>
  <c r="U26" i="1"/>
  <c r="F43" i="1"/>
  <c r="U27" i="1"/>
  <c r="E43" i="1"/>
  <c r="U28" i="1"/>
  <c r="D43" i="1"/>
  <c r="U29" i="1"/>
  <c r="K43" i="1"/>
  <c r="U30" i="1"/>
  <c r="I43" i="1"/>
  <c r="U31" i="1"/>
  <c r="H43" i="1"/>
  <c r="U32" i="1"/>
  <c r="C43" i="1"/>
  <c r="U33" i="1"/>
  <c r="U34" i="1"/>
  <c r="T24" i="4"/>
  <c r="T25" i="4"/>
  <c r="T26" i="4"/>
  <c r="T27" i="4"/>
  <c r="T28" i="4"/>
  <c r="T29" i="4"/>
  <c r="T30" i="4"/>
  <c r="T31" i="4"/>
  <c r="T32" i="4"/>
  <c r="T33" i="4"/>
  <c r="T34" i="4"/>
  <c r="T24" i="7"/>
  <c r="T25" i="7"/>
  <c r="T26" i="7"/>
  <c r="T27" i="7"/>
  <c r="T28" i="7"/>
  <c r="T29" i="7"/>
  <c r="T30" i="7"/>
  <c r="T31" i="7"/>
  <c r="T32" i="7"/>
  <c r="T33" i="7"/>
  <c r="T34" i="7"/>
  <c r="T24" i="5"/>
  <c r="T25" i="5"/>
  <c r="T26" i="5"/>
  <c r="T27" i="5"/>
  <c r="T28" i="5"/>
  <c r="T29" i="5"/>
  <c r="T30" i="5"/>
  <c r="T31" i="5"/>
  <c r="T32" i="5"/>
  <c r="T33" i="5"/>
  <c r="T34" i="5"/>
  <c r="T24" i="3"/>
  <c r="T25" i="3"/>
  <c r="T26" i="3"/>
  <c r="T27" i="3"/>
  <c r="T28" i="3"/>
  <c r="T29" i="3"/>
  <c r="T30" i="3"/>
  <c r="T31" i="3"/>
  <c r="T32" i="3"/>
  <c r="T33" i="3"/>
  <c r="T34" i="3"/>
  <c r="T24" i="11"/>
  <c r="T25" i="11"/>
  <c r="T26" i="11"/>
  <c r="T27" i="11"/>
  <c r="T28" i="11"/>
  <c r="T29" i="11"/>
  <c r="T30" i="11"/>
  <c r="T31" i="11"/>
  <c r="T32" i="11"/>
  <c r="T33" i="11"/>
  <c r="T34" i="11"/>
  <c r="T24" i="16"/>
  <c r="T25" i="16"/>
  <c r="T26" i="16"/>
  <c r="T27" i="16"/>
  <c r="T28" i="16"/>
  <c r="T29" i="16"/>
  <c r="T30" i="16"/>
  <c r="T31" i="16"/>
  <c r="T32" i="16"/>
  <c r="T33" i="16"/>
  <c r="T34" i="16"/>
  <c r="T24" i="8"/>
  <c r="T25" i="8"/>
  <c r="T26" i="8"/>
  <c r="T27" i="8"/>
  <c r="T28" i="8"/>
  <c r="T29" i="8"/>
  <c r="T30" i="8"/>
  <c r="T31" i="8"/>
  <c r="T32" i="8"/>
  <c r="T33" i="8"/>
  <c r="T34" i="8"/>
  <c r="T24" i="13"/>
  <c r="T25" i="13"/>
  <c r="T26" i="13"/>
  <c r="T27" i="13"/>
  <c r="T28" i="13"/>
  <c r="T29" i="13"/>
  <c r="T30" i="13"/>
  <c r="T31" i="13"/>
  <c r="T32" i="13"/>
  <c r="T33" i="13"/>
  <c r="T34" i="13"/>
  <c r="T24" i="9"/>
  <c r="T25" i="9"/>
  <c r="T26" i="9"/>
  <c r="T27" i="9"/>
  <c r="T28" i="9"/>
  <c r="T29" i="9"/>
  <c r="T30" i="9"/>
  <c r="T31" i="9"/>
  <c r="T32" i="9"/>
  <c r="T33" i="9"/>
  <c r="T34" i="9"/>
  <c r="T24" i="12"/>
  <c r="T25" i="12"/>
  <c r="T26" i="12"/>
  <c r="T27" i="12"/>
  <c r="T28" i="12"/>
  <c r="T30" i="12"/>
  <c r="T31" i="12"/>
  <c r="T32" i="12"/>
  <c r="T33" i="12"/>
  <c r="T34" i="12"/>
  <c r="T24" i="15"/>
  <c r="T25" i="15"/>
  <c r="T26" i="15"/>
  <c r="T27" i="15"/>
  <c r="T28" i="15"/>
  <c r="T29" i="15"/>
  <c r="T30" i="15"/>
  <c r="T31" i="15"/>
  <c r="T32" i="15"/>
  <c r="T33" i="15"/>
  <c r="T34" i="15"/>
  <c r="T24" i="10"/>
  <c r="T25" i="10"/>
  <c r="T26" i="10"/>
  <c r="T27" i="10"/>
  <c r="T28" i="10"/>
  <c r="T29" i="10"/>
  <c r="T30" i="10"/>
  <c r="T31" i="10"/>
  <c r="T32" i="10"/>
  <c r="T33" i="10"/>
  <c r="T34" i="10"/>
  <c r="T24" i="1"/>
  <c r="T25" i="1"/>
  <c r="T26" i="1"/>
  <c r="T27" i="1"/>
  <c r="T28" i="1"/>
  <c r="T29" i="1"/>
  <c r="T30" i="1"/>
  <c r="T31" i="1"/>
  <c r="T32" i="1"/>
  <c r="T33" i="1"/>
  <c r="T34" i="1"/>
  <c r="L42" i="18"/>
  <c r="C42" i="18"/>
  <c r="D42" i="18"/>
  <c r="E42" i="18"/>
  <c r="F42" i="18"/>
  <c r="G42" i="18"/>
  <c r="H42" i="18"/>
  <c r="I42" i="18"/>
  <c r="J42" i="18"/>
  <c r="K42" i="18"/>
  <c r="M42" i="18"/>
  <c r="B6" i="18"/>
  <c r="N45" i="18"/>
  <c r="N42" i="18"/>
  <c r="O42" i="18"/>
  <c r="L43" i="18"/>
  <c r="U29" i="18"/>
  <c r="T29" i="18"/>
  <c r="S29" i="18"/>
  <c r="N43" i="18"/>
  <c r="U24" i="18"/>
  <c r="G43" i="18"/>
  <c r="U25" i="18"/>
  <c r="J43" i="18"/>
  <c r="U26" i="18"/>
  <c r="F43" i="18"/>
  <c r="U27" i="18"/>
  <c r="E43" i="18"/>
  <c r="U28" i="18"/>
  <c r="K43" i="18"/>
  <c r="U30" i="18"/>
  <c r="I43" i="18"/>
  <c r="U31" i="18"/>
  <c r="H43" i="18"/>
  <c r="U32" i="18"/>
  <c r="C43" i="18"/>
  <c r="U33" i="18"/>
  <c r="U34" i="18"/>
  <c r="T24" i="18"/>
  <c r="T25" i="18"/>
  <c r="T26" i="18"/>
  <c r="T27" i="18"/>
  <c r="T28" i="18"/>
  <c r="T30" i="18"/>
  <c r="T31" i="18"/>
  <c r="T32" i="18"/>
  <c r="T33" i="18"/>
  <c r="T34" i="18"/>
  <c r="B4" i="18"/>
  <c r="O33" i="4"/>
  <c r="O36" i="4"/>
  <c r="O37" i="4"/>
  <c r="O39" i="4"/>
  <c r="O33" i="3"/>
  <c r="O36" i="3"/>
  <c r="O37" i="3"/>
  <c r="O39" i="3"/>
  <c r="B32" i="8"/>
  <c r="G32" i="8"/>
  <c r="O32" i="8"/>
  <c r="O33" i="8"/>
  <c r="B35" i="8"/>
  <c r="O35" i="8"/>
  <c r="O36" i="8"/>
  <c r="O37" i="8"/>
  <c r="O39" i="8"/>
  <c r="B32" i="13"/>
  <c r="G32" i="13"/>
  <c r="O32" i="13"/>
  <c r="O39" i="13"/>
  <c r="O39" i="12"/>
  <c r="O17" i="13"/>
  <c r="O18" i="13"/>
  <c r="O23" i="13"/>
  <c r="B23" i="13"/>
  <c r="O17" i="8"/>
  <c r="O23" i="8"/>
  <c r="O18" i="12"/>
  <c r="O17" i="12"/>
  <c r="B23" i="12"/>
  <c r="O23" i="12"/>
  <c r="O18" i="9"/>
  <c r="O23" i="9"/>
  <c r="B23" i="9"/>
  <c r="O17" i="10"/>
  <c r="O23" i="10"/>
  <c r="O17" i="16"/>
  <c r="O23" i="16"/>
  <c r="B10" i="10"/>
  <c r="B10" i="13"/>
  <c r="B10" i="8"/>
  <c r="B10" i="11"/>
  <c r="B8" i="3"/>
  <c r="B10" i="5"/>
  <c r="B8" i="7"/>
  <c r="B10" i="4"/>
  <c r="B10" i="1"/>
  <c r="B8" i="12"/>
  <c r="O18" i="3"/>
  <c r="O23" i="3"/>
  <c r="B23" i="3"/>
  <c r="B17" i="15"/>
  <c r="O17" i="15"/>
  <c r="O18" i="15"/>
  <c r="O23" i="15"/>
  <c r="B32" i="18"/>
  <c r="C32" i="4"/>
  <c r="G32" i="10"/>
  <c r="C32" i="10"/>
  <c r="C32" i="18"/>
  <c r="D32" i="18"/>
  <c r="G32" i="4"/>
  <c r="E32" i="9"/>
  <c r="E32" i="18"/>
  <c r="F32" i="18"/>
  <c r="G32" i="11"/>
  <c r="G32" i="18"/>
  <c r="H32" i="18"/>
  <c r="I32" i="18"/>
  <c r="J32" i="18"/>
  <c r="K32" i="18"/>
  <c r="L32" i="18"/>
  <c r="M32" i="18"/>
  <c r="N32" i="9"/>
  <c r="N32" i="12"/>
  <c r="N32" i="18"/>
  <c r="O32" i="11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9"/>
  <c r="O33" i="12"/>
  <c r="B34" i="18"/>
  <c r="C34" i="18"/>
  <c r="D34" i="18"/>
  <c r="F34" i="18"/>
  <c r="G34" i="18"/>
  <c r="I34" i="18"/>
  <c r="J34" i="18"/>
  <c r="K34" i="18"/>
  <c r="L34" i="18"/>
  <c r="M34" i="18"/>
  <c r="N34" i="18"/>
  <c r="B35" i="18"/>
  <c r="C35" i="12"/>
  <c r="C35" i="10"/>
  <c r="C35" i="18"/>
  <c r="D35" i="18"/>
  <c r="E35" i="18"/>
  <c r="F35" i="18"/>
  <c r="G35" i="18"/>
  <c r="H35" i="18"/>
  <c r="I35" i="18"/>
  <c r="J35" i="18"/>
  <c r="K35" i="18"/>
  <c r="L35" i="18"/>
  <c r="M35" i="18"/>
  <c r="N35" i="9"/>
  <c r="N35" i="12"/>
  <c r="N35" i="18"/>
  <c r="O35" i="10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9"/>
  <c r="N36" i="12"/>
  <c r="N36" i="18"/>
  <c r="O36" i="11"/>
  <c r="O36" i="10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9"/>
  <c r="N37" i="12"/>
  <c r="N37" i="18"/>
  <c r="O37" i="9"/>
  <c r="O37" i="12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9"/>
  <c r="O38" i="12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9"/>
  <c r="O31" i="12"/>
  <c r="B26" i="13"/>
  <c r="F26" i="13"/>
  <c r="C26" i="13"/>
  <c r="B25" i="13"/>
  <c r="B45" i="11"/>
  <c r="B45" i="10"/>
  <c r="B45" i="7"/>
  <c r="B45" i="16"/>
  <c r="B45" i="5"/>
  <c r="B45" i="3"/>
  <c r="P39" i="5"/>
  <c r="R32" i="8"/>
  <c r="G41" i="8"/>
  <c r="R41" i="8"/>
  <c r="B31" i="18"/>
  <c r="C17" i="18"/>
  <c r="D17" i="18"/>
  <c r="E17" i="18"/>
  <c r="F17" i="18"/>
  <c r="G17" i="18"/>
  <c r="H17" i="18"/>
  <c r="C18" i="18"/>
  <c r="D18" i="18"/>
  <c r="E18" i="18"/>
  <c r="F18" i="18"/>
  <c r="G18" i="18"/>
  <c r="H18" i="18"/>
  <c r="B19" i="18"/>
  <c r="B20" i="18"/>
  <c r="B21" i="18"/>
  <c r="B17" i="18"/>
  <c r="C6" i="18"/>
  <c r="D6" i="18"/>
  <c r="E6" i="18"/>
  <c r="F6" i="18"/>
  <c r="G6" i="18"/>
  <c r="H6" i="18"/>
  <c r="C7" i="18"/>
  <c r="D7" i="18"/>
  <c r="E7" i="18"/>
  <c r="F7" i="18"/>
  <c r="G7" i="18"/>
  <c r="H7" i="18"/>
  <c r="B7" i="18"/>
  <c r="B8" i="18"/>
  <c r="B9" i="18"/>
  <c r="B45" i="4"/>
  <c r="O45" i="4"/>
  <c r="L43" i="4"/>
  <c r="M43" i="4"/>
  <c r="O43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5" i="7"/>
  <c r="L43" i="7"/>
  <c r="M43" i="7"/>
  <c r="O43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O45" i="3"/>
  <c r="L43" i="3"/>
  <c r="M43" i="3"/>
  <c r="O43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45" i="11"/>
  <c r="L43" i="11"/>
  <c r="M43" i="11"/>
  <c r="O43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O45" i="16"/>
  <c r="L43" i="16"/>
  <c r="M43" i="16"/>
  <c r="O43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B45" i="8"/>
  <c r="O45" i="8"/>
  <c r="L43" i="8"/>
  <c r="M43" i="8"/>
  <c r="O43" i="8"/>
  <c r="O41" i="8"/>
  <c r="N41" i="8"/>
  <c r="M41" i="8"/>
  <c r="L41" i="8"/>
  <c r="K41" i="8"/>
  <c r="J41" i="8"/>
  <c r="I41" i="8"/>
  <c r="H41" i="8"/>
  <c r="F41" i="8"/>
  <c r="E41" i="8"/>
  <c r="D41" i="8"/>
  <c r="C41" i="8"/>
  <c r="B41" i="8"/>
  <c r="B45" i="13"/>
  <c r="O45" i="13"/>
  <c r="L43" i="13"/>
  <c r="M43" i="13"/>
  <c r="O43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B45" i="9"/>
  <c r="O45" i="9"/>
  <c r="L43" i="9"/>
  <c r="M43" i="9"/>
  <c r="O43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B45" i="12"/>
  <c r="O45" i="12"/>
  <c r="D43" i="12"/>
  <c r="M43" i="12"/>
  <c r="O43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B45" i="15"/>
  <c r="O45" i="15"/>
  <c r="L43" i="15"/>
  <c r="M43" i="15"/>
  <c r="O43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O45" i="10"/>
  <c r="L43" i="10"/>
  <c r="M43" i="10"/>
  <c r="O43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B45" i="1"/>
  <c r="O45" i="1"/>
  <c r="L43" i="1"/>
  <c r="M43" i="1"/>
  <c r="O43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T21" i="4"/>
  <c r="T21" i="7"/>
  <c r="T21" i="3"/>
  <c r="T21" i="11"/>
  <c r="T21" i="16"/>
  <c r="T21" i="8"/>
  <c r="T21" i="13"/>
  <c r="T21" i="9"/>
  <c r="T21" i="12"/>
  <c r="T21" i="15"/>
  <c r="T21" i="10"/>
  <c r="T21" i="1"/>
  <c r="P41" i="4"/>
  <c r="U39" i="4"/>
  <c r="P35" i="4"/>
  <c r="U40" i="4"/>
  <c r="P33" i="4"/>
  <c r="U41" i="4"/>
  <c r="P31" i="4"/>
  <c r="U42" i="4"/>
  <c r="P32" i="4"/>
  <c r="U43" i="4"/>
  <c r="P34" i="4"/>
  <c r="U44" i="4"/>
  <c r="U45" i="4"/>
  <c r="T39" i="4"/>
  <c r="T40" i="4"/>
  <c r="T41" i="4"/>
  <c r="T42" i="4"/>
  <c r="T43" i="4"/>
  <c r="T44" i="4"/>
  <c r="T45" i="4"/>
  <c r="T38" i="4"/>
  <c r="P38" i="4"/>
  <c r="P41" i="7"/>
  <c r="U39" i="7"/>
  <c r="P32" i="7"/>
  <c r="U43" i="7"/>
  <c r="P35" i="7"/>
  <c r="U40" i="7"/>
  <c r="P33" i="7"/>
  <c r="U41" i="7"/>
  <c r="P31" i="7"/>
  <c r="U42" i="7"/>
  <c r="P34" i="7"/>
  <c r="U44" i="7"/>
  <c r="U45" i="7"/>
  <c r="T39" i="7"/>
  <c r="T43" i="7"/>
  <c r="T40" i="7"/>
  <c r="T41" i="7"/>
  <c r="T42" i="7"/>
  <c r="T44" i="7"/>
  <c r="T45" i="7"/>
  <c r="T38" i="7"/>
  <c r="P38" i="7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0" i="5"/>
  <c r="T41" i="5"/>
  <c r="T42" i="5"/>
  <c r="T43" i="5"/>
  <c r="T44" i="5"/>
  <c r="T45" i="5"/>
  <c r="P38" i="5"/>
  <c r="P41" i="3"/>
  <c r="U39" i="3"/>
  <c r="P35" i="3"/>
  <c r="U40" i="3"/>
  <c r="P33" i="3"/>
  <c r="U41" i="3"/>
  <c r="P31" i="3"/>
  <c r="U42" i="3"/>
  <c r="P32" i="3"/>
  <c r="U43" i="3"/>
  <c r="P34" i="3"/>
  <c r="U44" i="3"/>
  <c r="U45" i="3"/>
  <c r="T39" i="3"/>
  <c r="T40" i="3"/>
  <c r="T41" i="3"/>
  <c r="T42" i="3"/>
  <c r="T43" i="3"/>
  <c r="T44" i="3"/>
  <c r="T45" i="3"/>
  <c r="T38" i="3"/>
  <c r="P38" i="3"/>
  <c r="P41" i="11"/>
  <c r="U39" i="11"/>
  <c r="P35" i="11"/>
  <c r="U40" i="11"/>
  <c r="P33" i="11"/>
  <c r="U41" i="11"/>
  <c r="P31" i="11"/>
  <c r="U42" i="11"/>
  <c r="P32" i="11"/>
  <c r="U43" i="11"/>
  <c r="P34" i="11"/>
  <c r="U44" i="11"/>
  <c r="U45" i="11"/>
  <c r="T39" i="11"/>
  <c r="T40" i="11"/>
  <c r="T41" i="11"/>
  <c r="T42" i="11"/>
  <c r="T43" i="11"/>
  <c r="T44" i="11"/>
  <c r="T45" i="11"/>
  <c r="T38" i="11"/>
  <c r="P38" i="11"/>
  <c r="P41" i="16"/>
  <c r="U39" i="16"/>
  <c r="P35" i="16"/>
  <c r="U40" i="16"/>
  <c r="P33" i="16"/>
  <c r="U41" i="16"/>
  <c r="P31" i="16"/>
  <c r="U42" i="16"/>
  <c r="P32" i="16"/>
  <c r="U43" i="16"/>
  <c r="P34" i="16"/>
  <c r="U44" i="16"/>
  <c r="U45" i="16"/>
  <c r="T39" i="16"/>
  <c r="T40" i="16"/>
  <c r="T41" i="16"/>
  <c r="T42" i="16"/>
  <c r="T43" i="16"/>
  <c r="T44" i="16"/>
  <c r="T45" i="16"/>
  <c r="T38" i="16"/>
  <c r="P38" i="16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0" i="8"/>
  <c r="T41" i="8"/>
  <c r="T42" i="8"/>
  <c r="T43" i="8"/>
  <c r="T44" i="8"/>
  <c r="T45" i="8"/>
  <c r="T38" i="8"/>
  <c r="P38" i="8"/>
  <c r="P41" i="13"/>
  <c r="U39" i="13"/>
  <c r="P35" i="13"/>
  <c r="U40" i="13"/>
  <c r="P33" i="13"/>
  <c r="U41" i="13"/>
  <c r="P31" i="13"/>
  <c r="U42" i="13"/>
  <c r="P32" i="13"/>
  <c r="U43" i="13"/>
  <c r="P34" i="13"/>
  <c r="U44" i="13"/>
  <c r="U45" i="13"/>
  <c r="T39" i="13"/>
  <c r="T40" i="13"/>
  <c r="T41" i="13"/>
  <c r="T42" i="13"/>
  <c r="T43" i="13"/>
  <c r="T44" i="13"/>
  <c r="T45" i="13"/>
  <c r="T38" i="13"/>
  <c r="P38" i="13"/>
  <c r="P41" i="9"/>
  <c r="U39" i="9"/>
  <c r="P35" i="9"/>
  <c r="U40" i="9"/>
  <c r="P33" i="9"/>
  <c r="U41" i="9"/>
  <c r="P31" i="9"/>
  <c r="U42" i="9"/>
  <c r="P32" i="9"/>
  <c r="U43" i="9"/>
  <c r="P34" i="9"/>
  <c r="U44" i="9"/>
  <c r="U45" i="9"/>
  <c r="T39" i="9"/>
  <c r="T40" i="9"/>
  <c r="T41" i="9"/>
  <c r="T42" i="9"/>
  <c r="T43" i="9"/>
  <c r="T44" i="9"/>
  <c r="T45" i="9"/>
  <c r="T38" i="9"/>
  <c r="P38" i="9"/>
  <c r="P41" i="12"/>
  <c r="U39" i="12"/>
  <c r="P33" i="12"/>
  <c r="U41" i="12"/>
  <c r="P35" i="12"/>
  <c r="U40" i="12"/>
  <c r="P31" i="12"/>
  <c r="U42" i="12"/>
  <c r="P32" i="12"/>
  <c r="U43" i="12"/>
  <c r="P34" i="12"/>
  <c r="U44" i="12"/>
  <c r="U45" i="12"/>
  <c r="T39" i="12"/>
  <c r="T41" i="12"/>
  <c r="T40" i="12"/>
  <c r="T42" i="12"/>
  <c r="T43" i="12"/>
  <c r="T44" i="12"/>
  <c r="T45" i="12"/>
  <c r="T38" i="12"/>
  <c r="P38" i="12"/>
  <c r="P41" i="15"/>
  <c r="U39" i="15"/>
  <c r="P35" i="15"/>
  <c r="U40" i="15"/>
  <c r="P33" i="15"/>
  <c r="U41" i="15"/>
  <c r="P31" i="15"/>
  <c r="U42" i="15"/>
  <c r="P32" i="15"/>
  <c r="U43" i="15"/>
  <c r="P34" i="15"/>
  <c r="U44" i="15"/>
  <c r="U45" i="15"/>
  <c r="T39" i="15"/>
  <c r="T40" i="15"/>
  <c r="T41" i="15"/>
  <c r="T42" i="15"/>
  <c r="T43" i="15"/>
  <c r="T44" i="15"/>
  <c r="T45" i="15"/>
  <c r="T38" i="15"/>
  <c r="P38" i="15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T39" i="10"/>
  <c r="T40" i="10"/>
  <c r="T41" i="10"/>
  <c r="T42" i="10"/>
  <c r="T43" i="10"/>
  <c r="T44" i="10"/>
  <c r="T45" i="10"/>
  <c r="T38" i="10"/>
  <c r="P38" i="10"/>
  <c r="P41" i="1"/>
  <c r="U39" i="1"/>
  <c r="P35" i="1"/>
  <c r="U40" i="1"/>
  <c r="P33" i="1"/>
  <c r="U41" i="1"/>
  <c r="P31" i="1"/>
  <c r="U42" i="1"/>
  <c r="P32" i="1"/>
  <c r="U43" i="1"/>
  <c r="P34" i="1"/>
  <c r="U44" i="1"/>
  <c r="U45" i="1"/>
  <c r="T39" i="1"/>
  <c r="T40" i="1"/>
  <c r="T41" i="1"/>
  <c r="T42" i="1"/>
  <c r="T43" i="1"/>
  <c r="T44" i="1"/>
  <c r="T45" i="1"/>
  <c r="T38" i="1"/>
  <c r="P38" i="1"/>
  <c r="I17" i="18"/>
  <c r="J17" i="18"/>
  <c r="K17" i="18"/>
  <c r="L17" i="18"/>
  <c r="M17" i="18"/>
  <c r="N17" i="18"/>
  <c r="I18" i="18"/>
  <c r="J18" i="18"/>
  <c r="K18" i="18"/>
  <c r="L18" i="18"/>
  <c r="M18" i="18"/>
  <c r="N18" i="18"/>
  <c r="I6" i="18"/>
  <c r="J6" i="18"/>
  <c r="K6" i="18"/>
  <c r="I7" i="18"/>
  <c r="J7" i="18"/>
  <c r="K7" i="18"/>
  <c r="B45" i="18"/>
  <c r="O41" i="18"/>
  <c r="P41" i="18"/>
  <c r="U39" i="18"/>
  <c r="P35" i="18"/>
  <c r="U40" i="18"/>
  <c r="P33" i="18"/>
  <c r="U41" i="18"/>
  <c r="P31" i="18"/>
  <c r="U42" i="18"/>
  <c r="P32" i="18"/>
  <c r="U43" i="18"/>
  <c r="P34" i="18"/>
  <c r="U44" i="18"/>
  <c r="U45" i="18"/>
  <c r="T39" i="18"/>
  <c r="T40" i="18"/>
  <c r="T41" i="18"/>
  <c r="T42" i="18"/>
  <c r="T43" i="18"/>
  <c r="T44" i="18"/>
  <c r="T45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P38" i="18"/>
  <c r="L43" i="5"/>
  <c r="M43" i="5"/>
  <c r="O43" i="5"/>
  <c r="T21" i="5"/>
  <c r="O45" i="5"/>
  <c r="T38" i="5"/>
  <c r="D43" i="18"/>
  <c r="M43" i="18"/>
  <c r="O43" i="18"/>
  <c r="O45" i="18"/>
  <c r="T38" i="18"/>
  <c r="T21" i="18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Kaj</author>
    <author>Microsoft Office-användare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1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  <comment ref="B32" authorId="2">
      <text>
        <r>
          <rPr>
            <b/>
            <sz val="10"/>
            <color indexed="81"/>
            <rFont val="Calibri"/>
          </rPr>
          <t>Microsoft Office-användare:</t>
        </r>
        <r>
          <rPr>
            <sz val="10"/>
            <color indexed="81"/>
            <rFont val="Calibri"/>
          </rPr>
          <t xml:space="preserve">
Baserat på föregående år och fördelning mellan Sävsjö och Vetlanda.</t>
        </r>
      </text>
    </comment>
    <comment ref="B33" authorId="2">
      <text>
        <r>
          <rPr>
            <b/>
            <sz val="10"/>
            <color indexed="81"/>
            <rFont val="Calibri"/>
          </rPr>
          <t xml:space="preserve">Microsoft Office-användare:
</t>
        </r>
        <r>
          <rPr>
            <sz val="10"/>
            <color indexed="81"/>
            <rFont val="Calibri"/>
          </rPr>
          <t>Fördelat lika på offentligt och övriga tjänster.</t>
        </r>
      </text>
    </comment>
    <comment ref="N33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  <comment ref="C35" authorId="2">
      <text>
        <r>
          <rPr>
            <b/>
            <sz val="10"/>
            <color indexed="81"/>
            <rFont val="Calibri"/>
          </rPr>
          <t>Microsoft Office-användare:</t>
        </r>
        <r>
          <rPr>
            <sz val="10"/>
            <color indexed="81"/>
            <rFont val="Calibri"/>
          </rPr>
          <t xml:space="preserve">
Antagit samma värde som 2013.</t>
        </r>
      </text>
    </comment>
    <comment ref="N38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  <author>Kaj</author>
    <author>Microsoft Office-användare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1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  <comment ref="B32" authorId="2">
      <text>
        <r>
          <rPr>
            <b/>
            <sz val="10"/>
            <color indexed="81"/>
            <rFont val="Calibri"/>
          </rPr>
          <t>Microsoft Office-användare:</t>
        </r>
        <r>
          <rPr>
            <sz val="10"/>
            <color indexed="81"/>
            <rFont val="Calibri"/>
          </rPr>
          <t xml:space="preserve">
Baserat på föregående år och fördelning mellan Sävsjö och Vetlanda.</t>
        </r>
      </text>
    </comment>
    <comment ref="E32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Pauliström + Nyboholm.</t>
        </r>
      </text>
    </comment>
    <comment ref="F32" authorId="2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Beräknad ur länstotal.</t>
        </r>
      </text>
    </comment>
    <comment ref="B33" authorId="2">
      <text>
        <r>
          <rPr>
            <b/>
            <sz val="10"/>
            <color indexed="81"/>
            <rFont val="Calibri"/>
          </rPr>
          <t>Microsoft Office-användare:</t>
        </r>
        <r>
          <rPr>
            <sz val="10"/>
            <color indexed="81"/>
            <rFont val="Calibri"/>
          </rPr>
          <t xml:space="preserve">
Beräknad fördelning offentligt och övriga tjänster enligt fg år.</t>
        </r>
      </text>
    </comment>
    <comment ref="N33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  <comment ref="N38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Fördelat mellan Sävsjö och Vetlanda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  <author>Microsoft Office-användare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10"/>
            <color indexed="81"/>
            <rFont val="Calibri"/>
          </rPr>
          <t>Microsoft Office-användare:</t>
        </r>
        <r>
          <rPr>
            <sz val="10"/>
            <color indexed="81"/>
            <rFont val="Calibri"/>
          </rPr>
          <t xml:space="preserve">
Beräknat som återstoden i länet.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El till värmepump.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<sst xmlns="http://schemas.openxmlformats.org/spreadsheetml/2006/main" count="1345" uniqueCount="75">
  <si>
    <t>Elproduktion och bränsleanvändning (MWh) efter tid, region, produktionssätt och bränsletyp</t>
  </si>
  <si>
    <t>0604 Aneby</t>
  </si>
  <si>
    <t>kraftvärmeverk + industriellt mottryck</t>
  </si>
  <si>
    <t>övrig värmekraft (kärnkraft, kondenskraft o.dyl.)</t>
  </si>
  <si>
    <t>vattenkraft</t>
  </si>
  <si>
    <t>summa bränsletyp</t>
  </si>
  <si>
    <t>Fjärrvärmeproduktion och bränsleanvändning (MWh) efter tid, region, produktionssätt och bränsletyp</t>
  </si>
  <si>
    <t>kraftvärmeverk</t>
  </si>
  <si>
    <t>fristående värmeverk</t>
  </si>
  <si>
    <t>elpannor (1)</t>
  </si>
  <si>
    <t>värmepumpar (2)</t>
  </si>
  <si>
    <t>spillvärme</t>
  </si>
  <si>
    <t>rökgaskondens</t>
  </si>
  <si>
    <t>Slutanvändning (MWh) efter tid, region, förbrukarkategori och bränsletyp</t>
  </si>
  <si>
    <t>slutanv. jordbruk,skogsbruk,fiske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</si>
  <si>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</si>
  <si>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</si>
  <si>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</si>
  <si>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</si>
  <si>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</si>
  <si>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</si>
  <si>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</si>
  <si>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</si>
  <si>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0686 Eksjö</t>
  </si>
  <si>
    <t>0662 Gislaved</t>
  </si>
  <si>
    <t>0617 Gnosjö</t>
  </si>
  <si>
    <t>0643 Habo</t>
  </si>
  <si>
    <t>0680 Jönköping</t>
  </si>
  <si>
    <t>0642 Mullsjö</t>
  </si>
  <si>
    <t>0682 Nässjö</t>
  </si>
  <si>
    <t>0684 Sävsjö</t>
  </si>
  <si>
    <t>0687 Tranås</t>
  </si>
  <si>
    <t>0665 Vaggeryd</t>
  </si>
  <si>
    <t>0685 Vetlanda</t>
  </si>
  <si>
    <t>0683 Värnamo</t>
  </si>
  <si>
    <t>Kol och koks</t>
  </si>
  <si>
    <t>Bioolja</t>
  </si>
  <si>
    <t>Biogas</t>
  </si>
  <si>
    <t>Torv</t>
  </si>
  <si>
    <t>Avfall</t>
  </si>
  <si>
    <t>Övrigt</t>
  </si>
  <si>
    <t>El</t>
  </si>
  <si>
    <t>Biodrivmedel</t>
  </si>
  <si>
    <t>Avlutar</t>
  </si>
  <si>
    <t>Summa produktionssätt</t>
  </si>
  <si>
    <t>Summa förbrukarkategori</t>
  </si>
  <si>
    <t>Elproduktion</t>
  </si>
  <si>
    <t>Fjärrvärmeproduktion</t>
  </si>
  <si>
    <t>Fjärrvärme</t>
  </si>
  <si>
    <t>Gasol/naturgas</t>
  </si>
  <si>
    <t>Total energitillörsel</t>
  </si>
  <si>
    <t>GWh</t>
  </si>
  <si>
    <t>Procent</t>
  </si>
  <si>
    <t>Jord, skog</t>
  </si>
  <si>
    <t>industri</t>
  </si>
  <si>
    <t>offentligt</t>
  </si>
  <si>
    <t>transporter</t>
  </si>
  <si>
    <t>övriga tjänster</t>
  </si>
  <si>
    <t>Oljeprodukter</t>
  </si>
  <si>
    <t>Slutanvändning hushåll</t>
  </si>
  <si>
    <t>hushåll</t>
  </si>
  <si>
    <t>Total energitillförsel</t>
  </si>
  <si>
    <t>Andel av total tillförsel i procent</t>
  </si>
  <si>
    <t>Hushåll</t>
  </si>
  <si>
    <t>Distributionsförluster el och fjärrvärme</t>
  </si>
  <si>
    <t>Övriga tjänster</t>
  </si>
  <si>
    <t>Offentlig verks</t>
  </si>
  <si>
    <t>Industri</t>
  </si>
  <si>
    <t>Transporter</t>
  </si>
  <si>
    <t>Total slutlig anv.</t>
  </si>
  <si>
    <t>Biobränslen</t>
  </si>
  <si>
    <t>vindkraft</t>
  </si>
  <si>
    <t>Jönköpings län</t>
  </si>
  <si>
    <t>RT-flis</t>
  </si>
  <si>
    <t>solceller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</si>
</sst>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31" x14ac:knownFonts="1"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</font>
    <font>
      <sz val="8"/>
      <color rgb="FF000000"/>
      <name val="Tahoma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scheme val="minor"/>
    </font>
    <font>
      <i/>
      <sz val="12"/>
      <color rgb="FF000000"/>
      <name val="Calibri"/>
    </font>
    <font>
      <sz val="8"/>
      <color indexed="8"/>
      <name val="Tahoma"/>
      <family val="2"/>
    </font>
    <font>
      <sz val="11"/>
      <color rgb="FFFF0000"/>
      <name val="Calibri"/>
      <family val="2"/>
    </font>
    <font>
      <sz val="10"/>
      <color indexed="81"/>
      <name val="Calibri"/>
    </font>
    <font>
      <b/>
      <sz val="10"/>
      <color indexed="81"/>
      <name val="Calibri"/>
    </font>
    <font>
      <u/>
      <sz val="11"/>
      <color rgb="FF000000"/>
      <name val="Calibri"/>
      <family val="2"/>
    </font>
    <font>
      <u/>
      <sz val="11"/>
      <color rgb="FFFF0000"/>
      <name val="Calibri"/>
      <family val="2"/>
    </font>
    <font>
      <i/>
      <sz val="11"/>
      <color rgb="FFFF0000"/>
      <name val="Calibri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58">
    <xf numFmtId="0" fontId="0" fillId="0" borderId="0" applyNumberFormat="0" applyBorder="0" applyAlignment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ill="1" applyProtection="1"/>
    <xf numFmtId="0" fontId="7" fillId="0" borderId="0" xfId="0" applyFont="1" applyFill="1" applyProtection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Fill="1" applyProtection="1"/>
    <xf numFmtId="0" fontId="6" fillId="0" borderId="0" xfId="347" applyFont="1" applyFill="1" applyProtection="1"/>
    <xf numFmtId="0" fontId="15" fillId="0" borderId="0" xfId="347" applyFont="1"/>
    <xf numFmtId="3" fontId="15" fillId="0" borderId="0" xfId="347" applyNumberFormat="1" applyFont="1"/>
    <xf numFmtId="165" fontId="13" fillId="0" borderId="0" xfId="347" applyNumberFormat="1" applyFont="1"/>
    <xf numFmtId="3" fontId="13" fillId="0" borderId="0" xfId="347" applyNumberFormat="1" applyFont="1"/>
    <xf numFmtId="3" fontId="13" fillId="2" borderId="0" xfId="347" applyNumberFormat="1" applyFont="1" applyFill="1"/>
    <xf numFmtId="3" fontId="16" fillId="2" borderId="0" xfId="347" applyNumberFormat="1" applyFont="1" applyFill="1"/>
    <xf numFmtId="0" fontId="3" fillId="0" borderId="0" xfId="347"/>
    <xf numFmtId="3" fontId="3" fillId="0" borderId="0" xfId="347" applyNumberFormat="1"/>
    <xf numFmtId="3" fontId="3" fillId="2" borderId="0" xfId="347" applyNumberFormat="1" applyFill="1"/>
    <xf numFmtId="0" fontId="14" fillId="0" borderId="0" xfId="347" applyFont="1"/>
    <xf numFmtId="164" fontId="3" fillId="0" borderId="0" xfId="347" applyNumberFormat="1"/>
    <xf numFmtId="4" fontId="3" fillId="0" borderId="0" xfId="347" applyNumberFormat="1"/>
    <xf numFmtId="165" fontId="3" fillId="0" borderId="0" xfId="347" applyNumberFormat="1"/>
    <xf numFmtId="10" fontId="3" fillId="0" borderId="0" xfId="347" applyNumberFormat="1"/>
    <xf numFmtId="0" fontId="3" fillId="0" borderId="0" xfId="347" applyFill="1" applyProtection="1"/>
    <xf numFmtId="165" fontId="3" fillId="0" borderId="0" xfId="347" applyNumberFormat="1" applyFill="1" applyProtection="1"/>
    <xf numFmtId="165" fontId="14" fillId="0" borderId="0" xfId="347" applyNumberFormat="1" applyFont="1"/>
    <xf numFmtId="166" fontId="3" fillId="0" borderId="0" xfId="347" applyNumberFormat="1"/>
    <xf numFmtId="2" fontId="3" fillId="0" borderId="0" xfId="347" applyNumberFormat="1"/>
    <xf numFmtId="0" fontId="7" fillId="0" borderId="0" xfId="347" applyFont="1" applyFill="1" applyProtection="1"/>
    <xf numFmtId="3" fontId="3" fillId="0" borderId="0" xfId="347" applyNumberFormat="1" applyFill="1" applyProtection="1"/>
    <xf numFmtId="3" fontId="4" fillId="0" borderId="0" xfId="347" applyNumberFormat="1" applyFont="1" applyFill="1" applyProtection="1"/>
    <xf numFmtId="3" fontId="0" fillId="0" borderId="0" xfId="0" applyNumberFormat="1" applyFill="1" applyAlignment="1" applyProtection="1">
      <alignment horizontal="right"/>
    </xf>
    <xf numFmtId="1" fontId="3" fillId="0" borderId="0" xfId="347" applyNumberFormat="1"/>
    <xf numFmtId="165" fontId="13" fillId="0" borderId="0" xfId="348" applyNumberFormat="1" applyFont="1"/>
    <xf numFmtId="165" fontId="2" fillId="0" borderId="0" xfId="348" applyNumberFormat="1" applyFont="1"/>
    <xf numFmtId="3" fontId="16" fillId="0" borderId="0" xfId="347" applyNumberFormat="1" applyFont="1"/>
    <xf numFmtId="9" fontId="16" fillId="0" borderId="0" xfId="348" applyFont="1"/>
    <xf numFmtId="0" fontId="3" fillId="0" borderId="0" xfId="347" applyAlignment="1">
      <alignment horizontal="right"/>
    </xf>
    <xf numFmtId="3" fontId="3" fillId="0" borderId="0" xfId="347" applyNumberFormat="1" applyAlignment="1">
      <alignment horizontal="right"/>
    </xf>
    <xf numFmtId="9" fontId="16" fillId="0" borderId="0" xfId="348" applyNumberFormat="1" applyFont="1"/>
    <xf numFmtId="9" fontId="2" fillId="0" borderId="0" xfId="348" applyFont="1"/>
    <xf numFmtId="0" fontId="7" fillId="0" borderId="0" xfId="349" applyFont="1" applyFill="1" applyProtection="1"/>
    <xf numFmtId="0" fontId="2" fillId="0" borderId="0" xfId="349" applyFill="1" applyProtection="1"/>
    <xf numFmtId="0" fontId="2" fillId="0" borderId="0" xfId="349"/>
    <xf numFmtId="0" fontId="17" fillId="0" borderId="0" xfId="349" applyFont="1"/>
    <xf numFmtId="3" fontId="18" fillId="0" borderId="0" xfId="349" applyNumberFormat="1" applyFont="1"/>
    <xf numFmtId="0" fontId="19" fillId="0" borderId="0" xfId="349" applyFont="1"/>
    <xf numFmtId="3" fontId="18" fillId="0" borderId="0" xfId="349" applyNumberFormat="1" applyFont="1" applyAlignment="1">
      <alignment horizontal="right"/>
    </xf>
    <xf numFmtId="3" fontId="20" fillId="0" borderId="0" xfId="347" applyNumberFormat="1" applyFont="1"/>
    <xf numFmtId="3" fontId="8" fillId="0" borderId="0" xfId="347" applyNumberFormat="1" applyFont="1" applyFill="1" applyProtection="1"/>
    <xf numFmtId="0" fontId="8" fillId="0" borderId="0" xfId="347" applyFont="1" applyFill="1" applyProtection="1"/>
    <xf numFmtId="3" fontId="19" fillId="0" borderId="0" xfId="349" applyNumberFormat="1" applyFont="1"/>
    <xf numFmtId="0" fontId="18" fillId="0" borderId="0" xfId="349" applyFont="1"/>
    <xf numFmtId="0" fontId="18" fillId="0" borderId="0" xfId="349" applyFont="1" applyAlignment="1">
      <alignment horizontal="right"/>
    </xf>
    <xf numFmtId="3" fontId="0" fillId="0" borderId="0" xfId="347" applyNumberFormat="1" applyFont="1"/>
    <xf numFmtId="0" fontId="3" fillId="0" borderId="0" xfId="347" applyFont="1" applyFill="1" applyProtection="1"/>
    <xf numFmtId="3" fontId="22" fillId="0" borderId="0" xfId="0" applyNumberFormat="1" applyFont="1" applyFill="1" applyAlignment="1" applyProtection="1">
      <alignment horizontal="right"/>
    </xf>
    <xf numFmtId="0" fontId="0" fillId="0" borderId="0" xfId="0" applyFont="1" applyFill="1" applyProtection="1"/>
    <xf numFmtId="3" fontId="7" fillId="0" borderId="0" xfId="0" applyNumberFormat="1" applyFont="1"/>
    <xf numFmtId="3" fontId="25" fillId="0" borderId="0" xfId="0" applyNumberFormat="1" applyFont="1" applyFill="1" applyAlignment="1" applyProtection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Protection="1"/>
    <xf numFmtId="3" fontId="14" fillId="0" borderId="0" xfId="347" applyNumberFormat="1" applyFont="1"/>
    <xf numFmtId="9" fontId="3" fillId="0" borderId="0" xfId="350"/>
    <xf numFmtId="4" fontId="3" fillId="0" borderId="0" xfId="347" applyNumberFormat="1" applyFill="1" applyProtection="1"/>
    <xf numFmtId="4" fontId="0" fillId="0" borderId="0" xfId="0" applyNumberFormat="1"/>
    <xf numFmtId="3" fontId="8" fillId="0" borderId="0" xfId="0" applyNumberFormat="1" applyFont="1" applyFill="1" applyProtection="1"/>
    <xf numFmtId="3" fontId="25" fillId="0" borderId="0" xfId="0" applyNumberFormat="1" applyFont="1" applyFill="1" applyProtection="1"/>
    <xf numFmtId="3" fontId="26" fillId="0" borderId="0" xfId="0" applyNumberFormat="1" applyFont="1" applyFill="1" applyAlignment="1" applyProtection="1">
      <alignment horizontal="right"/>
    </xf>
    <xf numFmtId="3" fontId="27" fillId="0" borderId="0" xfId="0" applyNumberFormat="1" applyFont="1" applyFill="1" applyAlignment="1" applyProtection="1">
      <alignment horizontal="right"/>
    </xf>
    <xf numFmtId="3" fontId="26" fillId="0" borderId="0" xfId="0" applyNumberFormat="1" applyFont="1" applyFill="1" applyProtection="1"/>
    <xf numFmtId="0" fontId="0" fillId="0" borderId="0" xfId="347" applyFont="1"/>
    <xf numFmtId="0" fontId="0" fillId="0" borderId="0" xfId="347" applyFont="1" applyAlignment="1">
      <alignment horizontal="right"/>
    </xf>
    <xf numFmtId="0" fontId="28" fillId="3" borderId="1" xfId="0" applyFont="1" applyFill="1" applyBorder="1"/>
    <xf numFmtId="3" fontId="22" fillId="0" borderId="0" xfId="0" applyNumberFormat="1" applyFont="1" applyFill="1" applyProtection="1"/>
    <xf numFmtId="3" fontId="25" fillId="0" borderId="0" xfId="347" applyNumberFormat="1" applyFont="1" applyFill="1" applyProtection="1"/>
    <xf numFmtId="3" fontId="29" fillId="0" borderId="0" xfId="349" applyNumberFormat="1" applyFont="1" applyAlignment="1">
      <alignment horizontal="right"/>
    </xf>
    <xf numFmtId="0" fontId="30" fillId="0" borderId="0" xfId="0" applyFont="1" applyFill="1" applyProtection="1"/>
  </cellXfs>
  <cellStyles count="358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55" builtinId="9" hidden="1"/>
    <cellStyle name="Följd hyperlänk" xfId="357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54" builtinId="8" hidden="1"/>
    <cellStyle name="Hyperlänk" xfId="356" builtinId="8" hidden="1"/>
    <cellStyle name="Normal" xfId="0" builtinId="0"/>
    <cellStyle name="Normal 2" xfId="347"/>
    <cellStyle name="Normal 2 2" xfId="353"/>
    <cellStyle name="Normal 3" xfId="349"/>
    <cellStyle name="Normal 4" xfId="351"/>
    <cellStyle name="Percent 2" xfId="348"/>
    <cellStyle name="Procent" xfId="350" builtinId="5"/>
    <cellStyle name="Procent 2" xfId="35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6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workbookViewId="0">
      <selection activeCell="B23" sqref="B23"/>
    </sheetView>
  </sheetViews>
  <sheetFormatPr baseColWidth="10" defaultColWidth="8.83203125" defaultRowHeight="15" x14ac:dyDescent="0.2"/>
  <cols>
    <col min="1" max="1" width="22.5" style="21" customWidth="1"/>
    <col min="2" max="2" width="12" style="21" customWidth="1"/>
    <col min="3" max="3" width="11.5" style="21" customWidth="1"/>
    <col min="4" max="11" width="8.83203125" style="21"/>
    <col min="12" max="12" width="7.33203125" style="21" customWidth="1"/>
    <col min="13" max="13" width="5.83203125" style="21" customWidth="1"/>
    <col min="14" max="14" width="9.5" style="21" customWidth="1"/>
    <col min="15" max="15" width="9.83203125" style="21" customWidth="1"/>
    <col min="16" max="16" width="10.1640625" style="21" customWidth="1"/>
    <col min="17" max="17" width="9.5" style="21" customWidth="1"/>
    <col min="18" max="20" width="8.83203125" style="21"/>
    <col min="21" max="21" width="10.1640625" style="21" bestFit="1" customWidth="1"/>
    <col min="22" max="16384" width="8.83203125" style="21"/>
  </cols>
  <sheetData>
    <row r="1" spans="1:21" ht="19" x14ac:dyDescent="0.25">
      <c r="A1" s="6" t="s">
        <v>0</v>
      </c>
      <c r="P1" s="16"/>
      <c r="Q1" s="16"/>
      <c r="R1" s="16"/>
      <c r="S1" s="16"/>
      <c r="T1" s="16"/>
      <c r="U1" s="16"/>
    </row>
    <row r="2" spans="1:21" ht="16" x14ac:dyDescent="0.2">
      <c r="A2" s="42" t="s">
        <v>72</v>
      </c>
      <c r="P2" s="16"/>
      <c r="Q2" s="16"/>
      <c r="R2" s="16"/>
      <c r="S2" s="16"/>
      <c r="T2" s="16"/>
      <c r="U2" s="16"/>
    </row>
    <row r="3" spans="1:21" ht="16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  <c r="P3" s="16"/>
      <c r="Q3" s="16"/>
      <c r="R3" s="16"/>
      <c r="S3" s="16"/>
      <c r="T3" s="16"/>
      <c r="U3" s="16"/>
    </row>
    <row r="4" spans="1:21" ht="16" x14ac:dyDescent="0.2">
      <c r="A4" s="26" t="s">
        <v>74</v>
      </c>
      <c r="B4" s="45">
        <f>SUM(Aneby:Tranås!B4)</f>
        <v>7126</v>
      </c>
      <c r="C4" s="43"/>
      <c r="D4" s="27"/>
      <c r="P4" s="16"/>
      <c r="Q4" s="16"/>
      <c r="R4" s="16"/>
      <c r="S4" s="16"/>
      <c r="T4" s="16"/>
      <c r="U4" s="16"/>
    </row>
    <row r="5" spans="1:21" ht="16" x14ac:dyDescent="0.2">
      <c r="A5" s="26"/>
      <c r="C5" s="40"/>
      <c r="D5" s="40"/>
      <c r="E5" s="40"/>
      <c r="F5" s="40"/>
      <c r="G5" s="40"/>
      <c r="P5" s="16"/>
      <c r="Q5" s="44"/>
      <c r="R5" s="16"/>
      <c r="S5" s="16"/>
      <c r="T5" s="16"/>
      <c r="U5" s="16"/>
    </row>
    <row r="6" spans="1:21" ht="16" x14ac:dyDescent="0.2">
      <c r="A6" s="39" t="s">
        <v>2</v>
      </c>
      <c r="B6" s="45">
        <f>SUM(Aneby:Tranås!B6)</f>
        <v>256196</v>
      </c>
      <c r="C6" s="45">
        <f>SUM(Aneby:Tranås!C6)</f>
        <v>0</v>
      </c>
      <c r="D6" s="45">
        <f>SUM(Aneby:Tranås!D6)</f>
        <v>0</v>
      </c>
      <c r="E6" s="45">
        <f>SUM(Aneby:Tranås!E6)</f>
        <v>0</v>
      </c>
      <c r="F6" s="45">
        <f>SUM(Aneby:Tranås!F6)</f>
        <v>0</v>
      </c>
      <c r="G6" s="45">
        <f>SUM(Aneby:Tranås!G6)</f>
        <v>0</v>
      </c>
      <c r="H6" s="45">
        <f>SUM(Aneby:Tranås!H6)</f>
        <v>0</v>
      </c>
      <c r="I6" s="45">
        <f>SUM(Aneby:Tranås!I6)</f>
        <v>0</v>
      </c>
      <c r="J6" s="45">
        <f>SUM(Aneby:Tranås!J6)</f>
        <v>0</v>
      </c>
      <c r="K6" s="45">
        <f>SUM(Aneby:Tranås!K6)</f>
        <v>0</v>
      </c>
      <c r="L6" s="45"/>
      <c r="M6" s="45"/>
      <c r="N6" s="45"/>
      <c r="O6" s="45">
        <v>0</v>
      </c>
      <c r="P6" s="16"/>
      <c r="Q6" s="46"/>
      <c r="R6" s="45"/>
      <c r="S6" s="16"/>
      <c r="T6" s="16"/>
      <c r="U6" s="16"/>
    </row>
    <row r="7" spans="1:21" ht="16" x14ac:dyDescent="0.2">
      <c r="A7" s="39" t="s">
        <v>3</v>
      </c>
      <c r="B7" s="45">
        <f>SUM(Aneby:Tranås!B7)</f>
        <v>0</v>
      </c>
      <c r="C7" s="45">
        <f>SUM(Aneby:Tranås!C7)</f>
        <v>0</v>
      </c>
      <c r="D7" s="45">
        <f>SUM(Aneby:Tranås!D7)</f>
        <v>0</v>
      </c>
      <c r="E7" s="45">
        <f>SUM(Aneby:Tranås!E7)</f>
        <v>0</v>
      </c>
      <c r="F7" s="45">
        <f>SUM(Aneby:Tranås!F7)</f>
        <v>0</v>
      </c>
      <c r="G7" s="45">
        <f>SUM(Aneby:Tranås!G7)</f>
        <v>0</v>
      </c>
      <c r="H7" s="45">
        <f>SUM(Aneby:Tranås!H7)</f>
        <v>0</v>
      </c>
      <c r="I7" s="45">
        <f>SUM(Aneby:Tranås!I7)</f>
        <v>0</v>
      </c>
      <c r="J7" s="45">
        <f>SUM(Aneby:Tranås!J7)</f>
        <v>0</v>
      </c>
      <c r="K7" s="45">
        <f>SUM(Aneby:Tranås!K7)</f>
        <v>0</v>
      </c>
      <c r="L7" s="45"/>
      <c r="M7" s="45"/>
      <c r="N7" s="45"/>
      <c r="O7" s="45">
        <v>0</v>
      </c>
      <c r="P7" s="16"/>
      <c r="Q7" s="46"/>
      <c r="R7" s="45"/>
      <c r="S7" s="16"/>
      <c r="T7" s="16"/>
      <c r="U7" s="16"/>
    </row>
    <row r="8" spans="1:21" ht="16" x14ac:dyDescent="0.2">
      <c r="A8" s="39" t="s">
        <v>4</v>
      </c>
      <c r="B8" s="45">
        <f>SUM(Aneby:Tranås!B8)</f>
        <v>128981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5"/>
      <c r="P8" s="16"/>
      <c r="Q8" s="16"/>
      <c r="R8" s="45"/>
      <c r="S8" s="16"/>
      <c r="T8" s="16"/>
      <c r="U8" s="16"/>
    </row>
    <row r="9" spans="1:21" ht="16" x14ac:dyDescent="0.2">
      <c r="A9" s="39" t="s">
        <v>71</v>
      </c>
      <c r="B9" s="45">
        <f>SUM(Aneby:Tranås!B9)</f>
        <v>828394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5"/>
      <c r="P9" s="16"/>
      <c r="Q9" s="16"/>
      <c r="R9" s="45"/>
      <c r="S9" s="16"/>
      <c r="T9" s="16"/>
      <c r="U9" s="16"/>
    </row>
    <row r="10" spans="1:21" ht="16" x14ac:dyDescent="0.2">
      <c r="A10" s="39" t="s">
        <v>5</v>
      </c>
      <c r="B10" s="45">
        <f>SUM(B4:B9)</f>
        <v>1220697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5">
        <v>0</v>
      </c>
      <c r="P10" s="16"/>
      <c r="Q10" s="16"/>
      <c r="R10" s="45"/>
      <c r="S10" s="16"/>
      <c r="T10" s="16"/>
      <c r="U10" s="16"/>
    </row>
    <row r="11" spans="1:21" ht="16" x14ac:dyDescent="0.2">
      <c r="A11" s="4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16"/>
      <c r="Q11" s="16"/>
      <c r="R11" s="45"/>
      <c r="S11" s="16"/>
      <c r="T11" s="16"/>
      <c r="U11" s="16"/>
    </row>
    <row r="12" spans="1:21" ht="16" x14ac:dyDescent="0.2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16"/>
      <c r="Q12" s="16"/>
      <c r="R12" s="45"/>
      <c r="S12" s="16"/>
      <c r="T12" s="16"/>
      <c r="U12" s="16"/>
    </row>
    <row r="13" spans="1:21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45"/>
      <c r="S13" s="16"/>
      <c r="T13" s="16"/>
      <c r="U13" s="16"/>
    </row>
    <row r="14" spans="1:21" ht="16" x14ac:dyDescent="0.2">
      <c r="A14" s="4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45"/>
      <c r="S14" s="16"/>
      <c r="T14" s="16"/>
      <c r="U14" s="16"/>
    </row>
    <row r="15" spans="1:21" ht="16" x14ac:dyDescent="0.2"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52" t="s">
        <v>73</v>
      </c>
      <c r="M15" s="14" t="s">
        <v>40</v>
      </c>
      <c r="N15" s="14" t="s">
        <v>41</v>
      </c>
      <c r="O15" s="27" t="s">
        <v>44</v>
      </c>
      <c r="P15" s="16"/>
      <c r="Q15" s="16"/>
      <c r="R15" s="45"/>
      <c r="S15" s="16"/>
      <c r="T15" s="16"/>
      <c r="U15" s="16"/>
    </row>
    <row r="16" spans="1:21" ht="16" x14ac:dyDescent="0.2">
      <c r="B16" s="27"/>
      <c r="C16" s="40"/>
      <c r="D16" s="40"/>
      <c r="E16" s="40"/>
      <c r="F16" s="40"/>
      <c r="G16" s="40"/>
      <c r="H16" s="27"/>
      <c r="I16" s="27"/>
      <c r="J16" s="27"/>
      <c r="K16" s="27"/>
      <c r="L16" s="27"/>
      <c r="M16" s="27"/>
      <c r="N16" s="27"/>
      <c r="O16" s="27"/>
      <c r="P16" s="16"/>
      <c r="Q16" s="44"/>
      <c r="R16" s="45"/>
      <c r="S16" s="16"/>
      <c r="T16" s="16"/>
      <c r="U16" s="16"/>
    </row>
    <row r="17" spans="1:24" ht="16" x14ac:dyDescent="0.2">
      <c r="A17" s="39" t="s">
        <v>7</v>
      </c>
      <c r="B17" s="45">
        <f>SUM(Aneby:Tranås!B17)</f>
        <v>1444857</v>
      </c>
      <c r="C17" s="45">
        <f>SUM(Aneby:Tranås!C17)</f>
        <v>37187</v>
      </c>
      <c r="D17" s="45">
        <f>SUM(Aneby:Tranås!D17)</f>
        <v>0</v>
      </c>
      <c r="E17" s="45">
        <f>SUM(Aneby:Tranås!E17)</f>
        <v>1074</v>
      </c>
      <c r="F17" s="45">
        <f>SUM(Aneby:Tranås!F17)</f>
        <v>1346</v>
      </c>
      <c r="G17" s="45">
        <f>SUM(Aneby:Tranås!G17)</f>
        <v>993464</v>
      </c>
      <c r="H17" s="45">
        <f>SUM(Aneby:Tranås!H17)</f>
        <v>1609</v>
      </c>
      <c r="I17" s="45">
        <f>SUM(Aneby:Tranås!I17)</f>
        <v>0</v>
      </c>
      <c r="J17" s="45">
        <f>SUM(Aneby:Tranås!J17)</f>
        <v>0</v>
      </c>
      <c r="K17" s="45">
        <f>SUM(Aneby:Tranås!K17)</f>
        <v>643150</v>
      </c>
      <c r="L17" s="45">
        <f>SUM(Aneby:Tranås!L17)</f>
        <v>102700</v>
      </c>
      <c r="M17" s="45">
        <f>SUM(Aneby:Tranås!M17)</f>
        <v>0</v>
      </c>
      <c r="N17" s="45">
        <f>SUM(Aneby:Tranås!N17)</f>
        <v>7807.5450000000001</v>
      </c>
      <c r="O17" s="45">
        <f>SUM(C17:N17)</f>
        <v>1788337.5449999999</v>
      </c>
      <c r="P17" s="16"/>
      <c r="Q17" s="46"/>
      <c r="R17" s="45"/>
      <c r="S17" s="16"/>
      <c r="T17" s="16"/>
      <c r="U17" s="16"/>
    </row>
    <row r="18" spans="1:24" ht="16" x14ac:dyDescent="0.2">
      <c r="A18" s="39" t="s">
        <v>8</v>
      </c>
      <c r="B18" s="45">
        <f>SUM(Aneby:Tranås!B18)</f>
        <v>308760</v>
      </c>
      <c r="C18" s="45">
        <f>SUM(Aneby:Tranås!C18)</f>
        <v>5680</v>
      </c>
      <c r="D18" s="45">
        <f>SUM(Aneby:Tranås!D18)</f>
        <v>0</v>
      </c>
      <c r="E18" s="45">
        <f>SUM(Aneby:Tranås!E18)</f>
        <v>1200</v>
      </c>
      <c r="F18" s="45">
        <f>SUM(Aneby:Tranås!F18)</f>
        <v>577</v>
      </c>
      <c r="G18" s="45">
        <f>SUM(Aneby:Tranås!G18)</f>
        <v>341075.89473684214</v>
      </c>
      <c r="H18" s="45">
        <f>SUM(Aneby:Tranås!H18)</f>
        <v>0</v>
      </c>
      <c r="I18" s="45">
        <f>SUM(Aneby:Tranås!I18)</f>
        <v>0</v>
      </c>
      <c r="J18" s="45">
        <f>SUM(Aneby:Tranås!J18)</f>
        <v>0</v>
      </c>
      <c r="K18" s="45">
        <f>SUM(Aneby:Tranås!K18)</f>
        <v>0</v>
      </c>
      <c r="L18" s="45">
        <f>SUM(Aneby:Tranås!L18)</f>
        <v>0</v>
      </c>
      <c r="M18" s="45">
        <f>SUM(Aneby:Tranås!M18)</f>
        <v>0</v>
      </c>
      <c r="N18" s="45">
        <f>SUM(Aneby:Tranås!N18)</f>
        <v>521</v>
      </c>
      <c r="O18" s="45">
        <f>SUM(C18:N18)</f>
        <v>349053.89473684214</v>
      </c>
      <c r="P18" s="16"/>
      <c r="Q18" s="46"/>
      <c r="R18" s="45"/>
      <c r="S18" s="16"/>
      <c r="T18" s="16"/>
      <c r="U18" s="16"/>
    </row>
    <row r="19" spans="1:24" ht="16" x14ac:dyDescent="0.2">
      <c r="A19" s="39" t="s">
        <v>9</v>
      </c>
      <c r="B19" s="45">
        <f>SUM(Aneby:Tranås!B19)</f>
        <v>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5"/>
      <c r="O19" s="45"/>
      <c r="P19" s="16"/>
      <c r="Q19" s="16"/>
      <c r="R19" s="45"/>
      <c r="S19" s="16"/>
      <c r="T19" s="16"/>
      <c r="U19" s="16"/>
    </row>
    <row r="20" spans="1:24" ht="16" x14ac:dyDescent="0.2">
      <c r="A20" s="39" t="s">
        <v>10</v>
      </c>
      <c r="B20" s="45">
        <f>SUM(Aneby:Tranås!B20)</f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5"/>
      <c r="O20" s="45"/>
      <c r="P20" s="16"/>
      <c r="Q20" s="16"/>
      <c r="R20" s="16"/>
      <c r="S20" s="16"/>
      <c r="T20" s="16"/>
      <c r="U20" s="16"/>
    </row>
    <row r="21" spans="1:24" ht="16" x14ac:dyDescent="0.2">
      <c r="A21" s="39" t="s">
        <v>11</v>
      </c>
      <c r="B21" s="45">
        <f>SUM(Aneby:Tranås!B21)</f>
        <v>369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5"/>
      <c r="P21" s="16"/>
      <c r="Q21" s="16"/>
      <c r="R21" s="16"/>
      <c r="S21" s="16" t="s">
        <v>50</v>
      </c>
      <c r="T21" s="17">
        <f>O42/1000</f>
        <v>12136.705719736843</v>
      </c>
      <c r="U21" s="16"/>
    </row>
    <row r="22" spans="1:24" ht="16" x14ac:dyDescent="0.2">
      <c r="A22" s="39" t="s">
        <v>12</v>
      </c>
      <c r="B22" s="45">
        <f>SUM(Aneby:Tranås!B22)</f>
        <v>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16"/>
      <c r="Q22" s="16"/>
      <c r="R22" s="16"/>
      <c r="S22" s="16"/>
      <c r="T22" s="16"/>
      <c r="U22" s="16"/>
    </row>
    <row r="23" spans="1:24" ht="16" x14ac:dyDescent="0.2">
      <c r="A23" s="39" t="s">
        <v>5</v>
      </c>
      <c r="B23" s="45">
        <f>SUM(B17:B22)</f>
        <v>1753986</v>
      </c>
      <c r="C23" s="45">
        <f t="shared" ref="C23:O23" si="0">SUM(C17:C22)</f>
        <v>42867</v>
      </c>
      <c r="D23" s="45">
        <f t="shared" si="0"/>
        <v>0</v>
      </c>
      <c r="E23" s="45">
        <f t="shared" si="0"/>
        <v>2274</v>
      </c>
      <c r="F23" s="45">
        <f t="shared" si="0"/>
        <v>1923</v>
      </c>
      <c r="G23" s="45">
        <f t="shared" si="0"/>
        <v>1334539.8947368423</v>
      </c>
      <c r="H23" s="45">
        <f t="shared" si="0"/>
        <v>1609</v>
      </c>
      <c r="I23" s="45">
        <f t="shared" si="0"/>
        <v>0</v>
      </c>
      <c r="J23" s="45">
        <f t="shared" si="0"/>
        <v>0</v>
      </c>
      <c r="K23" s="45">
        <f t="shared" si="0"/>
        <v>643150</v>
      </c>
      <c r="L23" s="45">
        <f t="shared" si="0"/>
        <v>102700</v>
      </c>
      <c r="M23" s="45">
        <f t="shared" si="0"/>
        <v>0</v>
      </c>
      <c r="N23" s="45">
        <f t="shared" si="0"/>
        <v>8328.5450000000001</v>
      </c>
      <c r="O23" s="45">
        <f t="shared" si="0"/>
        <v>2137391.4397368422</v>
      </c>
      <c r="P23" s="16"/>
      <c r="Q23" s="16"/>
      <c r="R23" s="16"/>
      <c r="S23" s="16"/>
      <c r="T23" s="16" t="s">
        <v>51</v>
      </c>
      <c r="U23" s="16" t="s">
        <v>52</v>
      </c>
    </row>
    <row r="24" spans="1:24" ht="16" x14ac:dyDescent="0.2">
      <c r="A24" s="48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6"/>
      <c r="Q24" s="16"/>
      <c r="R24" s="16"/>
      <c r="S24" s="16" t="s">
        <v>41</v>
      </c>
      <c r="T24" s="18">
        <f>N42/1000</f>
        <v>4252.1858250000005</v>
      </c>
      <c r="U24" s="19">
        <f>N43</f>
        <v>0.35035749594595916</v>
      </c>
    </row>
    <row r="25" spans="1:24" ht="16" x14ac:dyDescent="0.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16"/>
      <c r="Q25" s="16"/>
      <c r="R25" s="16"/>
      <c r="S25" s="16" t="s">
        <v>70</v>
      </c>
      <c r="T25" s="18">
        <f>G42/1000</f>
        <v>2598.4658947368421</v>
      </c>
      <c r="U25" s="20">
        <f>G43</f>
        <v>0.21409976930652516</v>
      </c>
    </row>
    <row r="26" spans="1:24" ht="16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</row>
    <row r="27" spans="1:24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307.714</v>
      </c>
      <c r="U27" s="19">
        <f>F43</f>
        <v>2.5353996966375494E-2</v>
      </c>
    </row>
    <row r="28" spans="1:24" ht="16" x14ac:dyDescent="0.2">
      <c r="A28" s="4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311.505</v>
      </c>
      <c r="U28" s="19">
        <f>E43</f>
        <v>2.5666355203243264E-2</v>
      </c>
    </row>
    <row r="29" spans="1:24" ht="16" x14ac:dyDescent="0.2"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7" t="str">
        <f>L15</f>
        <v>RT-flis</v>
      </c>
      <c r="T29" s="21">
        <f>L42/1000</f>
        <v>102.7</v>
      </c>
      <c r="U29" s="22">
        <f>L43</f>
        <v>8.4619337711211162E-3</v>
      </c>
    </row>
    <row r="30" spans="1:24" ht="16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643.15</v>
      </c>
      <c r="U30" s="22">
        <f>K43</f>
        <v>5.2992139288184477E-2</v>
      </c>
      <c r="W30" s="44"/>
      <c r="X30" s="45"/>
    </row>
    <row r="31" spans="1:24" ht="16" x14ac:dyDescent="0.2">
      <c r="A31" s="26" t="s">
        <v>14</v>
      </c>
      <c r="B31" s="45">
        <f>SUM(Aneby:Tranås!B31)</f>
        <v>0</v>
      </c>
      <c r="C31" s="45">
        <f>SUM(Aneby:Tranås!C31)</f>
        <v>102331</v>
      </c>
      <c r="D31" s="45">
        <f>SUM(Aneby:Tranås!D31)</f>
        <v>0</v>
      </c>
      <c r="E31" s="45">
        <f>SUM(Aneby:Tranås!E31)</f>
        <v>0</v>
      </c>
      <c r="F31" s="45">
        <f>SUM(Aneby:Tranås!F31)</f>
        <v>10094</v>
      </c>
      <c r="G31" s="45">
        <f>SUM(Aneby:Tranås!G31)</f>
        <v>0</v>
      </c>
      <c r="H31" s="45">
        <f>SUM(Aneby:Tranås!H31)</f>
        <v>0</v>
      </c>
      <c r="I31" s="45">
        <f>SUM(Aneby:Tranås!I31)</f>
        <v>0</v>
      </c>
      <c r="J31" s="45">
        <f>SUM(Aneby:Tranås!J31)</f>
        <v>0</v>
      </c>
      <c r="K31" s="45">
        <f>SUM(Aneby:Tranås!K31)</f>
        <v>0</v>
      </c>
      <c r="L31" s="45">
        <f>SUM(Aneby:Tranås!L31)</f>
        <v>0</v>
      </c>
      <c r="M31" s="45">
        <f>SUM(Aneby:Tranås!M31)</f>
        <v>0</v>
      </c>
      <c r="N31" s="45">
        <f>SUM(Aneby:Tranås!N31)</f>
        <v>144690</v>
      </c>
      <c r="O31" s="45">
        <f>SUM(B31:N31)</f>
        <v>257115</v>
      </c>
      <c r="P31" s="9">
        <f>O31/O$39</f>
        <v>2.2437052294131111E-2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W31" s="47"/>
      <c r="X31" s="45"/>
    </row>
    <row r="32" spans="1:24" ht="16" x14ac:dyDescent="0.2">
      <c r="A32" s="26" t="s">
        <v>15</v>
      </c>
      <c r="B32" s="45">
        <f>SUM(Aneby:Tranås!B32)</f>
        <v>187592</v>
      </c>
      <c r="C32" s="45">
        <f>SUM(Aneby:Tranås!C32)</f>
        <v>119901</v>
      </c>
      <c r="D32" s="45">
        <f>SUM(Aneby:Tranås!D32)</f>
        <v>0</v>
      </c>
      <c r="E32" s="45">
        <f>SUM(Aneby:Tranås!E32)</f>
        <v>285393</v>
      </c>
      <c r="F32" s="45">
        <f>SUM(Aneby:Tranås!F32)</f>
        <v>476</v>
      </c>
      <c r="G32" s="45">
        <f>SUM(Aneby:Tranås!G32)</f>
        <v>651743</v>
      </c>
      <c r="H32" s="45">
        <f>SUM(Aneby:Tranås!H32)</f>
        <v>0</v>
      </c>
      <c r="I32" s="45">
        <f>SUM(Aneby:Tranås!I32)</f>
        <v>0</v>
      </c>
      <c r="J32" s="45">
        <f>SUM(Aneby:Tranås!J32)</f>
        <v>0</v>
      </c>
      <c r="K32" s="45">
        <f>SUM(Aneby:Tranås!K32)</f>
        <v>0</v>
      </c>
      <c r="L32" s="45">
        <f>SUM(Aneby:Tranås!L32)</f>
        <v>0</v>
      </c>
      <c r="M32" s="45">
        <f>SUM(Aneby:Tranås!M32)</f>
        <v>0</v>
      </c>
      <c r="N32" s="45">
        <f>SUM(Aneby:Tranås!N32)</f>
        <v>1585976</v>
      </c>
      <c r="O32" s="45">
        <f t="shared" ref="O32:O38" si="1">SUM(B32:N32)</f>
        <v>2831081</v>
      </c>
      <c r="P32" s="9">
        <f>O32/O$39</f>
        <v>0.24705331250965912</v>
      </c>
      <c r="Q32" s="23" t="s">
        <v>54</v>
      </c>
      <c r="R32" s="16"/>
      <c r="S32" s="16" t="s">
        <v>37</v>
      </c>
      <c r="T32" s="18">
        <f>H42/1000</f>
        <v>30.048999999999999</v>
      </c>
      <c r="U32" s="19">
        <f>H43</f>
        <v>2.4758777788550968E-3</v>
      </c>
      <c r="W32" s="47"/>
      <c r="X32" s="45"/>
    </row>
    <row r="33" spans="1:48" ht="16" x14ac:dyDescent="0.2">
      <c r="A33" s="26" t="s">
        <v>16</v>
      </c>
      <c r="B33" s="45">
        <f>SUM(Aneby:Tranås!B33)</f>
        <v>265905</v>
      </c>
      <c r="C33" s="45">
        <f>SUM(Aneby:Tranås!C33)</f>
        <v>43229</v>
      </c>
      <c r="D33" s="45">
        <f>SUM(Aneby:Tranås!D33)</f>
        <v>0</v>
      </c>
      <c r="E33" s="45">
        <f>SUM(Aneby:Tranås!E33)</f>
        <v>1580</v>
      </c>
      <c r="F33" s="45">
        <f>SUM(Aneby:Tranås!F33)</f>
        <v>0</v>
      </c>
      <c r="G33" s="45">
        <f>SUM(Aneby:Tranås!G33)</f>
        <v>0</v>
      </c>
      <c r="H33" s="45">
        <f>SUM(Aneby:Tranås!H33)</f>
        <v>0</v>
      </c>
      <c r="I33" s="45">
        <f>SUM(Aneby:Tranås!I33)</f>
        <v>0</v>
      </c>
      <c r="J33" s="45">
        <f>SUM(Aneby:Tranås!J33)</f>
        <v>0</v>
      </c>
      <c r="K33" s="45">
        <f>SUM(Aneby:Tranås!K33)</f>
        <v>0</v>
      </c>
      <c r="L33" s="45">
        <f>SUM(Aneby:Tranås!L33)</f>
        <v>0</v>
      </c>
      <c r="M33" s="45">
        <f>SUM(Aneby:Tranås!M33)</f>
        <v>0</v>
      </c>
      <c r="N33" s="45">
        <f>SUM(Aneby:Tranås!N33)</f>
        <v>358012</v>
      </c>
      <c r="O33" s="45">
        <f t="shared" si="1"/>
        <v>668726</v>
      </c>
      <c r="P33" s="9">
        <f>O33/O$39</f>
        <v>5.8356145041888345E-2</v>
      </c>
      <c r="Q33" s="23" t="s">
        <v>55</v>
      </c>
      <c r="R33" s="16"/>
      <c r="S33" s="16" t="s">
        <v>58</v>
      </c>
      <c r="T33" s="18">
        <f>C42/1000</f>
        <v>3890.9360000000001</v>
      </c>
      <c r="U33" s="20">
        <f>C43</f>
        <v>0.32059243173973623</v>
      </c>
      <c r="W33" s="47"/>
      <c r="X33" s="45"/>
    </row>
    <row r="34" spans="1:48" ht="16" x14ac:dyDescent="0.2">
      <c r="A34" s="26" t="s">
        <v>17</v>
      </c>
      <c r="B34" s="45">
        <f>SUM(Aneby:Tranås!B34)</f>
        <v>0</v>
      </c>
      <c r="C34" s="45">
        <f>SUM(Aneby:Tranås!C34)</f>
        <v>3474178</v>
      </c>
      <c r="D34" s="45">
        <f>SUM(Aneby:Tranås!D34)</f>
        <v>0</v>
      </c>
      <c r="E34" s="74">
        <v>17528</v>
      </c>
      <c r="F34" s="45">
        <f>SUM(Aneby:Tranås!F34)</f>
        <v>295221</v>
      </c>
      <c r="G34" s="45">
        <f>SUM(Aneby:Tranås!G34)</f>
        <v>0</v>
      </c>
      <c r="H34" s="74">
        <v>28440</v>
      </c>
      <c r="I34" s="45">
        <f>SUM(Aneby:Tranås!I34)</f>
        <v>0</v>
      </c>
      <c r="J34" s="45">
        <f>SUM(Aneby:Tranås!J34)</f>
        <v>0</v>
      </c>
      <c r="K34" s="45">
        <f>SUM(Aneby:Tranås!K34)</f>
        <v>0</v>
      </c>
      <c r="L34" s="45">
        <f>SUM(Aneby:Tranås!L34)</f>
        <v>0</v>
      </c>
      <c r="M34" s="45">
        <f>SUM(Aneby:Tranås!M34)</f>
        <v>0</v>
      </c>
      <c r="N34" s="45">
        <f>SUM(Aneby:Tranås!N34)</f>
        <v>5486</v>
      </c>
      <c r="O34" s="45">
        <f t="shared" si="1"/>
        <v>3820853</v>
      </c>
      <c r="P34" s="9">
        <f>O34/O$39</f>
        <v>0.33342542663472663</v>
      </c>
      <c r="Q34" s="23" t="s">
        <v>56</v>
      </c>
      <c r="R34" s="16"/>
      <c r="S34" s="16"/>
      <c r="T34" s="18">
        <f>SUM(T24:T33)</f>
        <v>12136.705719736843</v>
      </c>
      <c r="U34" s="19">
        <f>SUM(U24:U33)</f>
        <v>1</v>
      </c>
      <c r="W34" s="47"/>
      <c r="X34" s="45"/>
    </row>
    <row r="35" spans="1:48" ht="16" x14ac:dyDescent="0.2">
      <c r="A35" s="26" t="s">
        <v>18</v>
      </c>
      <c r="B35" s="45">
        <f>SUM(Aneby:Tranås!B35)</f>
        <v>257895</v>
      </c>
      <c r="C35" s="45">
        <f>SUM(Aneby:Tranås!C35)</f>
        <v>89156</v>
      </c>
      <c r="D35" s="45">
        <f>SUM(Aneby:Tranås!D35)</f>
        <v>0</v>
      </c>
      <c r="E35" s="45">
        <f>SUM(Aneby:Tranås!E35)</f>
        <v>0</v>
      </c>
      <c r="F35" s="45">
        <f>SUM(Aneby:Tranås!F35)</f>
        <v>0</v>
      </c>
      <c r="G35" s="45">
        <f>SUM(Aneby:Tranås!G35)</f>
        <v>0</v>
      </c>
      <c r="H35" s="45">
        <f>SUM(Aneby:Tranås!H35)</f>
        <v>0</v>
      </c>
      <c r="I35" s="45">
        <f>SUM(Aneby:Tranås!I35)</f>
        <v>0</v>
      </c>
      <c r="J35" s="45">
        <f>SUM(Aneby:Tranås!J35)</f>
        <v>0</v>
      </c>
      <c r="K35" s="45">
        <f>SUM(Aneby:Tranås!K35)</f>
        <v>0</v>
      </c>
      <c r="L35" s="45">
        <f>SUM(Aneby:Tranås!L35)</f>
        <v>0</v>
      </c>
      <c r="M35" s="45">
        <f>SUM(Aneby:Tranås!M35)</f>
        <v>0</v>
      </c>
      <c r="N35" s="45">
        <f>SUM(Aneby:Tranås!N35)</f>
        <v>858994</v>
      </c>
      <c r="O35" s="45">
        <f t="shared" si="1"/>
        <v>1206045</v>
      </c>
      <c r="P35" s="9">
        <f>O35/O$39</f>
        <v>0.10524510329648351</v>
      </c>
      <c r="Q35" s="23" t="s">
        <v>57</v>
      </c>
      <c r="R35" s="23"/>
      <c r="W35" s="47"/>
      <c r="X35" s="45"/>
    </row>
    <row r="36" spans="1:48" ht="16" x14ac:dyDescent="0.2">
      <c r="A36" s="26" t="s">
        <v>19</v>
      </c>
      <c r="B36" s="45">
        <f>SUM(Aneby:Tranås!B36)</f>
        <v>212122</v>
      </c>
      <c r="C36" s="45">
        <f>SUM(Aneby:Tranås!C36)</f>
        <v>11934</v>
      </c>
      <c r="D36" s="45">
        <f>SUM(Aneby:Tranås!D36)</f>
        <v>0</v>
      </c>
      <c r="E36" s="45">
        <f>SUM(Aneby:Tranås!E36)</f>
        <v>2800</v>
      </c>
      <c r="F36" s="45">
        <f>SUM(Aneby:Tranås!F36)</f>
        <v>0</v>
      </c>
      <c r="G36" s="45">
        <f>SUM(Aneby:Tranås!G36)</f>
        <v>612183</v>
      </c>
      <c r="H36" s="45">
        <f>SUM(Aneby:Tranås!H36)</f>
        <v>0</v>
      </c>
      <c r="I36" s="45">
        <f>SUM(Aneby:Tranås!I36)</f>
        <v>0</v>
      </c>
      <c r="J36" s="45">
        <f>SUM(Aneby:Tranås!J36)</f>
        <v>0</v>
      </c>
      <c r="K36" s="45">
        <f>SUM(Aneby:Tranås!K36)</f>
        <v>0</v>
      </c>
      <c r="L36" s="45">
        <f>SUM(Aneby:Tranås!L36)</f>
        <v>0</v>
      </c>
      <c r="M36" s="45">
        <f>SUM(Aneby:Tranås!M36)</f>
        <v>0</v>
      </c>
      <c r="N36" s="45">
        <f>SUM(Aneby:Tranås!N36)</f>
        <v>990755</v>
      </c>
      <c r="O36" s="45">
        <f t="shared" si="1"/>
        <v>1829794</v>
      </c>
      <c r="P36" s="23"/>
      <c r="Q36" s="23"/>
      <c r="R36" s="16"/>
      <c r="S36" s="13"/>
      <c r="T36" s="13"/>
      <c r="U36" s="13"/>
      <c r="W36" s="47"/>
      <c r="X36" s="45"/>
    </row>
    <row r="37" spans="1:48" ht="16" x14ac:dyDescent="0.2">
      <c r="A37" s="26" t="s">
        <v>20</v>
      </c>
      <c r="B37" s="45">
        <f>SUM(Aneby:Tranås!B37)</f>
        <v>613706</v>
      </c>
      <c r="C37" s="45">
        <f>SUM(Aneby:Tranås!C37)</f>
        <v>7340</v>
      </c>
      <c r="D37" s="45">
        <f>SUM(Aneby:Tranås!D37)</f>
        <v>0</v>
      </c>
      <c r="E37" s="45">
        <f>SUM(Aneby:Tranås!E37)</f>
        <v>1930</v>
      </c>
      <c r="F37" s="45">
        <f>SUM(Aneby:Tranås!F37)</f>
        <v>0</v>
      </c>
      <c r="G37" s="45">
        <f>SUM(Aneby:Tranås!G37)</f>
        <v>0</v>
      </c>
      <c r="H37" s="45">
        <f>SUM(Aneby:Tranås!H37)</f>
        <v>0</v>
      </c>
      <c r="I37" s="45">
        <f>SUM(Aneby:Tranås!I37)</f>
        <v>0</v>
      </c>
      <c r="J37" s="45">
        <f>SUM(Aneby:Tranås!J37)</f>
        <v>0</v>
      </c>
      <c r="K37" s="45">
        <f>SUM(Aneby:Tranås!K37)</f>
        <v>0</v>
      </c>
      <c r="L37" s="45">
        <f>SUM(Aneby:Tranås!L37)</f>
        <v>0</v>
      </c>
      <c r="M37" s="45">
        <f>SUM(Aneby:Tranås!M37)</f>
        <v>0</v>
      </c>
      <c r="N37" s="45">
        <f>SUM(Aneby:Tranås!N37)</f>
        <v>184000</v>
      </c>
      <c r="O37" s="45">
        <f t="shared" si="1"/>
        <v>806976</v>
      </c>
      <c r="P37" s="23"/>
      <c r="Q37" s="23"/>
      <c r="R37" s="16"/>
      <c r="S37" s="13"/>
      <c r="T37" s="13" t="s">
        <v>51</v>
      </c>
      <c r="U37" s="13" t="s">
        <v>52</v>
      </c>
      <c r="W37" s="47"/>
      <c r="X37" s="45"/>
    </row>
    <row r="38" spans="1:48" ht="16" x14ac:dyDescent="0.2">
      <c r="A38" s="26" t="s">
        <v>21</v>
      </c>
      <c r="B38" s="45">
        <f>SUM(Aneby:Tranås!B38)</f>
        <v>0</v>
      </c>
      <c r="C38" s="45">
        <f>SUM(Aneby:Tranås!C38)</f>
        <v>0</v>
      </c>
      <c r="D38" s="45">
        <f>SUM(Aneby:Tranås!D38)</f>
        <v>0</v>
      </c>
      <c r="E38" s="45">
        <f>SUM(Aneby:Tranås!E38)</f>
        <v>0</v>
      </c>
      <c r="F38" s="45">
        <f>SUM(Aneby:Tranås!F38)</f>
        <v>0</v>
      </c>
      <c r="G38" s="45">
        <f>SUM(Aneby:Tranås!G38)</f>
        <v>0</v>
      </c>
      <c r="H38" s="45">
        <f>SUM(Aneby:Tranås!H38)</f>
        <v>0</v>
      </c>
      <c r="I38" s="45">
        <f>SUM(Aneby:Tranås!I38)</f>
        <v>0</v>
      </c>
      <c r="J38" s="45">
        <f>SUM(Aneby:Tranås!J38)</f>
        <v>0</v>
      </c>
      <c r="K38" s="45">
        <f>SUM(Aneby:Tranås!K38)</f>
        <v>0</v>
      </c>
      <c r="L38" s="45">
        <f>SUM(Aneby:Tranås!L38)</f>
        <v>0</v>
      </c>
      <c r="M38" s="45">
        <f>SUM(Aneby:Tranås!M38)</f>
        <v>0</v>
      </c>
      <c r="N38" s="45">
        <f>SUM(Aneby:Tranås!N38)</f>
        <v>38803</v>
      </c>
      <c r="O38" s="45">
        <f t="shared" si="1"/>
        <v>38803</v>
      </c>
      <c r="P38" s="23">
        <f>SUM(P31:P35)</f>
        <v>0.76651703977688868</v>
      </c>
      <c r="Q38" s="23"/>
      <c r="R38" s="16"/>
      <c r="S38" s="13" t="s">
        <v>22</v>
      </c>
      <c r="T38" s="24">
        <f>O45/1000</f>
        <v>550.10328000000004</v>
      </c>
      <c r="U38" s="13"/>
      <c r="W38" s="47"/>
      <c r="X38" s="45"/>
    </row>
    <row r="39" spans="1:48" ht="16" x14ac:dyDescent="0.2">
      <c r="A39" s="26" t="s">
        <v>5</v>
      </c>
      <c r="B39" s="45">
        <f>SUM(B31:B38)</f>
        <v>1537220</v>
      </c>
      <c r="C39" s="45">
        <f t="shared" ref="C39:O39" si="2">SUM(C31:C38)</f>
        <v>3848069</v>
      </c>
      <c r="D39" s="45">
        <f t="shared" si="2"/>
        <v>0</v>
      </c>
      <c r="E39" s="45">
        <f t="shared" si="2"/>
        <v>309231</v>
      </c>
      <c r="F39" s="45">
        <f t="shared" si="2"/>
        <v>305791</v>
      </c>
      <c r="G39" s="45">
        <f t="shared" si="2"/>
        <v>1263926</v>
      </c>
      <c r="H39" s="45">
        <f t="shared" si="2"/>
        <v>28440</v>
      </c>
      <c r="I39" s="45">
        <f t="shared" si="2"/>
        <v>0</v>
      </c>
      <c r="J39" s="45">
        <f t="shared" si="2"/>
        <v>0</v>
      </c>
      <c r="K39" s="45">
        <f t="shared" si="2"/>
        <v>0</v>
      </c>
      <c r="L39" s="45">
        <f t="shared" si="2"/>
        <v>0</v>
      </c>
      <c r="M39" s="45">
        <f t="shared" si="2"/>
        <v>0</v>
      </c>
      <c r="N39" s="45">
        <f t="shared" si="2"/>
        <v>4166716</v>
      </c>
      <c r="O39" s="45">
        <f t="shared" si="2"/>
        <v>11459393</v>
      </c>
      <c r="P39" s="16"/>
      <c r="Q39" s="16"/>
      <c r="R39" s="16"/>
      <c r="S39" s="13" t="s">
        <v>63</v>
      </c>
      <c r="T39" s="25">
        <f>O41/1000</f>
        <v>2675.5729999999999</v>
      </c>
      <c r="U39" s="19">
        <f>P41</f>
        <v>0.2334829602231113</v>
      </c>
      <c r="X39" s="45"/>
    </row>
    <row r="40" spans="1:48" x14ac:dyDescent="0.2">
      <c r="S40" s="13" t="s">
        <v>65</v>
      </c>
      <c r="T40" s="25">
        <f>O35/1000</f>
        <v>1206.0450000000001</v>
      </c>
      <c r="U40" s="20">
        <f>P35</f>
        <v>0.10524510329648351</v>
      </c>
    </row>
    <row r="41" spans="1:48" ht="16" x14ac:dyDescent="0.2">
      <c r="A41" s="7" t="s">
        <v>59</v>
      </c>
      <c r="B41" s="8">
        <f>B38+B37+B36</f>
        <v>825828</v>
      </c>
      <c r="C41" s="8">
        <f t="shared" ref="C41:O41" si="3">C38+C37+C36</f>
        <v>19274</v>
      </c>
      <c r="D41" s="8">
        <f t="shared" si="3"/>
        <v>0</v>
      </c>
      <c r="E41" s="8">
        <f t="shared" si="3"/>
        <v>4730</v>
      </c>
      <c r="F41" s="8">
        <f t="shared" si="3"/>
        <v>0</v>
      </c>
      <c r="G41" s="8">
        <f t="shared" si="3"/>
        <v>612183</v>
      </c>
      <c r="H41" s="8">
        <f t="shared" si="3"/>
        <v>0</v>
      </c>
      <c r="I41" s="8">
        <f t="shared" si="3"/>
        <v>0</v>
      </c>
      <c r="J41" s="8">
        <f t="shared" si="3"/>
        <v>0</v>
      </c>
      <c r="K41" s="8">
        <f t="shared" si="3"/>
        <v>0</v>
      </c>
      <c r="L41" s="8">
        <f t="shared" si="3"/>
        <v>0</v>
      </c>
      <c r="M41" s="8">
        <f t="shared" si="3"/>
        <v>0</v>
      </c>
      <c r="N41" s="8">
        <f t="shared" si="3"/>
        <v>1213558</v>
      </c>
      <c r="O41" s="8">
        <f t="shared" si="3"/>
        <v>2675573</v>
      </c>
      <c r="P41" s="9">
        <f>O41/O$39</f>
        <v>0.2334829602231113</v>
      </c>
      <c r="Q41" s="9" t="s">
        <v>60</v>
      </c>
      <c r="R41" s="13"/>
      <c r="S41" s="13" t="s">
        <v>66</v>
      </c>
      <c r="T41" s="25">
        <f>O33/1000</f>
        <v>668.726</v>
      </c>
      <c r="U41" s="19">
        <f>P33</f>
        <v>5.8356145041888345E-2</v>
      </c>
    </row>
    <row r="42" spans="1:48" ht="16" x14ac:dyDescent="0.2">
      <c r="A42" s="10" t="s">
        <v>61</v>
      </c>
      <c r="B42" s="8"/>
      <c r="C42" s="11">
        <f>C39+C23+C10</f>
        <v>3890936</v>
      </c>
      <c r="D42" s="11">
        <f t="shared" ref="D42:M42" si="4">D39+D23+D10</f>
        <v>0</v>
      </c>
      <c r="E42" s="11">
        <f t="shared" si="4"/>
        <v>311505</v>
      </c>
      <c r="F42" s="11">
        <f t="shared" si="4"/>
        <v>307714</v>
      </c>
      <c r="G42" s="11">
        <f t="shared" si="4"/>
        <v>2598465.8947368423</v>
      </c>
      <c r="H42" s="11">
        <f t="shared" si="4"/>
        <v>30049</v>
      </c>
      <c r="I42" s="11">
        <f t="shared" si="4"/>
        <v>0</v>
      </c>
      <c r="J42" s="11">
        <f t="shared" si="4"/>
        <v>0</v>
      </c>
      <c r="K42" s="11">
        <f t="shared" si="4"/>
        <v>643150</v>
      </c>
      <c r="L42" s="11">
        <f t="shared" si="4"/>
        <v>102700</v>
      </c>
      <c r="M42" s="11">
        <f t="shared" si="4"/>
        <v>0</v>
      </c>
      <c r="N42" s="11">
        <f>N39+N23-B6+N45</f>
        <v>4252185.8250000002</v>
      </c>
      <c r="O42" s="12">
        <f>SUM(C42:N42)</f>
        <v>12136705.719736842</v>
      </c>
      <c r="P42" s="13"/>
      <c r="Q42" s="13"/>
      <c r="R42" s="13"/>
      <c r="S42" s="13" t="s">
        <v>53</v>
      </c>
      <c r="T42" s="25">
        <f>O31/1000</f>
        <v>257.11500000000001</v>
      </c>
      <c r="U42" s="19">
        <f>P31</f>
        <v>2.2437052294131111E-2</v>
      </c>
    </row>
    <row r="43" spans="1:48" ht="16" x14ac:dyDescent="0.2">
      <c r="A43" s="10" t="s">
        <v>62</v>
      </c>
      <c r="B43" s="8"/>
      <c r="C43" s="9">
        <f t="shared" ref="C43:N43" si="5">C42/$O42</f>
        <v>0.32059243173973623</v>
      </c>
      <c r="D43" s="9">
        <f t="shared" si="5"/>
        <v>0</v>
      </c>
      <c r="E43" s="9">
        <f t="shared" si="5"/>
        <v>2.5666355203243264E-2</v>
      </c>
      <c r="F43" s="9">
        <f t="shared" si="5"/>
        <v>2.5353996966375494E-2</v>
      </c>
      <c r="G43" s="9">
        <f t="shared" si="5"/>
        <v>0.21409976930652516</v>
      </c>
      <c r="H43" s="9">
        <f t="shared" si="5"/>
        <v>2.4758777788550968E-3</v>
      </c>
      <c r="I43" s="9">
        <f t="shared" si="5"/>
        <v>0</v>
      </c>
      <c r="J43" s="9">
        <f t="shared" si="5"/>
        <v>0</v>
      </c>
      <c r="K43" s="9">
        <f t="shared" si="5"/>
        <v>5.2992139288184477E-2</v>
      </c>
      <c r="L43" s="9">
        <f t="shared" si="5"/>
        <v>8.4619337711211162E-3</v>
      </c>
      <c r="M43" s="9">
        <f t="shared" si="5"/>
        <v>0</v>
      </c>
      <c r="N43" s="9">
        <f t="shared" si="5"/>
        <v>0.35035749594595916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2831.0810000000001</v>
      </c>
      <c r="U43" s="20">
        <f>P32</f>
        <v>0.24705331250965912</v>
      </c>
    </row>
    <row r="44" spans="1:48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3820.8530000000001</v>
      </c>
      <c r="U44" s="20">
        <f>P34</f>
        <v>0.33342542663472663</v>
      </c>
    </row>
    <row r="45" spans="1:48" ht="16" x14ac:dyDescent="0.2">
      <c r="A45" s="14" t="s">
        <v>64</v>
      </c>
      <c r="B45" s="14">
        <f>B23-B39</f>
        <v>216766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333337.28000000003</v>
      </c>
      <c r="O45" s="12">
        <f>B45+N45</f>
        <v>550103.28</v>
      </c>
      <c r="P45" s="13"/>
      <c r="Q45" s="13"/>
      <c r="R45" s="13"/>
      <c r="S45" s="13" t="s">
        <v>69</v>
      </c>
      <c r="T45" s="25">
        <f>SUM(T39:T44)</f>
        <v>11459.393</v>
      </c>
      <c r="U45" s="19">
        <f>SUM(U39:U44)</f>
        <v>1</v>
      </c>
    </row>
    <row r="46" spans="1:48" ht="16" x14ac:dyDescent="0.2">
      <c r="A46" s="14"/>
      <c r="B46" s="14"/>
      <c r="C46" s="14"/>
      <c r="D46" s="14"/>
      <c r="E46" s="14"/>
      <c r="F46" s="14"/>
      <c r="G46" s="14"/>
      <c r="H46" s="14"/>
      <c r="J46" s="14"/>
      <c r="K46" s="14"/>
      <c r="L46" s="14"/>
      <c r="M46" s="14"/>
      <c r="N46" s="41"/>
      <c r="O46" s="14"/>
      <c r="P46" s="13"/>
      <c r="Q46" s="13"/>
      <c r="R46" s="13"/>
    </row>
    <row r="47" spans="1:48" x14ac:dyDescent="0.2">
      <c r="A47" s="44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3"/>
      <c r="Q47" s="50"/>
      <c r="R47" s="42"/>
      <c r="S47" s="42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42"/>
      <c r="AI47" s="42"/>
      <c r="AJ47" s="51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50"/>
      <c r="S48" s="42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42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x14ac:dyDescent="0.2">
      <c r="A49" s="50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50"/>
      <c r="S49" s="42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42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x14ac:dyDescent="0.2">
      <c r="A50" s="50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50"/>
      <c r="S50" s="42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42"/>
      <c r="AJ50" s="51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x14ac:dyDescent="0.2">
      <c r="A51" s="5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50"/>
      <c r="S51" s="4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42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x14ac:dyDescent="0.2">
      <c r="A52" s="50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50"/>
      <c r="S52" s="42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42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x14ac:dyDescent="0.2">
      <c r="A53" s="50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50"/>
      <c r="S53" s="42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42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x14ac:dyDescent="0.2">
      <c r="A54" s="50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50"/>
      <c r="S54" s="42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42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x14ac:dyDescent="0.2">
      <c r="A55" s="50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50"/>
      <c r="S55" s="42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42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x14ac:dyDescent="0.2">
      <c r="A56" s="50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50"/>
      <c r="S56" s="42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42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ht="16" x14ac:dyDescent="0.2">
      <c r="A57" s="13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13"/>
      <c r="S57" s="13"/>
      <c r="T57" s="14"/>
      <c r="U57" s="32"/>
    </row>
    <row r="58" spans="1:48" ht="16" x14ac:dyDescent="0.2">
      <c r="A58" s="13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13"/>
      <c r="S58" s="13"/>
      <c r="T58" s="14"/>
      <c r="U58" s="32"/>
    </row>
    <row r="59" spans="1:48" ht="16" x14ac:dyDescent="0.2">
      <c r="A59" s="13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13"/>
      <c r="S59" s="13"/>
      <c r="T59" s="14"/>
      <c r="U59" s="32"/>
    </row>
    <row r="60" spans="1:48" ht="16" x14ac:dyDescent="0.2">
      <c r="A60" s="10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13"/>
      <c r="S60" s="13"/>
      <c r="T60" s="14"/>
      <c r="U60" s="32"/>
    </row>
    <row r="61" spans="1:48" ht="16" x14ac:dyDescent="0.2">
      <c r="A61" s="13"/>
      <c r="B61" s="13"/>
      <c r="C61" s="13"/>
      <c r="D61" s="13"/>
      <c r="E61" s="13"/>
      <c r="F61" s="50"/>
      <c r="G61" s="50"/>
      <c r="H61" s="13"/>
      <c r="I61" s="43"/>
      <c r="J61" s="50"/>
      <c r="K61" s="14"/>
      <c r="L61" s="14"/>
      <c r="M61" s="14"/>
      <c r="N61" s="31"/>
      <c r="O61" s="13"/>
      <c r="P61" s="14"/>
      <c r="Q61" s="19"/>
      <c r="R61" s="13"/>
      <c r="S61" s="13"/>
      <c r="T61" s="33"/>
      <c r="U61" s="34"/>
    </row>
    <row r="62" spans="1:48" x14ac:dyDescent="0.2">
      <c r="A62" s="13"/>
      <c r="B62" s="13"/>
      <c r="C62" s="13"/>
      <c r="D62" s="13"/>
      <c r="E62" s="13"/>
      <c r="F62" s="50"/>
      <c r="G62" s="50"/>
      <c r="H62" s="13"/>
      <c r="I62" s="43"/>
      <c r="J62" s="50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</row>
    <row r="63" spans="1:48" x14ac:dyDescent="0.2">
      <c r="A63" s="13"/>
      <c r="B63" s="35"/>
      <c r="C63" s="35"/>
      <c r="D63" s="35"/>
      <c r="E63" s="35"/>
      <c r="F63" s="35"/>
      <c r="G63" s="35"/>
      <c r="H63" s="35"/>
      <c r="I63" s="3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</row>
    <row r="64" spans="1:48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</row>
    <row r="65" spans="1:21" ht="16" x14ac:dyDescent="0.2">
      <c r="A65" s="13"/>
      <c r="B65" s="14"/>
      <c r="C65" s="13"/>
      <c r="D65" s="14"/>
      <c r="E65" s="52"/>
      <c r="F65" s="52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</row>
    <row r="66" spans="1:21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</row>
    <row r="67" spans="1:21" ht="16" x14ac:dyDescent="0.2">
      <c r="A67" s="50"/>
      <c r="B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</row>
    <row r="68" spans="1:21" ht="16" x14ac:dyDescent="0.2">
      <c r="D68" s="27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</row>
    <row r="69" spans="1:21" ht="16" x14ac:dyDescent="0.2"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</row>
    <row r="70" spans="1:21" ht="16" x14ac:dyDescent="0.2">
      <c r="A70" s="13"/>
      <c r="B70" s="33"/>
      <c r="C70" s="10"/>
      <c r="D70" s="10"/>
      <c r="E70" s="14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</row>
    <row r="71" spans="1:21" x14ac:dyDescent="0.2">
      <c r="C71" s="53"/>
      <c r="D71" s="53"/>
      <c r="E71" s="14"/>
    </row>
    <row r="72" spans="1:21" x14ac:dyDescent="0.2">
      <c r="E72" s="14"/>
    </row>
    <row r="73" spans="1:21" x14ac:dyDescent="0.2">
      <c r="E73" s="14"/>
    </row>
    <row r="74" spans="1:21" x14ac:dyDescent="0.2">
      <c r="D74" s="27"/>
      <c r="E74" s="27"/>
      <c r="F74" s="27"/>
    </row>
  </sheetData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6" width="8.83203125" style="1"/>
    <col min="7" max="7" width="12.83203125" style="1" bestFit="1" customWidth="1"/>
    <col min="8" max="11" width="8.83203125" style="1"/>
    <col min="12" max="13" width="5.6640625" style="1" customWidth="1"/>
    <col min="14" max="14" width="8.83203125" style="1"/>
    <col min="15" max="15" width="24" style="1" bestFit="1" customWidth="1"/>
    <col min="16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34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1183</v>
      </c>
    </row>
    <row r="6" spans="1:35" x14ac:dyDescent="0.2">
      <c r="A6" s="2" t="s">
        <v>2</v>
      </c>
      <c r="B6" s="5">
        <v>10569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18166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4">
        <v>10773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29"/>
      <c r="U9" s="5"/>
      <c r="V9" s="5"/>
      <c r="W9" s="5"/>
      <c r="X9" s="5"/>
      <c r="Y9" s="29"/>
      <c r="Z9" s="5"/>
      <c r="AA9" s="5"/>
      <c r="AB9" s="5"/>
      <c r="AC9" s="5"/>
      <c r="AD9" s="5"/>
      <c r="AE9" s="5"/>
      <c r="AF9" s="5"/>
      <c r="AG9" s="29"/>
    </row>
    <row r="10" spans="1:35" x14ac:dyDescent="0.2">
      <c r="A10" s="2" t="s">
        <v>5</v>
      </c>
      <c r="B10" s="54">
        <f>SUM(B6:B9)</f>
        <v>39508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29"/>
      <c r="U10" s="5"/>
      <c r="V10" s="5"/>
      <c r="W10" s="5"/>
      <c r="X10" s="5"/>
      <c r="Y10" s="29"/>
      <c r="Z10" s="5"/>
      <c r="AA10" s="5"/>
      <c r="AB10" s="5"/>
      <c r="AC10" s="5"/>
      <c r="AD10" s="5"/>
      <c r="AE10" s="5"/>
      <c r="AF10" s="5"/>
      <c r="AG10" s="29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158763</v>
      </c>
      <c r="C17" s="5">
        <v>0</v>
      </c>
      <c r="D17" s="5">
        <v>0</v>
      </c>
      <c r="E17" s="5">
        <v>1074</v>
      </c>
      <c r="F17" s="5">
        <v>1346</v>
      </c>
      <c r="G17" s="5">
        <v>175088</v>
      </c>
      <c r="H17" s="5">
        <v>509</v>
      </c>
      <c r="I17" s="5"/>
      <c r="J17" s="5"/>
      <c r="K17" s="5"/>
      <c r="L17" s="5"/>
      <c r="M17" s="5"/>
      <c r="N17" s="5">
        <f>303*1.015</f>
        <v>307.54499999999996</v>
      </c>
      <c r="O17" s="5">
        <f>SUM(C17:N17)</f>
        <v>178324.54500000001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7">
        <v>10600</v>
      </c>
      <c r="C18" s="5">
        <v>30</v>
      </c>
      <c r="D18" s="5">
        <v>0</v>
      </c>
      <c r="E18" s="5">
        <v>0</v>
      </c>
      <c r="F18" s="5">
        <v>0</v>
      </c>
      <c r="G18" s="57">
        <v>12443</v>
      </c>
      <c r="H18" s="5">
        <v>0</v>
      </c>
      <c r="I18" s="5"/>
      <c r="J18" s="5"/>
      <c r="K18" s="5"/>
      <c r="L18" s="5"/>
      <c r="M18" s="5"/>
      <c r="O18" s="65">
        <f>SUM(C18:N18)</f>
        <v>12473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245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1172.805625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7">
        <f>SUM(B17:B22)</f>
        <v>169608</v>
      </c>
      <c r="C23" s="5">
        <v>30</v>
      </c>
      <c r="D23" s="5">
        <v>0</v>
      </c>
      <c r="E23" s="5">
        <v>1074</v>
      </c>
      <c r="F23" s="5">
        <v>1346</v>
      </c>
      <c r="G23" s="57">
        <f>SUM(G17:G22)</f>
        <v>187531</v>
      </c>
      <c r="H23" s="5">
        <v>509</v>
      </c>
      <c r="I23" s="5"/>
      <c r="J23" s="5"/>
      <c r="K23" s="5"/>
      <c r="L23" s="5"/>
      <c r="M23" s="5"/>
      <c r="N23" s="5">
        <f>SUM(N17:N22)</f>
        <v>307.54499999999996</v>
      </c>
      <c r="O23" s="65">
        <f>SUM(O17:O22)</f>
        <v>190797.54500000001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428.19262500000002</v>
      </c>
      <c r="U24" s="19">
        <f>N43</f>
        <v>0.36510110104562299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>
        <f>B17+B19+B21+B22</f>
        <v>159008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278.5</v>
      </c>
      <c r="U25" s="20">
        <f>G43</f>
        <v>0.23746475465616904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>
        <f>B17+B22+B6</f>
        <v>169332</v>
      </c>
      <c r="C26" s="62">
        <f>B26/F26</f>
        <v>0.95394010410798391</v>
      </c>
      <c r="D26" s="27"/>
      <c r="E26" s="27"/>
      <c r="F26" s="27">
        <f>G17+F17+E17+G6</f>
        <v>177508</v>
      </c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33.758000000000003</v>
      </c>
      <c r="U27" s="19">
        <f>F43</f>
        <v>2.8783968357928024E-2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29.148</v>
      </c>
      <c r="U28" s="19">
        <f>E43</f>
        <v>2.485322322699467E-2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8353</v>
      </c>
      <c r="D31" s="5">
        <v>0</v>
      </c>
      <c r="E31" s="5">
        <v>0</v>
      </c>
      <c r="F31" s="5">
        <v>861</v>
      </c>
      <c r="G31" s="5">
        <v>0</v>
      </c>
      <c r="H31" s="5">
        <v>0</v>
      </c>
      <c r="I31" s="5"/>
      <c r="J31" s="5"/>
      <c r="K31" s="5"/>
      <c r="L31" s="5"/>
      <c r="N31" s="5">
        <v>16472</v>
      </c>
      <c r="O31" s="5">
        <v>25687</v>
      </c>
      <c r="P31" s="9">
        <f>O31/O$39</f>
        <v>2.3110939165875668E-2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66">
        <f>B39-SUM(B33:B38)</f>
        <v>16416</v>
      </c>
      <c r="C32" s="5">
        <v>11337</v>
      </c>
      <c r="D32" s="5">
        <v>0</v>
      </c>
      <c r="E32" s="5">
        <v>28074</v>
      </c>
      <c r="F32" s="5">
        <v>0</v>
      </c>
      <c r="G32" s="54">
        <f>G39-G36</f>
        <v>15069</v>
      </c>
      <c r="H32" s="5">
        <v>0</v>
      </c>
      <c r="I32" s="5"/>
      <c r="J32" s="5"/>
      <c r="K32" s="5"/>
      <c r="L32" s="5"/>
      <c r="N32" s="5">
        <v>165480</v>
      </c>
      <c r="O32" s="72">
        <f>SUM(B32:N32)</f>
        <v>236376</v>
      </c>
      <c r="P32" s="9">
        <f>O32/O$39</f>
        <v>0.21267066439339072</v>
      </c>
      <c r="Q32" s="23" t="s">
        <v>54</v>
      </c>
      <c r="R32" s="16"/>
      <c r="S32" s="16" t="s">
        <v>37</v>
      </c>
      <c r="T32" s="18">
        <f>H42/1000</f>
        <v>0.50900000000000001</v>
      </c>
      <c r="U32" s="19">
        <f>H43</f>
        <v>4.3400201120283679E-4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31510</v>
      </c>
      <c r="C33" s="5">
        <v>401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43017</v>
      </c>
      <c r="O33" s="5">
        <v>74928</v>
      </c>
      <c r="P33" s="9">
        <f>O33/O$39</f>
        <v>6.7413728727400327E-2</v>
      </c>
      <c r="Q33" s="23" t="s">
        <v>55</v>
      </c>
      <c r="R33" s="16"/>
      <c r="S33" s="16" t="s">
        <v>58</v>
      </c>
      <c r="T33" s="18">
        <f>C42/1000</f>
        <v>402.69799999999998</v>
      </c>
      <c r="U33" s="20">
        <f>C43</f>
        <v>0.34336295070208245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378725</v>
      </c>
      <c r="D34" s="5">
        <v>0</v>
      </c>
      <c r="E34" s="5">
        <v>0</v>
      </c>
      <c r="F34" s="5">
        <v>31550</v>
      </c>
      <c r="G34" s="5">
        <v>0</v>
      </c>
      <c r="H34" s="5">
        <v>0</v>
      </c>
      <c r="I34" s="5"/>
      <c r="J34" s="5"/>
      <c r="K34" s="5"/>
      <c r="L34" s="5"/>
      <c r="N34" s="5">
        <v>1836</v>
      </c>
      <c r="O34" s="5">
        <v>412111</v>
      </c>
      <c r="P34" s="9">
        <f>O34/O$39</f>
        <v>0.37078180599479066</v>
      </c>
      <c r="Q34" s="23" t="s">
        <v>56</v>
      </c>
      <c r="R34" s="16"/>
      <c r="S34" s="16"/>
      <c r="T34" s="18">
        <f>SUM(T24:T33)</f>
        <v>1172.805625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22869</v>
      </c>
      <c r="C35" s="5">
        <v>2258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67555</v>
      </c>
      <c r="O35" s="5">
        <v>92682</v>
      </c>
      <c r="P35" s="9">
        <f>O35/O$39</f>
        <v>8.3387241163689368E-2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16792</v>
      </c>
      <c r="C36" s="5">
        <v>1365</v>
      </c>
      <c r="D36" s="5">
        <v>0</v>
      </c>
      <c r="E36" s="5">
        <v>0</v>
      </c>
      <c r="F36" s="5">
        <v>0</v>
      </c>
      <c r="G36" s="54">
        <v>75900</v>
      </c>
      <c r="H36" s="5">
        <v>0</v>
      </c>
      <c r="I36" s="5"/>
      <c r="J36" s="5"/>
      <c r="K36" s="5"/>
      <c r="L36" s="5"/>
      <c r="N36" s="54">
        <f>O36-SUM(B36:M36)</f>
        <v>91707</v>
      </c>
      <c r="O36" s="5">
        <v>185764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63779</v>
      </c>
      <c r="C37" s="5">
        <v>229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13304</v>
      </c>
      <c r="O37" s="5">
        <v>77312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6605</v>
      </c>
      <c r="O38" s="5">
        <v>6605</v>
      </c>
      <c r="P38" s="23">
        <f>SUM(P31:P35)</f>
        <v>0.75736437944514678</v>
      </c>
      <c r="Q38" s="23"/>
      <c r="R38" s="16"/>
      <c r="S38" s="13" t="s">
        <v>22</v>
      </c>
      <c r="T38" s="24">
        <f>O45/1000</f>
        <v>50.720080000000003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65">
        <v>151366</v>
      </c>
      <c r="C39" s="5">
        <v>402668</v>
      </c>
      <c r="D39" s="5">
        <v>0</v>
      </c>
      <c r="E39" s="5">
        <v>28074</v>
      </c>
      <c r="F39" s="5">
        <v>32412</v>
      </c>
      <c r="G39" s="5">
        <v>90969</v>
      </c>
      <c r="H39" s="5">
        <v>0</v>
      </c>
      <c r="I39" s="5"/>
      <c r="J39" s="5"/>
      <c r="K39" s="5"/>
      <c r="L39" s="5"/>
      <c r="N39" s="54">
        <f>SUM(N31:N38)</f>
        <v>405976</v>
      </c>
      <c r="O39" s="5">
        <f>SUM(O31:O38)</f>
        <v>1111465</v>
      </c>
      <c r="P39" s="16"/>
      <c r="Q39" s="16"/>
      <c r="R39" s="16"/>
      <c r="S39" s="13" t="s">
        <v>63</v>
      </c>
      <c r="T39" s="25">
        <f>O41/1000</f>
        <v>269.68099999999998</v>
      </c>
      <c r="U39" s="19">
        <f>P41</f>
        <v>0.24263562055485327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92.682000000000002</v>
      </c>
      <c r="U40" s="20">
        <f>P35</f>
        <v>8.3387241163689368E-2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80571</v>
      </c>
      <c r="C41" s="8">
        <f t="shared" ref="C41:O41" si="0">C38+C37+C36</f>
        <v>1594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75900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111616</v>
      </c>
      <c r="O41" s="8">
        <f t="shared" si="0"/>
        <v>269681</v>
      </c>
      <c r="P41" s="9">
        <f>O41/O$39</f>
        <v>0.24263562055485327</v>
      </c>
      <c r="Q41" s="9" t="s">
        <v>60</v>
      </c>
      <c r="R41" s="13"/>
      <c r="S41" s="13" t="s">
        <v>66</v>
      </c>
      <c r="T41" s="25">
        <f>O33/1000</f>
        <v>74.927999999999997</v>
      </c>
      <c r="U41" s="19">
        <f>P33</f>
        <v>6.7413728727400327E-2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402698</v>
      </c>
      <c r="D42" s="11">
        <f t="shared" ref="D42:M42" si="1">D39+D23+D10</f>
        <v>0</v>
      </c>
      <c r="E42" s="11">
        <f t="shared" si="1"/>
        <v>29148</v>
      </c>
      <c r="F42" s="11">
        <f t="shared" si="1"/>
        <v>33758</v>
      </c>
      <c r="G42" s="11">
        <f>G39+G23+G10</f>
        <v>278500</v>
      </c>
      <c r="H42" s="11">
        <f t="shared" si="1"/>
        <v>509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428192.625</v>
      </c>
      <c r="O42" s="12">
        <f>SUM(C42:N42)</f>
        <v>1172805.625</v>
      </c>
      <c r="P42" s="13"/>
      <c r="Q42" s="13"/>
      <c r="R42" s="13"/>
      <c r="S42" s="13" t="s">
        <v>53</v>
      </c>
      <c r="T42" s="25">
        <f>O31/1000</f>
        <v>25.687000000000001</v>
      </c>
      <c r="U42" s="19">
        <f>P31</f>
        <v>2.3110939165875668E-2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0.34336295070208245</v>
      </c>
      <c r="D43" s="9">
        <f t="shared" si="2"/>
        <v>0</v>
      </c>
      <c r="E43" s="9">
        <f t="shared" si="2"/>
        <v>2.485322322699467E-2</v>
      </c>
      <c r="F43" s="9">
        <f t="shared" si="2"/>
        <v>2.8783968357928024E-2</v>
      </c>
      <c r="G43" s="9">
        <f t="shared" si="2"/>
        <v>0.23746475465616904</v>
      </c>
      <c r="H43" s="9">
        <f t="shared" si="2"/>
        <v>4.3400201120283679E-4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0.36510110104562299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236.376</v>
      </c>
      <c r="U43" s="20">
        <f>P32</f>
        <v>0.21267066439339072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412.11099999999999</v>
      </c>
      <c r="U44" s="20">
        <f>P34</f>
        <v>0.37078180599479066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18242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32478.080000000002</v>
      </c>
      <c r="O45" s="12">
        <f>B45+N45</f>
        <v>50720.08</v>
      </c>
      <c r="P45" s="13"/>
      <c r="Q45" s="13"/>
      <c r="R45" s="13"/>
      <c r="S45" s="13" t="s">
        <v>69</v>
      </c>
      <c r="T45" s="25">
        <f>SUM(T39:T44)</f>
        <v>1111.4650000000001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N47" s="5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30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426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155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29"/>
      <c r="U9" s="29"/>
      <c r="V9" s="5"/>
      <c r="W9" s="29"/>
      <c r="X9" s="5"/>
      <c r="Y9" s="29"/>
      <c r="Z9" s="5"/>
      <c r="AA9" s="5"/>
      <c r="AB9" s="5"/>
      <c r="AC9" s="5"/>
      <c r="AD9" s="5"/>
      <c r="AE9" s="5"/>
      <c r="AF9" s="5"/>
      <c r="AG9" s="29"/>
    </row>
    <row r="10" spans="1:35" x14ac:dyDescent="0.2">
      <c r="A10" s="2" t="s">
        <v>5</v>
      </c>
      <c r="B10" s="5">
        <v>155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29"/>
      <c r="U10" s="29"/>
      <c r="V10" s="5"/>
      <c r="W10" s="29"/>
      <c r="X10" s="5"/>
      <c r="Y10" s="29"/>
      <c r="Z10" s="5"/>
      <c r="AA10" s="5"/>
      <c r="AB10" s="5"/>
      <c r="AC10" s="5"/>
      <c r="AD10" s="5"/>
      <c r="AE10" s="5"/>
      <c r="AF10" s="5"/>
      <c r="AG10" s="29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7">
        <v>52000</v>
      </c>
      <c r="C18" s="57">
        <v>300</v>
      </c>
      <c r="D18" s="5">
        <v>0</v>
      </c>
      <c r="E18" s="57">
        <v>1200</v>
      </c>
      <c r="F18" s="5">
        <v>0</v>
      </c>
      <c r="G18" s="57">
        <v>55800</v>
      </c>
      <c r="H18" s="5">
        <v>0</v>
      </c>
      <c r="I18" s="5"/>
      <c r="J18" s="5"/>
      <c r="K18" s="5"/>
      <c r="L18" s="5"/>
      <c r="M18" s="5"/>
      <c r="N18" s="5"/>
      <c r="O18" s="29">
        <f>SUM(C18:N18)</f>
        <v>57300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346.39859999999999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29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7">
        <f>SUM(B17:B22)</f>
        <v>52000</v>
      </c>
      <c r="C23" s="57">
        <f>SUM(C17:C22)</f>
        <v>300</v>
      </c>
      <c r="D23" s="5">
        <v>0</v>
      </c>
      <c r="E23" s="57">
        <f>SUM(E17:E22)</f>
        <v>1200</v>
      </c>
      <c r="F23" s="5">
        <v>0</v>
      </c>
      <c r="G23" s="57">
        <f>SUM(G17:G22)</f>
        <v>55800</v>
      </c>
      <c r="H23" s="5">
        <v>0</v>
      </c>
      <c r="I23" s="5"/>
      <c r="J23" s="5"/>
      <c r="K23" s="5"/>
      <c r="L23" s="5"/>
      <c r="M23" s="5"/>
      <c r="N23" s="5"/>
      <c r="O23" s="57">
        <f>SUM(O17:O22)</f>
        <v>57300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134.42760000000001</v>
      </c>
      <c r="U24" s="19">
        <f>N43</f>
        <v>0.38807200721942875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101.149</v>
      </c>
      <c r="U25" s="20">
        <f>G43</f>
        <v>0.29200175751287683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7.0019999999999998</v>
      </c>
      <c r="U27" s="19">
        <f>F43</f>
        <v>2.0213707561173747E-2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11.044</v>
      </c>
      <c r="U28" s="19">
        <f>E43</f>
        <v>3.1882345944816176E-2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9078</v>
      </c>
      <c r="D31" s="5">
        <v>0</v>
      </c>
      <c r="E31" s="5">
        <v>0</v>
      </c>
      <c r="F31" s="5">
        <v>940</v>
      </c>
      <c r="G31" s="5">
        <v>0</v>
      </c>
      <c r="H31" s="5">
        <v>0</v>
      </c>
      <c r="I31" s="5"/>
      <c r="J31" s="5"/>
      <c r="K31" s="5"/>
      <c r="L31" s="5"/>
      <c r="N31" s="54">
        <v>9050</v>
      </c>
      <c r="O31" s="54">
        <f>SUM(B31:N31)</f>
        <v>19068</v>
      </c>
      <c r="P31" s="9">
        <f>O31/O$39</f>
        <v>5.8826795994298728E-2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4">
        <v>11981</v>
      </c>
      <c r="C32" s="5">
        <v>5896</v>
      </c>
      <c r="D32" s="5">
        <v>0</v>
      </c>
      <c r="E32" s="54">
        <f>E39</f>
        <v>9844</v>
      </c>
      <c r="F32" s="5">
        <v>0</v>
      </c>
      <c r="G32" s="5">
        <v>3052</v>
      </c>
      <c r="H32" s="5">
        <v>0</v>
      </c>
      <c r="I32" s="5"/>
      <c r="J32" s="5"/>
      <c r="K32" s="5"/>
      <c r="L32" s="5"/>
      <c r="N32" s="54">
        <f>O32-G32-E32-C32-B32</f>
        <v>49666</v>
      </c>
      <c r="O32" s="5">
        <v>80439</v>
      </c>
      <c r="P32" s="9">
        <f>O32/O$39</f>
        <v>0.24816281953982564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4">
        <v>6358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4">
        <v>15208</v>
      </c>
      <c r="O33" s="54">
        <f>SUM(B33:N33)</f>
        <v>21566</v>
      </c>
      <c r="P33" s="9">
        <f>O33/O$39</f>
        <v>6.6533390099278708E-2</v>
      </c>
      <c r="Q33" s="23" t="s">
        <v>55</v>
      </c>
      <c r="R33" s="16"/>
      <c r="S33" s="16" t="s">
        <v>58</v>
      </c>
      <c r="T33" s="18">
        <f>C42/1000</f>
        <v>92.775999999999996</v>
      </c>
      <c r="U33" s="20">
        <f>C43</f>
        <v>0.26783018176170459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4">
        <f>O34-N34-F34</f>
        <v>76469</v>
      </c>
      <c r="D34" s="5">
        <v>0</v>
      </c>
      <c r="E34" s="5">
        <v>0</v>
      </c>
      <c r="F34" s="5">
        <v>6063</v>
      </c>
      <c r="G34" s="5">
        <v>0</v>
      </c>
      <c r="H34" s="5">
        <v>0</v>
      </c>
      <c r="I34" s="5"/>
      <c r="J34" s="5"/>
      <c r="K34" s="5"/>
      <c r="L34" s="5"/>
      <c r="N34" s="54">
        <v>53</v>
      </c>
      <c r="O34" s="5">
        <v>82585</v>
      </c>
      <c r="P34" s="9">
        <f>O34/O$39</f>
        <v>0.25478345642905181</v>
      </c>
      <c r="Q34" s="23" t="s">
        <v>56</v>
      </c>
      <c r="R34" s="16"/>
      <c r="S34" s="16"/>
      <c r="T34" s="18">
        <f>SUM(T24:T33)</f>
        <v>346.39860000000004</v>
      </c>
      <c r="U34" s="19">
        <f>SUM(U24:U33)</f>
        <v>1.0000000000000002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4">
        <v>6358</v>
      </c>
      <c r="C35" s="54">
        <v>900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4">
        <f>O35-C35-B35</f>
        <v>11504</v>
      </c>
      <c r="O35" s="5">
        <v>18762</v>
      </c>
      <c r="P35" s="9">
        <f>O35/O$39</f>
        <v>5.7882753641967308E-2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7">
        <v>7200</v>
      </c>
      <c r="C36" s="54">
        <v>133</v>
      </c>
      <c r="D36" s="5">
        <v>0</v>
      </c>
      <c r="E36" s="5">
        <v>0</v>
      </c>
      <c r="F36" s="5">
        <v>0</v>
      </c>
      <c r="G36" s="5">
        <v>42296</v>
      </c>
      <c r="H36" s="5">
        <v>0</v>
      </c>
      <c r="I36" s="5"/>
      <c r="J36" s="5"/>
      <c r="K36" s="5"/>
      <c r="L36" s="5"/>
      <c r="N36" s="54">
        <f>O36-G36-C36-B36</f>
        <v>32758</v>
      </c>
      <c r="O36" s="5">
        <v>82387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7">
        <v>13100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4">
        <f>N39-N38-SUM(N31:N36)</f>
        <v>4126</v>
      </c>
      <c r="O37" s="54">
        <f>SUM(B37:N37)</f>
        <v>17226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4">
        <v>2105</v>
      </c>
      <c r="O38" s="54">
        <f>SUM(B38:N38)</f>
        <v>2105</v>
      </c>
      <c r="P38" s="23">
        <f>SUM(P31:P35)</f>
        <v>0.68618921570442215</v>
      </c>
      <c r="Q38" s="23"/>
      <c r="R38" s="16"/>
      <c r="S38" s="13" t="s">
        <v>22</v>
      </c>
      <c r="T38" s="24">
        <f>O45/1000</f>
        <v>16.960599999999999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44997</v>
      </c>
      <c r="C39" s="54">
        <f>SUM(C31:C38)</f>
        <v>92476</v>
      </c>
      <c r="D39" s="5">
        <v>0</v>
      </c>
      <c r="E39" s="54">
        <f>O39-N39-G39-F39-C39-B39</f>
        <v>9844</v>
      </c>
      <c r="F39" s="5">
        <v>7002</v>
      </c>
      <c r="G39" s="5">
        <v>45349</v>
      </c>
      <c r="H39" s="5">
        <v>0</v>
      </c>
      <c r="I39" s="5"/>
      <c r="J39" s="5"/>
      <c r="K39" s="5"/>
      <c r="L39" s="5"/>
      <c r="N39" s="5">
        <v>124470</v>
      </c>
      <c r="O39" s="5">
        <v>324138</v>
      </c>
      <c r="P39" s="16"/>
      <c r="Q39" s="16"/>
      <c r="R39" s="16"/>
      <c r="S39" s="13" t="s">
        <v>63</v>
      </c>
      <c r="T39" s="25">
        <f>O41/1000</f>
        <v>101.718</v>
      </c>
      <c r="U39" s="19">
        <f>P41</f>
        <v>0.31381078429557779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7"/>
      <c r="O40" s="27"/>
      <c r="P40" s="21"/>
      <c r="Q40" s="21"/>
      <c r="R40" s="21"/>
      <c r="S40" s="13" t="s">
        <v>65</v>
      </c>
      <c r="T40" s="25">
        <f>O35/1000</f>
        <v>18.762</v>
      </c>
      <c r="U40" s="20">
        <f>P35</f>
        <v>5.7882753641967308E-2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20300</v>
      </c>
      <c r="C41" s="8">
        <f t="shared" ref="C41:O41" si="0">C38+C37+C36</f>
        <v>133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42296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38989</v>
      </c>
      <c r="O41" s="8">
        <f t="shared" si="0"/>
        <v>101718</v>
      </c>
      <c r="P41" s="9">
        <f>O41/O$39</f>
        <v>0.31381078429557779</v>
      </c>
      <c r="Q41" s="9" t="s">
        <v>60</v>
      </c>
      <c r="R41" s="13"/>
      <c r="S41" s="13" t="s">
        <v>66</v>
      </c>
      <c r="T41" s="25">
        <f>O33/1000</f>
        <v>21.565999999999999</v>
      </c>
      <c r="U41" s="19">
        <f>P33</f>
        <v>6.6533390099278708E-2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92776</v>
      </c>
      <c r="D42" s="11">
        <f t="shared" ref="D42:M42" si="1">D39+D23+D10</f>
        <v>0</v>
      </c>
      <c r="E42" s="11">
        <f t="shared" si="1"/>
        <v>11044</v>
      </c>
      <c r="F42" s="11">
        <f t="shared" si="1"/>
        <v>7002</v>
      </c>
      <c r="G42" s="11">
        <f t="shared" si="1"/>
        <v>101149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134427.6</v>
      </c>
      <c r="O42" s="12">
        <f>SUM(C42:N42)</f>
        <v>346398.6</v>
      </c>
      <c r="P42" s="13"/>
      <c r="Q42" s="13"/>
      <c r="R42" s="13"/>
      <c r="S42" s="13" t="s">
        <v>53</v>
      </c>
      <c r="T42" s="25">
        <f>O31/1000</f>
        <v>19.068000000000001</v>
      </c>
      <c r="U42" s="19">
        <f>P31</f>
        <v>5.8826795994298728E-2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0.26783018176170459</v>
      </c>
      <c r="D43" s="9">
        <f t="shared" si="2"/>
        <v>0</v>
      </c>
      <c r="E43" s="9">
        <f t="shared" si="2"/>
        <v>3.1882345944816176E-2</v>
      </c>
      <c r="F43" s="9">
        <f t="shared" si="2"/>
        <v>2.0213707561173747E-2</v>
      </c>
      <c r="G43" s="9">
        <f t="shared" si="2"/>
        <v>0.29200175751287683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0.38807200721942875</v>
      </c>
      <c r="O43" s="9">
        <f>SUM(C43:N43)</f>
        <v>1.0000000000000002</v>
      </c>
      <c r="P43" s="13"/>
      <c r="Q43" s="13"/>
      <c r="R43" s="13"/>
      <c r="S43" s="13" t="s">
        <v>67</v>
      </c>
      <c r="T43" s="25">
        <f>O32/1000</f>
        <v>80.438999999999993</v>
      </c>
      <c r="U43" s="20">
        <f>P32</f>
        <v>0.24816281953982564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82.584999999999994</v>
      </c>
      <c r="U44" s="20">
        <f>P34</f>
        <v>0.25478345642905181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7003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9957.6</v>
      </c>
      <c r="O45" s="12">
        <f>B45+N45</f>
        <v>16960.599999999999</v>
      </c>
      <c r="P45" s="13"/>
      <c r="Q45" s="13"/>
      <c r="R45" s="13"/>
      <c r="S45" s="13" t="s">
        <v>69</v>
      </c>
      <c r="T45" s="25">
        <f>SUM(T39:T44)</f>
        <v>324.13799999999998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59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56"/>
      <c r="D50" s="56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55"/>
      <c r="C51" s="3"/>
      <c r="D51" s="4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55"/>
      <c r="C52" s="3"/>
      <c r="D52" s="4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55"/>
      <c r="C53" s="3"/>
      <c r="D53" s="4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55"/>
      <c r="C54" s="3"/>
      <c r="D54" s="4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55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55"/>
      <c r="C56" s="55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69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69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69"/>
      <c r="B66" s="14"/>
      <c r="C66" s="35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0" sqref="U30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2" width="7.6640625" style="1" customWidth="1"/>
    <col min="13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33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812</v>
      </c>
    </row>
    <row r="6" spans="1:35" x14ac:dyDescent="0.2">
      <c r="A6" s="2" t="s">
        <v>2</v>
      </c>
      <c r="B6" s="57">
        <v>14600</v>
      </c>
      <c r="C6" s="5">
        <v>0</v>
      </c>
      <c r="D6" s="29">
        <v>0</v>
      </c>
      <c r="E6" s="5">
        <v>0</v>
      </c>
      <c r="F6" s="5">
        <v>0</v>
      </c>
      <c r="G6" s="29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f>B10-B9-B6</f>
        <v>32863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482947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29"/>
      <c r="U9" s="29"/>
      <c r="V9" s="29"/>
      <c r="W9" s="5"/>
      <c r="X9" s="5"/>
      <c r="Y9" s="29"/>
      <c r="Z9" s="29"/>
      <c r="AA9" s="29"/>
      <c r="AB9" s="29"/>
      <c r="AC9" s="29"/>
      <c r="AD9" s="29"/>
      <c r="AE9" s="29"/>
      <c r="AF9" s="29"/>
      <c r="AG9" s="5"/>
    </row>
    <row r="10" spans="1:35" x14ac:dyDescent="0.2">
      <c r="A10" s="2" t="s">
        <v>5</v>
      </c>
      <c r="B10" s="5">
        <v>530410</v>
      </c>
      <c r="C10" s="5">
        <v>0</v>
      </c>
      <c r="D10" s="29">
        <v>0</v>
      </c>
      <c r="E10" s="5">
        <v>0</v>
      </c>
      <c r="F10" s="5">
        <v>0</v>
      </c>
      <c r="G10" s="29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29"/>
      <c r="U10" s="29"/>
      <c r="V10" s="29"/>
      <c r="W10" s="5"/>
      <c r="X10" s="5"/>
      <c r="Y10" s="29"/>
      <c r="Z10" s="29"/>
      <c r="AA10" s="29"/>
      <c r="AB10" s="29"/>
      <c r="AC10" s="29"/>
      <c r="AD10" s="29"/>
      <c r="AE10" s="29"/>
      <c r="AF10" s="29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52" t="s">
        <v>73</v>
      </c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29">
        <v>145700</v>
      </c>
      <c r="C17" s="57">
        <v>10700</v>
      </c>
      <c r="D17" s="29">
        <v>0</v>
      </c>
      <c r="E17" s="5">
        <v>0</v>
      </c>
      <c r="F17" s="5">
        <v>0</v>
      </c>
      <c r="G17" s="57">
        <v>47000</v>
      </c>
      <c r="H17" s="57">
        <v>1100</v>
      </c>
      <c r="I17" s="29"/>
      <c r="J17" s="29"/>
      <c r="K17" s="29"/>
      <c r="L17" s="57">
        <v>102700</v>
      </c>
      <c r="M17" s="29"/>
      <c r="N17" s="29"/>
      <c r="O17" s="65">
        <f>SUM(C17:N17)</f>
        <v>161500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10900</v>
      </c>
      <c r="C18" s="65">
        <v>500</v>
      </c>
      <c r="D18" s="5">
        <v>0</v>
      </c>
      <c r="E18" s="5">
        <v>0</v>
      </c>
      <c r="F18" s="5">
        <v>0</v>
      </c>
      <c r="G18" s="65">
        <f>7100+4900/0.95</f>
        <v>12257.894736842107</v>
      </c>
      <c r="H18" s="5">
        <v>0</v>
      </c>
      <c r="I18" s="5"/>
      <c r="J18" s="5"/>
      <c r="K18" s="5"/>
      <c r="L18" s="5"/>
      <c r="M18" s="5"/>
      <c r="N18" s="5"/>
      <c r="O18" s="65">
        <f>SUM(C18:N18)</f>
        <v>12757.894736842107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1105.482134736842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29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7">
        <f>SUM(B17:B22)</f>
        <v>156600</v>
      </c>
      <c r="C23" s="57">
        <f>SUM(C17:C22)</f>
        <v>11200</v>
      </c>
      <c r="D23" s="29">
        <v>0</v>
      </c>
      <c r="E23" s="5">
        <v>0</v>
      </c>
      <c r="F23" s="5">
        <v>0</v>
      </c>
      <c r="G23" s="57">
        <f>SUM(G17:G22)</f>
        <v>59257.894736842107</v>
      </c>
      <c r="H23" s="57">
        <f>SUM(H17:H22)</f>
        <v>1100</v>
      </c>
      <c r="I23" s="29"/>
      <c r="J23" s="29"/>
      <c r="K23" s="29"/>
      <c r="L23" s="57">
        <f>SUM(L17:L22)</f>
        <v>102700</v>
      </c>
      <c r="M23" s="29"/>
      <c r="N23" s="29"/>
      <c r="O23" s="57">
        <f>SUM(O17:O22)</f>
        <v>174257.89473684211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414.48723999999999</v>
      </c>
      <c r="U24" s="19">
        <f>N43</f>
        <v>0.37493798133487516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248.66589473684212</v>
      </c>
      <c r="U25" s="20">
        <f>G43</f>
        <v>0.22493886325538545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16.638000000000002</v>
      </c>
      <c r="U27" s="19">
        <f>F43</f>
        <v>1.5050446748251291E-2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45.08</v>
      </c>
      <c r="U28" s="19">
        <f>E43</f>
        <v>4.0778587535230691E-2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7" t="str">
        <f>L15</f>
        <v>RT-flis</v>
      </c>
      <c r="T29" s="21">
        <f>L42/1000</f>
        <v>102.7</v>
      </c>
      <c r="U29" s="22">
        <f>L43</f>
        <v>9.2900641966907546E-2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9633</v>
      </c>
      <c r="D31" s="5">
        <v>0</v>
      </c>
      <c r="E31" s="5">
        <v>0</v>
      </c>
      <c r="F31" s="5">
        <v>992</v>
      </c>
      <c r="G31" s="5">
        <v>0</v>
      </c>
      <c r="H31" s="5">
        <v>0</v>
      </c>
      <c r="I31" s="5"/>
      <c r="J31" s="5"/>
      <c r="K31" s="5"/>
      <c r="L31" s="5"/>
      <c r="N31" s="54">
        <v>20021</v>
      </c>
      <c r="O31" s="54">
        <f>SUM(B31:N31)</f>
        <v>30646</v>
      </c>
      <c r="P31" s="9">
        <f>O31/O$39</f>
        <v>2.9576113664307346E-2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4">
        <v>37713</v>
      </c>
      <c r="C32" s="5">
        <v>39597</v>
      </c>
      <c r="D32" s="5">
        <v>0</v>
      </c>
      <c r="E32" s="64">
        <v>45080</v>
      </c>
      <c r="F32" s="54">
        <v>476</v>
      </c>
      <c r="G32" s="5">
        <v>86997</v>
      </c>
      <c r="H32" s="5">
        <v>0</v>
      </c>
      <c r="I32" s="5"/>
      <c r="J32" s="5"/>
      <c r="K32" s="5"/>
      <c r="L32" s="5"/>
      <c r="N32" s="54">
        <f>O32-SUM(B32:H32)</f>
        <v>194444</v>
      </c>
      <c r="O32" s="5">
        <v>404307</v>
      </c>
      <c r="P32" s="9">
        <f>O32/O$39</f>
        <v>0.3901921877985744</v>
      </c>
      <c r="Q32" s="23" t="s">
        <v>54</v>
      </c>
      <c r="R32" s="16"/>
      <c r="S32" s="16" t="s">
        <v>37</v>
      </c>
      <c r="T32" s="18">
        <f>H42/1000</f>
        <v>1.1000000000000001</v>
      </c>
      <c r="U32" s="19">
        <f>H43</f>
        <v>9.9504095582861047E-4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4">
        <v>20463</v>
      </c>
      <c r="C33" s="5">
        <v>15190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4">
        <v>25044</v>
      </c>
      <c r="O33" s="54">
        <f>SUM(B33:N33)</f>
        <v>60697</v>
      </c>
      <c r="P33" s="9">
        <f>O33/O$39</f>
        <v>5.857799944796916E-2</v>
      </c>
      <c r="Q33" s="23" t="s">
        <v>55</v>
      </c>
      <c r="R33" s="16"/>
      <c r="S33" s="16" t="s">
        <v>58</v>
      </c>
      <c r="T33" s="18">
        <f>C42/1000</f>
        <v>276.81099999999998</v>
      </c>
      <c r="U33" s="20">
        <f>C43</f>
        <v>0.25039843820352137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198450</v>
      </c>
      <c r="D34" s="5">
        <v>0</v>
      </c>
      <c r="E34" s="5">
        <v>0</v>
      </c>
      <c r="F34" s="54">
        <f>O34-N34-C34</f>
        <v>15170</v>
      </c>
      <c r="G34" s="5">
        <v>0</v>
      </c>
      <c r="H34" s="5">
        <v>0</v>
      </c>
      <c r="I34" s="5"/>
      <c r="J34" s="5"/>
      <c r="K34" s="5"/>
      <c r="L34" s="5"/>
      <c r="N34" s="54">
        <v>357</v>
      </c>
      <c r="O34" s="5">
        <v>213977</v>
      </c>
      <c r="P34" s="9">
        <f>O34/O$39</f>
        <v>0.20650682221325761</v>
      </c>
      <c r="Q34" s="23" t="s">
        <v>56</v>
      </c>
      <c r="R34" s="16"/>
      <c r="S34" s="16"/>
      <c r="T34" s="18">
        <f>SUM(T24:T33)</f>
        <v>1105.4821347368422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4">
        <v>11758</v>
      </c>
      <c r="C35" s="54">
        <f>C39-C36-SUM(C31:C34)</f>
        <v>1841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4">
        <f>O35-C35-B35</f>
        <v>53037</v>
      </c>
      <c r="O35" s="5">
        <v>66636</v>
      </c>
      <c r="P35" s="9">
        <f>O35/O$39</f>
        <v>6.4309662276799073E-2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65">
        <v>19800</v>
      </c>
      <c r="C36" s="54">
        <v>900</v>
      </c>
      <c r="D36" s="5">
        <v>0</v>
      </c>
      <c r="E36" s="5">
        <v>0</v>
      </c>
      <c r="F36" s="5">
        <v>0</v>
      </c>
      <c r="G36" s="5">
        <v>102411</v>
      </c>
      <c r="H36" s="5">
        <v>0</v>
      </c>
      <c r="I36" s="5"/>
      <c r="J36" s="5"/>
      <c r="K36" s="5"/>
      <c r="L36" s="5"/>
      <c r="N36" s="54">
        <f>O36-G36-C36-B36</f>
        <v>75831</v>
      </c>
      <c r="O36" s="5">
        <v>198942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65">
        <v>32400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4">
        <f>N39-N38-SUM(N31:N36)</f>
        <v>24674</v>
      </c>
      <c r="O37" s="66">
        <f>SUM(B37:N37)</f>
        <v>57074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4">
        <v>3895</v>
      </c>
      <c r="O38" s="54">
        <f>SUM(B38:N38)</f>
        <v>3895</v>
      </c>
      <c r="P38" s="23">
        <f>SUM(P31:P35)</f>
        <v>0.74916278540090753</v>
      </c>
      <c r="Q38" s="23"/>
      <c r="R38" s="16"/>
      <c r="S38" s="13" t="s">
        <v>22</v>
      </c>
      <c r="T38" s="24">
        <f>O45/1000</f>
        <v>66.250240000000005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122134</v>
      </c>
      <c r="C39" s="5">
        <v>265611</v>
      </c>
      <c r="D39" s="5">
        <v>0</v>
      </c>
      <c r="E39" s="54">
        <f>SUM(E31:E38)</f>
        <v>45080</v>
      </c>
      <c r="F39" s="54">
        <f>SUM(F31:F38)</f>
        <v>16638</v>
      </c>
      <c r="G39" s="5">
        <v>189408</v>
      </c>
      <c r="H39" s="5">
        <v>0</v>
      </c>
      <c r="I39" s="5"/>
      <c r="J39" s="5"/>
      <c r="K39" s="5"/>
      <c r="L39" s="5"/>
      <c r="N39" s="5">
        <v>397303</v>
      </c>
      <c r="O39" s="5">
        <f>SUM(B39:N39)</f>
        <v>1036174</v>
      </c>
      <c r="P39" s="16"/>
      <c r="Q39" s="16"/>
      <c r="R39" s="16"/>
      <c r="S39" s="13" t="s">
        <v>63</v>
      </c>
      <c r="T39" s="25">
        <f>O41/1000</f>
        <v>259.911</v>
      </c>
      <c r="U39" s="19">
        <f>P41</f>
        <v>0.25083721459909242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7"/>
      <c r="O40" s="27"/>
      <c r="P40" s="21"/>
      <c r="Q40" s="21"/>
      <c r="R40" s="21"/>
      <c r="S40" s="13" t="s">
        <v>65</v>
      </c>
      <c r="T40" s="25">
        <f>O35/1000</f>
        <v>66.635999999999996</v>
      </c>
      <c r="U40" s="20">
        <f>P35</f>
        <v>6.4309662276799073E-2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52200</v>
      </c>
      <c r="C41" s="8">
        <f t="shared" ref="C41:O41" si="0">C38+C37+C36</f>
        <v>900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102411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104400</v>
      </c>
      <c r="O41" s="8">
        <f t="shared" si="0"/>
        <v>259911</v>
      </c>
      <c r="P41" s="9">
        <f>O41/O$39</f>
        <v>0.25083721459909242</v>
      </c>
      <c r="Q41" s="9" t="s">
        <v>60</v>
      </c>
      <c r="R41" s="13"/>
      <c r="S41" s="13" t="s">
        <v>66</v>
      </c>
      <c r="T41" s="25">
        <f>O33/1000</f>
        <v>60.697000000000003</v>
      </c>
      <c r="U41" s="19">
        <f>P33</f>
        <v>5.857799944796916E-2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276811</v>
      </c>
      <c r="D42" s="11">
        <f t="shared" ref="D42:M42" si="1">D39+D23+D10</f>
        <v>0</v>
      </c>
      <c r="E42" s="11">
        <f t="shared" si="1"/>
        <v>45080</v>
      </c>
      <c r="F42" s="11">
        <f t="shared" si="1"/>
        <v>16638</v>
      </c>
      <c r="G42" s="11">
        <f t="shared" si="1"/>
        <v>248665.89473684211</v>
      </c>
      <c r="H42" s="11">
        <f t="shared" si="1"/>
        <v>1100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102700</v>
      </c>
      <c r="M42" s="11">
        <f t="shared" si="1"/>
        <v>0</v>
      </c>
      <c r="N42" s="11">
        <f>N39+N23-B6+N45</f>
        <v>414487.24</v>
      </c>
      <c r="O42" s="12">
        <f>SUM(C42:N42)</f>
        <v>1105482.134736842</v>
      </c>
      <c r="P42" s="13"/>
      <c r="Q42" s="13"/>
      <c r="R42" s="13"/>
      <c r="S42" s="13" t="s">
        <v>53</v>
      </c>
      <c r="T42" s="25">
        <f>O31/1000</f>
        <v>30.646000000000001</v>
      </c>
      <c r="U42" s="19">
        <f>P31</f>
        <v>2.9576113664307346E-2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0.25039843820352137</v>
      </c>
      <c r="D43" s="9">
        <f t="shared" si="2"/>
        <v>0</v>
      </c>
      <c r="E43" s="9">
        <f t="shared" si="2"/>
        <v>4.0778587535230691E-2</v>
      </c>
      <c r="F43" s="9">
        <f t="shared" si="2"/>
        <v>1.5050446748251291E-2</v>
      </c>
      <c r="G43" s="9">
        <f t="shared" si="2"/>
        <v>0.22493886325538545</v>
      </c>
      <c r="H43" s="9">
        <f t="shared" si="2"/>
        <v>9.9504095582861047E-4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9.2900641966907546E-2</v>
      </c>
      <c r="M43" s="9">
        <f t="shared" si="2"/>
        <v>0</v>
      </c>
      <c r="N43" s="9">
        <f t="shared" si="2"/>
        <v>0.37493798133487516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404.30700000000002</v>
      </c>
      <c r="U43" s="20">
        <f>P32</f>
        <v>0.3901921877985744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213.977</v>
      </c>
      <c r="U44" s="20">
        <f>P34</f>
        <v>0.20650682221325761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34466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31784.240000000002</v>
      </c>
      <c r="O45" s="12">
        <f>B45+N45</f>
        <v>66250.240000000005</v>
      </c>
      <c r="P45" s="13"/>
      <c r="Q45" s="13"/>
      <c r="R45" s="13"/>
      <c r="S45" s="13" t="s">
        <v>69</v>
      </c>
      <c r="T45" s="25">
        <f>SUM(T39:T44)</f>
        <v>1036.1740000000002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56"/>
      <c r="D48" s="58"/>
      <c r="E48" s="3"/>
      <c r="F48" s="4"/>
      <c r="G48" s="4"/>
      <c r="I48" s="3"/>
      <c r="J48" s="3"/>
      <c r="K48" s="3"/>
      <c r="L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5"/>
      <c r="C49" s="5"/>
      <c r="D49" s="5"/>
      <c r="E49" s="5"/>
      <c r="F49" s="3"/>
      <c r="G49" s="3"/>
      <c r="H49" s="3"/>
      <c r="I49" s="63"/>
      <c r="J49" s="3"/>
      <c r="K49" s="3"/>
      <c r="L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5"/>
      <c r="C50" s="5"/>
      <c r="D50" s="5"/>
      <c r="E50" s="5"/>
      <c r="F50" s="3"/>
      <c r="G50" s="3"/>
      <c r="H50" s="3"/>
      <c r="I50" s="6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5"/>
      <c r="C51" s="5"/>
      <c r="D51" s="5"/>
      <c r="E51" s="5"/>
      <c r="F51" s="3"/>
      <c r="G51" s="3"/>
      <c r="H51" s="3"/>
      <c r="I51" s="6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5"/>
      <c r="C55" s="5"/>
      <c r="D55" s="5"/>
      <c r="E55" s="5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9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23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292</v>
      </c>
    </row>
    <row r="6" spans="1:35" x14ac:dyDescent="0.2">
      <c r="A6" s="2" t="s">
        <v>2</v>
      </c>
      <c r="B6" s="5">
        <v>12000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">
        <v>12000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72">
        <f>B23-B18</f>
        <v>122764</v>
      </c>
      <c r="C17" s="5">
        <v>697</v>
      </c>
      <c r="D17" s="5">
        <v>0</v>
      </c>
      <c r="E17" s="5">
        <v>0</v>
      </c>
      <c r="F17" s="5">
        <v>0</v>
      </c>
      <c r="G17" s="65">
        <v>23000</v>
      </c>
      <c r="H17" s="5">
        <v>0</v>
      </c>
      <c r="I17" s="5"/>
      <c r="J17" s="5"/>
      <c r="K17" s="65">
        <v>132250</v>
      </c>
      <c r="L17" s="5"/>
      <c r="M17" s="5"/>
      <c r="N17" s="5"/>
      <c r="O17" s="65">
        <f>SUM(C17:N17)</f>
        <v>155947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65">
        <v>20900</v>
      </c>
      <c r="C18" s="5">
        <v>0</v>
      </c>
      <c r="D18" s="5">
        <v>0</v>
      </c>
      <c r="E18" s="5">
        <v>0</v>
      </c>
      <c r="F18" s="5">
        <v>0</v>
      </c>
      <c r="G18" s="68">
        <v>23222</v>
      </c>
      <c r="H18" s="5">
        <v>0</v>
      </c>
      <c r="I18" s="5"/>
      <c r="J18" s="5"/>
      <c r="K18" s="5"/>
      <c r="L18" s="5"/>
      <c r="M18" s="5"/>
      <c r="N18" s="5"/>
      <c r="O18" s="68">
        <f>SUM(C18:N18)</f>
        <v>23222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6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762.6866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143664</v>
      </c>
      <c r="C23" s="5">
        <v>697</v>
      </c>
      <c r="D23" s="5">
        <v>0</v>
      </c>
      <c r="E23" s="5">
        <v>0</v>
      </c>
      <c r="F23" s="5">
        <v>0</v>
      </c>
      <c r="G23" s="68">
        <f>SUM(G17:G22)</f>
        <v>46222</v>
      </c>
      <c r="H23" s="5">
        <v>0</v>
      </c>
      <c r="I23" s="5"/>
      <c r="J23" s="5"/>
      <c r="K23" s="65">
        <f>SUM(K17:K22)</f>
        <v>132250</v>
      </c>
      <c r="L23" s="5"/>
      <c r="M23" s="5"/>
      <c r="N23" s="5"/>
      <c r="O23" s="68">
        <f>SUM(O17:O22)</f>
        <v>179169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194.62560000000002</v>
      </c>
      <c r="U24" s="19">
        <f>N43</f>
        <v>0.2551842395028312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201.602</v>
      </c>
      <c r="U25" s="20">
        <f>G43</f>
        <v>0.26433137805226947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16.962</v>
      </c>
      <c r="U27" s="19">
        <f>F43</f>
        <v>2.2239803347797116E-2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0.5</v>
      </c>
      <c r="U28" s="19">
        <f>E43</f>
        <v>6.5557727118845414E-4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132.25</v>
      </c>
      <c r="U30" s="22">
        <f>K43</f>
        <v>0.17340018822934611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6926</v>
      </c>
      <c r="D31" s="5">
        <v>0</v>
      </c>
      <c r="E31" s="5">
        <v>0</v>
      </c>
      <c r="F31" s="5">
        <v>713</v>
      </c>
      <c r="G31" s="5">
        <v>0</v>
      </c>
      <c r="H31" s="5">
        <v>0</v>
      </c>
      <c r="I31" s="5"/>
      <c r="J31" s="5"/>
      <c r="K31" s="5"/>
      <c r="L31" s="5"/>
      <c r="N31" s="5">
        <v>11002</v>
      </c>
      <c r="O31" s="5">
        <v>18642</v>
      </c>
      <c r="P31" s="9">
        <f>O31/O$39</f>
        <v>2.6735812823495162E-2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9277</v>
      </c>
      <c r="C32" s="5">
        <v>7670</v>
      </c>
      <c r="D32" s="5">
        <v>0</v>
      </c>
      <c r="E32" s="67">
        <v>500</v>
      </c>
      <c r="F32" s="5">
        <v>0</v>
      </c>
      <c r="G32" s="54">
        <f>O32-N32-E32-C32-B32</f>
        <v>119516</v>
      </c>
      <c r="H32" s="5">
        <v>0</v>
      </c>
      <c r="I32" s="5"/>
      <c r="J32" s="5"/>
      <c r="K32" s="5"/>
      <c r="L32" s="5"/>
      <c r="N32" s="5">
        <v>56426</v>
      </c>
      <c r="O32" s="5">
        <v>193389</v>
      </c>
      <c r="P32" s="9">
        <f>O32/O$39</f>
        <v>0.27735286482796406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27755</v>
      </c>
      <c r="C33" s="5">
        <v>253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29884</v>
      </c>
      <c r="O33" s="5">
        <v>57892</v>
      </c>
      <c r="P33" s="9">
        <f>O33/O$39</f>
        <v>8.3027018344479231E-2</v>
      </c>
      <c r="Q33" s="23" t="s">
        <v>55</v>
      </c>
      <c r="R33" s="16"/>
      <c r="S33" s="16" t="s">
        <v>58</v>
      </c>
      <c r="T33" s="18">
        <f>C42/1000</f>
        <v>216.74700000000001</v>
      </c>
      <c r="U33" s="20">
        <f>C43</f>
        <v>0.28418881359656772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196435</v>
      </c>
      <c r="D34" s="5">
        <v>0</v>
      </c>
      <c r="E34" s="5">
        <v>0</v>
      </c>
      <c r="F34" s="5">
        <v>16249</v>
      </c>
      <c r="G34" s="5">
        <v>0</v>
      </c>
      <c r="H34" s="5">
        <v>0</v>
      </c>
      <c r="I34" s="5"/>
      <c r="J34" s="5"/>
      <c r="K34" s="5"/>
      <c r="L34" s="5"/>
      <c r="N34" s="5">
        <v>380</v>
      </c>
      <c r="O34" s="5">
        <v>213064</v>
      </c>
      <c r="P34" s="9">
        <f>O34/O$39</f>
        <v>0.30557017613052101</v>
      </c>
      <c r="Q34" s="23" t="s">
        <v>56</v>
      </c>
      <c r="R34" s="16"/>
      <c r="S34" s="16"/>
      <c r="T34" s="18">
        <f>SUM(T24:T33)</f>
        <v>762.6866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15279</v>
      </c>
      <c r="C35" s="5">
        <v>4196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37607</v>
      </c>
      <c r="O35" s="5">
        <v>57082</v>
      </c>
      <c r="P35" s="9">
        <f>O35/O$39</f>
        <v>8.186533996302707E-2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25251</v>
      </c>
      <c r="C36" s="5">
        <v>569</v>
      </c>
      <c r="D36" s="5">
        <v>0</v>
      </c>
      <c r="E36" s="5">
        <v>0</v>
      </c>
      <c r="F36" s="5">
        <v>0</v>
      </c>
      <c r="G36" s="5">
        <v>35864</v>
      </c>
      <c r="H36" s="5">
        <v>0</v>
      </c>
      <c r="I36" s="5"/>
      <c r="J36" s="5"/>
      <c r="K36" s="5"/>
      <c r="L36" s="5"/>
      <c r="N36" s="5">
        <v>46512</v>
      </c>
      <c r="O36" s="5">
        <v>108197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39492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8716</v>
      </c>
      <c r="O37" s="5">
        <v>48208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793</v>
      </c>
      <c r="O38" s="5">
        <v>793</v>
      </c>
      <c r="P38" s="23">
        <f>SUM(P31:P35)</f>
        <v>0.77455121208948652</v>
      </c>
      <c r="Q38" s="23"/>
      <c r="R38" s="16"/>
      <c r="S38" s="13" t="s">
        <v>22</v>
      </c>
      <c r="T38" s="24">
        <f>O45/1000</f>
        <v>41.915599999999998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117054</v>
      </c>
      <c r="C39" s="5">
        <v>216050</v>
      </c>
      <c r="D39" s="5">
        <v>0</v>
      </c>
      <c r="E39" s="67">
        <v>500</v>
      </c>
      <c r="F39" s="5">
        <v>16962</v>
      </c>
      <c r="G39" s="54">
        <f>SUM(G31:G38)</f>
        <v>155380</v>
      </c>
      <c r="H39" s="5">
        <v>0</v>
      </c>
      <c r="I39" s="5"/>
      <c r="J39" s="5"/>
      <c r="K39" s="5"/>
      <c r="L39" s="5"/>
      <c r="N39" s="5">
        <v>191320</v>
      </c>
      <c r="O39" s="5">
        <v>697267</v>
      </c>
      <c r="P39" s="16"/>
      <c r="Q39" s="16"/>
      <c r="R39" s="16"/>
      <c r="S39" s="13" t="s">
        <v>63</v>
      </c>
      <c r="T39" s="25">
        <f>O41/1000</f>
        <v>157.19800000000001</v>
      </c>
      <c r="U39" s="19">
        <f>P41</f>
        <v>0.22544878791051348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57.082000000000001</v>
      </c>
      <c r="U40" s="20">
        <f>P35</f>
        <v>8.186533996302707E-2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64743</v>
      </c>
      <c r="C41" s="8">
        <f t="shared" ref="C41:O41" si="0">C38+C37+C36</f>
        <v>569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35864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56021</v>
      </c>
      <c r="O41" s="8">
        <f t="shared" si="0"/>
        <v>157198</v>
      </c>
      <c r="P41" s="9">
        <f>O41/O$39</f>
        <v>0.22544878791051348</v>
      </c>
      <c r="Q41" s="9" t="s">
        <v>60</v>
      </c>
      <c r="R41" s="13"/>
      <c r="S41" s="13" t="s">
        <v>66</v>
      </c>
      <c r="T41" s="25">
        <f>O33/1000</f>
        <v>57.892000000000003</v>
      </c>
      <c r="U41" s="19">
        <f>P33</f>
        <v>8.3027018344479231E-2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216747</v>
      </c>
      <c r="D42" s="11">
        <f t="shared" ref="D42:M42" si="1">D39+D23+D10</f>
        <v>0</v>
      </c>
      <c r="E42" s="11">
        <f t="shared" si="1"/>
        <v>500</v>
      </c>
      <c r="F42" s="11">
        <f t="shared" si="1"/>
        <v>16962</v>
      </c>
      <c r="G42" s="11">
        <f t="shared" si="1"/>
        <v>201602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132250</v>
      </c>
      <c r="L42" s="11">
        <f t="shared" si="1"/>
        <v>0</v>
      </c>
      <c r="M42" s="11">
        <f t="shared" si="1"/>
        <v>0</v>
      </c>
      <c r="N42" s="11">
        <f>N39+N23-B6+N45</f>
        <v>194625.6</v>
      </c>
      <c r="O42" s="12">
        <f>SUM(C42:N42)</f>
        <v>762686.6</v>
      </c>
      <c r="P42" s="13"/>
      <c r="Q42" s="13"/>
      <c r="R42" s="13"/>
      <c r="S42" s="13" t="s">
        <v>53</v>
      </c>
      <c r="T42" s="25">
        <f>O31/1000</f>
        <v>18.641999999999999</v>
      </c>
      <c r="U42" s="19">
        <f>P31</f>
        <v>2.6735812823495162E-2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0.28418881359656772</v>
      </c>
      <c r="D43" s="9">
        <f t="shared" si="2"/>
        <v>0</v>
      </c>
      <c r="E43" s="9">
        <f t="shared" si="2"/>
        <v>6.5557727118845414E-4</v>
      </c>
      <c r="F43" s="9">
        <f t="shared" si="2"/>
        <v>2.2239803347797116E-2</v>
      </c>
      <c r="G43" s="9">
        <f t="shared" si="2"/>
        <v>0.26433137805226947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0.17340018822934611</v>
      </c>
      <c r="L43" s="9">
        <f t="shared" si="2"/>
        <v>0</v>
      </c>
      <c r="M43" s="9">
        <f t="shared" si="2"/>
        <v>0</v>
      </c>
      <c r="N43" s="9">
        <f t="shared" si="2"/>
        <v>0.2551842395028312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193.38900000000001</v>
      </c>
      <c r="U43" s="20">
        <f>P32</f>
        <v>0.27735286482796406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213.06399999999999</v>
      </c>
      <c r="U44" s="20">
        <f>P34</f>
        <v>0.30557017613052101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26610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15305.6</v>
      </c>
      <c r="O45" s="12">
        <f>B45+N45</f>
        <v>41915.599999999999</v>
      </c>
      <c r="P45" s="13"/>
      <c r="Q45" s="13"/>
      <c r="R45" s="13"/>
      <c r="S45" s="13" t="s">
        <v>69</v>
      </c>
      <c r="T45" s="25">
        <f>SUM(T39:T44)</f>
        <v>697.26700000000005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E48" s="4"/>
      <c r="F48" s="3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E49" s="3"/>
      <c r="F49" s="3"/>
      <c r="G49" s="3"/>
      <c r="I49" s="3"/>
      <c r="J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I50" s="3"/>
      <c r="J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I51" s="3"/>
      <c r="J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D55" s="3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69"/>
      <c r="C57" s="30"/>
      <c r="D57" s="30"/>
      <c r="E57" s="30"/>
      <c r="F57" s="30"/>
      <c r="G57" s="3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69"/>
      <c r="C58" s="30"/>
      <c r="D58" s="30"/>
      <c r="E58" s="30"/>
      <c r="F58" s="30"/>
      <c r="G58" s="3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69"/>
      <c r="C60" s="30"/>
      <c r="D60" s="30"/>
      <c r="E60" s="30"/>
      <c r="F60" s="30"/>
      <c r="G60" s="3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70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71"/>
      <c r="E64" s="71"/>
      <c r="F64" s="71"/>
      <c r="G64" s="71"/>
      <c r="H64" s="71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31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208</v>
      </c>
    </row>
    <row r="6" spans="1:35" x14ac:dyDescent="0.2">
      <c r="A6" s="2" t="s">
        <v>2</v>
      </c>
      <c r="B6" s="5">
        <v>25880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4">
        <v>23090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4">
        <f>SUM(B6:B9)</f>
        <v>48970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130286</v>
      </c>
      <c r="C17" s="5">
        <v>109</v>
      </c>
      <c r="D17" s="5">
        <v>0</v>
      </c>
      <c r="E17" s="5">
        <v>0</v>
      </c>
      <c r="F17" s="5">
        <v>0</v>
      </c>
      <c r="G17" s="65">
        <v>159000</v>
      </c>
      <c r="H17" s="5">
        <v>0</v>
      </c>
      <c r="I17" s="5"/>
      <c r="J17" s="5"/>
      <c r="K17" s="5"/>
      <c r="L17" s="5"/>
      <c r="M17" s="5"/>
      <c r="N17" s="5"/>
      <c r="O17" s="65">
        <f>SUM(C17:N17)</f>
        <v>159109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/>
      <c r="J18" s="5"/>
      <c r="K18" s="5"/>
      <c r="L18" s="5"/>
      <c r="M18" s="5"/>
      <c r="N18" s="5"/>
      <c r="O18" s="5">
        <v>0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451.28176000000002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130286</v>
      </c>
      <c r="C23" s="5">
        <v>109</v>
      </c>
      <c r="D23" s="5">
        <v>0</v>
      </c>
      <c r="E23" s="5">
        <v>0</v>
      </c>
      <c r="F23" s="5">
        <v>0</v>
      </c>
      <c r="G23" s="65">
        <f>SUM(G17:G22)</f>
        <v>159000</v>
      </c>
      <c r="H23" s="5">
        <v>0</v>
      </c>
      <c r="I23" s="5"/>
      <c r="J23" s="5"/>
      <c r="K23" s="5"/>
      <c r="L23" s="5"/>
      <c r="M23" s="5"/>
      <c r="N23" s="5"/>
      <c r="O23" s="65">
        <f>SUM(O17:O22)</f>
        <v>159109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154.34176000000002</v>
      </c>
      <c r="U24" s="19">
        <f>N43</f>
        <v>0.34200752984122385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185.86799999999999</v>
      </c>
      <c r="U25" s="20">
        <f>G43</f>
        <v>0.41186685675042572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6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7.5309999999999997</v>
      </c>
      <c r="U27" s="19">
        <f>F43</f>
        <v>1.6688022134996105E-2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0</v>
      </c>
      <c r="U28" s="19">
        <f>E43</f>
        <v>0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5478</v>
      </c>
      <c r="D31" s="5">
        <v>0</v>
      </c>
      <c r="E31" s="5">
        <v>0</v>
      </c>
      <c r="F31" s="5">
        <v>563</v>
      </c>
      <c r="G31" s="5">
        <v>0</v>
      </c>
      <c r="H31" s="5">
        <v>0</v>
      </c>
      <c r="I31" s="5"/>
      <c r="J31" s="5"/>
      <c r="K31" s="5"/>
      <c r="L31" s="5"/>
      <c r="N31" s="5">
        <v>7657</v>
      </c>
      <c r="O31" s="5">
        <v>13698</v>
      </c>
      <c r="P31" s="9">
        <f>O31/O$39</f>
        <v>3.2433968295310596E-2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21516</v>
      </c>
      <c r="C32" s="54">
        <f>O32-N32-G32-B32</f>
        <v>4283</v>
      </c>
      <c r="D32" s="5">
        <v>0</v>
      </c>
      <c r="E32" s="5">
        <v>0</v>
      </c>
      <c r="F32" s="5">
        <v>0</v>
      </c>
      <c r="G32" s="54">
        <f>G39-G36</f>
        <v>1468</v>
      </c>
      <c r="H32" s="5">
        <v>0</v>
      </c>
      <c r="I32" s="5"/>
      <c r="J32" s="5"/>
      <c r="K32" s="5"/>
      <c r="L32" s="5"/>
      <c r="N32" s="5">
        <v>48008</v>
      </c>
      <c r="O32" s="5">
        <v>75275</v>
      </c>
      <c r="P32" s="9">
        <f>O32/O$39</f>
        <v>0.17823528715356293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12291</v>
      </c>
      <c r="C33" s="5">
        <v>1169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15567</v>
      </c>
      <c r="O33" s="5">
        <v>29027</v>
      </c>
      <c r="P33" s="9">
        <f>O33/O$39</f>
        <v>6.8729799803473546E-2</v>
      </c>
      <c r="Q33" s="23" t="s">
        <v>55</v>
      </c>
      <c r="R33" s="16"/>
      <c r="S33" s="16" t="s">
        <v>58</v>
      </c>
      <c r="T33" s="18">
        <f>C42/1000</f>
        <v>103.541</v>
      </c>
      <c r="U33" s="20">
        <f>C43</f>
        <v>0.22943759127335436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92095</v>
      </c>
      <c r="D34" s="5">
        <v>0</v>
      </c>
      <c r="E34" s="5">
        <v>0</v>
      </c>
      <c r="F34" s="5">
        <v>6968</v>
      </c>
      <c r="G34" s="5">
        <v>0</v>
      </c>
      <c r="H34" s="5">
        <v>0</v>
      </c>
      <c r="I34" s="5"/>
      <c r="J34" s="5"/>
      <c r="K34" s="5"/>
      <c r="L34" s="5"/>
      <c r="N34" s="5">
        <v>86</v>
      </c>
      <c r="O34" s="5">
        <v>99149</v>
      </c>
      <c r="P34" s="9">
        <f>O34/O$39</f>
        <v>0.23476387228148271</v>
      </c>
      <c r="Q34" s="23" t="s">
        <v>56</v>
      </c>
      <c r="R34" s="16"/>
      <c r="S34" s="16"/>
      <c r="T34" s="18">
        <f>SUM(T24:T33)</f>
        <v>451.28176000000002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17753</v>
      </c>
      <c r="C35" s="54">
        <f>C39-SUM(C31:C34)</f>
        <v>407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34585</v>
      </c>
      <c r="O35" s="54">
        <f>SUM(B35:N35)</f>
        <v>52745</v>
      </c>
      <c r="P35" s="9">
        <f>O35/O$39</f>
        <v>0.12488900990919531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16068</v>
      </c>
      <c r="C36" s="5">
        <v>0</v>
      </c>
      <c r="D36" s="5">
        <v>0</v>
      </c>
      <c r="E36" s="5">
        <v>0</v>
      </c>
      <c r="F36" s="5">
        <v>0</v>
      </c>
      <c r="G36" s="54">
        <v>25400</v>
      </c>
      <c r="H36" s="5">
        <v>0</v>
      </c>
      <c r="I36" s="5"/>
      <c r="J36" s="5"/>
      <c r="K36" s="5"/>
      <c r="L36" s="5"/>
      <c r="N36" s="5">
        <v>48734</v>
      </c>
      <c r="O36" s="54">
        <f>SUM(B36:N36)</f>
        <v>90202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50004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10781</v>
      </c>
      <c r="O37" s="5">
        <v>60785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1454</v>
      </c>
      <c r="O38" s="5">
        <v>1454</v>
      </c>
      <c r="P38" s="23">
        <f>SUM(P31:P35)</f>
        <v>0.63905193744302502</v>
      </c>
      <c r="Q38" s="23"/>
      <c r="R38" s="16"/>
      <c r="S38" s="13" t="s">
        <v>22</v>
      </c>
      <c r="T38" s="24">
        <f>O45/1000</f>
        <v>26.003760000000003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117632</v>
      </c>
      <c r="C39" s="5">
        <v>103432</v>
      </c>
      <c r="D39" s="5">
        <v>0</v>
      </c>
      <c r="E39" s="5">
        <v>0</v>
      </c>
      <c r="F39" s="5">
        <v>7531</v>
      </c>
      <c r="G39" s="5">
        <v>26868</v>
      </c>
      <c r="H39" s="5">
        <v>0</v>
      </c>
      <c r="I39" s="5"/>
      <c r="J39" s="5"/>
      <c r="K39" s="5"/>
      <c r="L39" s="5"/>
      <c r="N39" s="5">
        <v>166872</v>
      </c>
      <c r="O39" s="5">
        <v>422335</v>
      </c>
      <c r="P39" s="16"/>
      <c r="Q39" s="16"/>
      <c r="R39" s="16"/>
      <c r="S39" s="13" t="s">
        <v>63</v>
      </c>
      <c r="T39" s="25">
        <f>O41/1000</f>
        <v>152.441</v>
      </c>
      <c r="U39" s="19">
        <f>P41</f>
        <v>0.36094806255697492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52.744999999999997</v>
      </c>
      <c r="U40" s="20">
        <f>P35</f>
        <v>0.12488900990919531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66072</v>
      </c>
      <c r="C41" s="8">
        <f t="shared" ref="C41:O41" si="0">C38+C37+C36</f>
        <v>0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25400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60969</v>
      </c>
      <c r="O41" s="8">
        <f t="shared" si="0"/>
        <v>152441</v>
      </c>
      <c r="P41" s="9">
        <f>O41/O$39</f>
        <v>0.36094806255697492</v>
      </c>
      <c r="Q41" s="9" t="s">
        <v>60</v>
      </c>
      <c r="R41" s="13"/>
      <c r="S41" s="13" t="s">
        <v>66</v>
      </c>
      <c r="T41" s="25">
        <f>O33/1000</f>
        <v>29.027000000000001</v>
      </c>
      <c r="U41" s="19">
        <f>P33</f>
        <v>6.8729799803473546E-2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103541</v>
      </c>
      <c r="D42" s="11">
        <f t="shared" ref="D42:M42" si="1">D39+D23+D10</f>
        <v>0</v>
      </c>
      <c r="E42" s="11">
        <f t="shared" si="1"/>
        <v>0</v>
      </c>
      <c r="F42" s="11">
        <f t="shared" si="1"/>
        <v>7531</v>
      </c>
      <c r="G42" s="11">
        <f t="shared" si="1"/>
        <v>185868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154341.76000000001</v>
      </c>
      <c r="O42" s="12">
        <f>SUM(C42:N42)</f>
        <v>451281.76</v>
      </c>
      <c r="P42" s="13"/>
      <c r="Q42" s="13"/>
      <c r="R42" s="13"/>
      <c r="S42" s="13" t="s">
        <v>53</v>
      </c>
      <c r="T42" s="25">
        <f>O31/1000</f>
        <v>13.698</v>
      </c>
      <c r="U42" s="19">
        <f>P31</f>
        <v>3.2433968295310596E-2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0.22943759127335436</v>
      </c>
      <c r="D43" s="9">
        <f t="shared" si="2"/>
        <v>0</v>
      </c>
      <c r="E43" s="9">
        <f t="shared" si="2"/>
        <v>0</v>
      </c>
      <c r="F43" s="9">
        <f t="shared" si="2"/>
        <v>1.6688022134996105E-2</v>
      </c>
      <c r="G43" s="9">
        <f t="shared" si="2"/>
        <v>0.41186685675042572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0.34200752984122385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75.275000000000006</v>
      </c>
      <c r="U43" s="20">
        <f>P32</f>
        <v>0.17823528715356293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99.149000000000001</v>
      </c>
      <c r="U44" s="20">
        <f>P34</f>
        <v>0.23476387228148271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12654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13349.76</v>
      </c>
      <c r="O45" s="12">
        <f>B45+N45</f>
        <v>26003.760000000002</v>
      </c>
      <c r="P45" s="13"/>
      <c r="Q45" s="13"/>
      <c r="R45" s="13"/>
      <c r="S45" s="13" t="s">
        <v>69</v>
      </c>
      <c r="T45" s="25">
        <f>SUM(T39:T44)</f>
        <v>422.33500000000004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10.83203125" defaultRowHeight="15" x14ac:dyDescent="0.2"/>
  <cols>
    <col min="1" max="1" width="20.5" style="1" customWidth="1"/>
    <col min="2" max="2" width="10.83203125" style="1"/>
    <col min="3" max="11" width="9" style="1" customWidth="1"/>
    <col min="12" max="13" width="5.6640625" style="1" customWidth="1"/>
    <col min="14" max="16384" width="10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1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2" t="s">
        <v>74</v>
      </c>
      <c r="B4" s="1">
        <v>175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v>180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66">
        <v>10653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4">
        <f>SUM(B6:B9)</f>
        <v>10833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25080</v>
      </c>
      <c r="C18" s="5">
        <v>0</v>
      </c>
      <c r="D18" s="5">
        <v>0</v>
      </c>
      <c r="E18" s="5">
        <v>0</v>
      </c>
      <c r="F18" s="5">
        <v>0</v>
      </c>
      <c r="G18" s="5">
        <v>30021</v>
      </c>
      <c r="H18" s="5">
        <v>0</v>
      </c>
      <c r="I18" s="5"/>
      <c r="J18" s="5"/>
      <c r="K18" s="5"/>
      <c r="L18" s="5"/>
      <c r="M18" s="5"/>
      <c r="N18" s="5"/>
      <c r="O18" s="5">
        <v>30021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190.44403999999997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25080</v>
      </c>
      <c r="C23" s="5">
        <v>0</v>
      </c>
      <c r="D23" s="5">
        <v>0</v>
      </c>
      <c r="E23" s="5">
        <v>0</v>
      </c>
      <c r="F23" s="5">
        <v>0</v>
      </c>
      <c r="G23" s="5">
        <v>30021</v>
      </c>
      <c r="H23" s="5">
        <v>0</v>
      </c>
      <c r="I23" s="5"/>
      <c r="J23" s="5"/>
      <c r="K23" s="5"/>
      <c r="L23" s="5"/>
      <c r="M23" s="5"/>
      <c r="N23" s="5"/>
      <c r="O23" s="5">
        <v>30021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89.600039999999993</v>
      </c>
      <c r="U24" s="19">
        <f>N43</f>
        <v>0.47047962225544049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52.274999999999999</v>
      </c>
      <c r="U25" s="20">
        <f>G43</f>
        <v>0.27449008118080254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3.31</v>
      </c>
      <c r="U27" s="19">
        <f>F43</f>
        <v>1.7380433643394672E-2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0.89200000000000002</v>
      </c>
      <c r="U28" s="19">
        <f>E43</f>
        <v>4.6837905770114943E-3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5782</v>
      </c>
      <c r="D31" s="5">
        <v>0</v>
      </c>
      <c r="E31" s="5">
        <v>0</v>
      </c>
      <c r="F31" s="5">
        <v>598</v>
      </c>
      <c r="G31" s="5">
        <v>0</v>
      </c>
      <c r="H31" s="5">
        <v>0</v>
      </c>
      <c r="I31" s="5"/>
      <c r="J31" s="5"/>
      <c r="K31" s="5"/>
      <c r="L31" s="5"/>
      <c r="N31" s="5">
        <v>8454</v>
      </c>
      <c r="O31" s="5">
        <v>14835</v>
      </c>
      <c r="P31" s="9">
        <f>O31/O$39</f>
        <v>8.4219908485006753E-2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9567</v>
      </c>
      <c r="C32" s="54">
        <v>1955</v>
      </c>
      <c r="D32" s="5">
        <v>0</v>
      </c>
      <c r="E32" s="54">
        <f>O32-N32-C32-B32</f>
        <v>892</v>
      </c>
      <c r="F32" s="5">
        <v>0</v>
      </c>
      <c r="G32" s="5">
        <v>0</v>
      </c>
      <c r="H32" s="5">
        <v>0</v>
      </c>
      <c r="I32" s="5"/>
      <c r="J32" s="5"/>
      <c r="K32" s="5"/>
      <c r="L32" s="5"/>
      <c r="N32" s="5">
        <v>34276</v>
      </c>
      <c r="O32" s="5">
        <v>46690</v>
      </c>
      <c r="P32" s="9">
        <f>O32/O$39</f>
        <v>0.26506420810009879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1760</v>
      </c>
      <c r="C33" s="5">
        <v>24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5572</v>
      </c>
      <c r="O33" s="5">
        <v>7356</v>
      </c>
      <c r="P33" s="9">
        <f>O33/O$39</f>
        <v>4.1760812053637325E-2</v>
      </c>
      <c r="Q33" s="23" t="s">
        <v>55</v>
      </c>
      <c r="R33" s="16"/>
      <c r="S33" s="16" t="s">
        <v>58</v>
      </c>
      <c r="T33" s="18">
        <f>C42/1000</f>
        <v>44.366999999999997</v>
      </c>
      <c r="U33" s="20">
        <f>C43</f>
        <v>0.23296607234335087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36203</v>
      </c>
      <c r="D34" s="5">
        <v>0</v>
      </c>
      <c r="E34" s="5">
        <v>0</v>
      </c>
      <c r="F34" s="5">
        <v>2712</v>
      </c>
      <c r="G34" s="5">
        <v>0</v>
      </c>
      <c r="H34" s="5">
        <v>0</v>
      </c>
      <c r="I34" s="5"/>
      <c r="J34" s="5"/>
      <c r="K34" s="5"/>
      <c r="L34" s="5"/>
      <c r="N34" s="5">
        <v>0</v>
      </c>
      <c r="O34" s="5">
        <v>38915</v>
      </c>
      <c r="P34" s="9">
        <f>O34/O$39</f>
        <v>0.22092468747516264</v>
      </c>
      <c r="Q34" s="23" t="s">
        <v>56</v>
      </c>
      <c r="R34" s="16"/>
      <c r="S34" s="16"/>
      <c r="T34" s="18">
        <f>SUM(T24:T33)</f>
        <v>190.44403999999997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1751</v>
      </c>
      <c r="C35" s="5">
        <v>300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8323</v>
      </c>
      <c r="O35" s="5">
        <v>10374</v>
      </c>
      <c r="P35" s="9">
        <f>O35/O$39</f>
        <v>5.8894326297503206E-2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3461</v>
      </c>
      <c r="C36" s="5">
        <v>103</v>
      </c>
      <c r="D36" s="5">
        <v>0</v>
      </c>
      <c r="E36" s="5">
        <v>0</v>
      </c>
      <c r="F36" s="5">
        <v>0</v>
      </c>
      <c r="G36" s="5">
        <v>22254</v>
      </c>
      <c r="H36" s="5">
        <v>0</v>
      </c>
      <c r="I36" s="5"/>
      <c r="J36" s="5"/>
      <c r="K36" s="5"/>
      <c r="L36" s="5"/>
      <c r="N36" s="5">
        <v>23015</v>
      </c>
      <c r="O36" s="5">
        <v>48834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5819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1546</v>
      </c>
      <c r="O37" s="5">
        <v>7365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1777</v>
      </c>
      <c r="O38" s="5">
        <v>1777</v>
      </c>
      <c r="P38" s="23">
        <f>SUM(P31:P35)</f>
        <v>0.67086394241140868</v>
      </c>
      <c r="Q38" s="23"/>
      <c r="R38" s="16"/>
      <c r="S38" s="13" t="s">
        <v>22</v>
      </c>
      <c r="T38" s="24">
        <f>O45/1000</f>
        <v>9.3590400000000002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22358</v>
      </c>
      <c r="C39" s="54">
        <f>SUM(C31:C38)</f>
        <v>44367</v>
      </c>
      <c r="D39" s="5">
        <v>0</v>
      </c>
      <c r="E39" s="54">
        <f>SUM(E31:E38)</f>
        <v>892</v>
      </c>
      <c r="F39" s="5">
        <v>3310</v>
      </c>
      <c r="G39" s="5">
        <v>22254</v>
      </c>
      <c r="H39" s="5">
        <v>0</v>
      </c>
      <c r="I39" s="5"/>
      <c r="J39" s="5"/>
      <c r="K39" s="5"/>
      <c r="L39" s="5"/>
      <c r="N39" s="5">
        <v>82963</v>
      </c>
      <c r="O39" s="5">
        <v>176146</v>
      </c>
      <c r="P39" s="16"/>
      <c r="Q39" s="16"/>
      <c r="R39" s="16"/>
      <c r="S39" s="13" t="s">
        <v>63</v>
      </c>
      <c r="T39" s="25">
        <f>O41/1000</f>
        <v>57.975999999999999</v>
      </c>
      <c r="U39" s="19">
        <f>P41</f>
        <v>0.32913605758859127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10.374000000000001</v>
      </c>
      <c r="U40" s="20">
        <f>P35</f>
        <v>5.8894326297503206E-2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9280</v>
      </c>
      <c r="C41" s="8">
        <f t="shared" ref="C41:O41" si="0">C38+C37+C36</f>
        <v>103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22254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26338</v>
      </c>
      <c r="O41" s="8">
        <f t="shared" si="0"/>
        <v>57976</v>
      </c>
      <c r="P41" s="9">
        <f>O41/O$39</f>
        <v>0.32913605758859127</v>
      </c>
      <c r="Q41" s="9" t="s">
        <v>60</v>
      </c>
      <c r="R41" s="13"/>
      <c r="S41" s="13" t="s">
        <v>66</v>
      </c>
      <c r="T41" s="25">
        <f>O33/1000</f>
        <v>7.3559999999999999</v>
      </c>
      <c r="U41" s="19">
        <f>P33</f>
        <v>4.1760812053637325E-2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44367</v>
      </c>
      <c r="D42" s="11">
        <f t="shared" ref="D42:M42" si="1">D39+D23+D10</f>
        <v>0</v>
      </c>
      <c r="E42" s="11">
        <f t="shared" si="1"/>
        <v>892</v>
      </c>
      <c r="F42" s="11">
        <f t="shared" si="1"/>
        <v>3310</v>
      </c>
      <c r="G42" s="11">
        <f t="shared" si="1"/>
        <v>52275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89600.04</v>
      </c>
      <c r="O42" s="12">
        <f>SUM(C42:N42)</f>
        <v>190444.03999999998</v>
      </c>
      <c r="P42" s="13"/>
      <c r="Q42" s="13"/>
      <c r="R42" s="13"/>
      <c r="S42" s="13" t="s">
        <v>53</v>
      </c>
      <c r="T42" s="25">
        <f>O31/1000</f>
        <v>14.835000000000001</v>
      </c>
      <c r="U42" s="19">
        <f>P31</f>
        <v>8.4219908485006753E-2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0.23296607234335087</v>
      </c>
      <c r="D43" s="9">
        <f t="shared" si="2"/>
        <v>0</v>
      </c>
      <c r="E43" s="9">
        <f t="shared" si="2"/>
        <v>4.6837905770114943E-3</v>
      </c>
      <c r="F43" s="9">
        <f t="shared" si="2"/>
        <v>1.7380433643394672E-2</v>
      </c>
      <c r="G43" s="9">
        <f t="shared" si="2"/>
        <v>0.27449008118080254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0.47047962225544049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46.69</v>
      </c>
      <c r="U43" s="20">
        <f>P32</f>
        <v>0.26506420810009879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38.914999999999999</v>
      </c>
      <c r="U44" s="20">
        <f>P34</f>
        <v>0.22092468747516264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2722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6637.04</v>
      </c>
      <c r="O45" s="12">
        <f>B45+N45</f>
        <v>9359.0400000000009</v>
      </c>
      <c r="P45" s="13"/>
      <c r="Q45" s="13"/>
      <c r="R45" s="13"/>
      <c r="S45" s="13" t="s">
        <v>69</v>
      </c>
      <c r="T45" s="25">
        <f>SUM(T39:T44)</f>
        <v>176.14599999999999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1" bottom="1" header="0.5" footer="0.5"/>
  <pageSetup paperSize="9"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23.1640625" style="1" customWidth="1"/>
    <col min="2" max="11" width="8.83203125" style="1"/>
    <col min="12" max="13" width="5.6640625" style="1" customWidth="1"/>
    <col min="14" max="19" width="8.83203125" style="1"/>
    <col min="20" max="20" width="8.83203125" style="1" customWidth="1"/>
    <col min="21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25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112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66">
        <v>42652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66">
        <f>SUM(B6:B9)</f>
        <v>42652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/>
      <c r="J18" s="5"/>
      <c r="K18" s="5"/>
      <c r="L18" s="5"/>
      <c r="M18" s="5"/>
      <c r="N18" s="5"/>
      <c r="O18" s="5">
        <v>0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323.8082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/>
      <c r="J23" s="5"/>
      <c r="K23" s="5"/>
      <c r="L23" s="5"/>
      <c r="M23" s="5"/>
      <c r="N23" s="5"/>
      <c r="O23" s="5">
        <v>0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195.5772</v>
      </c>
      <c r="U24" s="19">
        <f>N43</f>
        <v>0.60399088102154297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22.792999999999999</v>
      </c>
      <c r="U25" s="20">
        <f>G43</f>
        <v>7.0390434831483578E-2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3.4860000000000002</v>
      </c>
      <c r="U27" s="19">
        <f>F43</f>
        <v>1.0765632247731836E-2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50.904000000000003</v>
      </c>
      <c r="U28" s="19">
        <f>E43</f>
        <v>0.15720417209940946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2422</v>
      </c>
      <c r="D31" s="5">
        <v>0</v>
      </c>
      <c r="E31" s="5">
        <v>0</v>
      </c>
      <c r="F31" s="5">
        <v>249</v>
      </c>
      <c r="G31" s="5">
        <v>0</v>
      </c>
      <c r="H31" s="5">
        <v>0</v>
      </c>
      <c r="I31" s="5"/>
      <c r="J31" s="5"/>
      <c r="K31" s="5"/>
      <c r="L31" s="5"/>
      <c r="N31" s="5">
        <v>4114</v>
      </c>
      <c r="O31" s="5">
        <v>6785</v>
      </c>
      <c r="P31" s="9">
        <f>O31/O$39</f>
        <v>2.1935141810610983E-2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0</v>
      </c>
      <c r="C32" s="54">
        <f>C39-C37-C36-C35-C33-C31-C34</f>
        <v>3084</v>
      </c>
      <c r="D32" s="5">
        <v>0</v>
      </c>
      <c r="E32" s="54">
        <v>49344</v>
      </c>
      <c r="F32" s="5">
        <v>0</v>
      </c>
      <c r="G32" s="54">
        <f>G39-G36</f>
        <v>347</v>
      </c>
      <c r="H32" s="54">
        <v>0</v>
      </c>
      <c r="I32" s="29"/>
      <c r="J32" s="29"/>
      <c r="K32" s="29"/>
      <c r="L32" s="29"/>
      <c r="N32" s="5">
        <v>105451</v>
      </c>
      <c r="O32" s="5">
        <v>158226</v>
      </c>
      <c r="P32" s="9">
        <f>O32/O$39</f>
        <v>0.51152686044594453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0</v>
      </c>
      <c r="C33" s="5">
        <v>450</v>
      </c>
      <c r="D33" s="5">
        <v>0</v>
      </c>
      <c r="E33" s="68">
        <v>390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8707</v>
      </c>
      <c r="O33" s="68">
        <f>SUM(B33:N33)</f>
        <v>9547</v>
      </c>
      <c r="P33" s="9">
        <f>O33/O$39</f>
        <v>3.0864377135726317E-2</v>
      </c>
      <c r="Q33" s="23" t="s">
        <v>55</v>
      </c>
      <c r="R33" s="16"/>
      <c r="S33" s="16" t="s">
        <v>58</v>
      </c>
      <c r="T33" s="18">
        <f>C42/1000</f>
        <v>51.048000000000002</v>
      </c>
      <c r="U33" s="20">
        <f>C43</f>
        <v>0.15764887979983211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44080</v>
      </c>
      <c r="D34" s="5">
        <v>0</v>
      </c>
      <c r="E34" s="5">
        <v>0</v>
      </c>
      <c r="F34" s="5">
        <v>3237</v>
      </c>
      <c r="G34" s="5">
        <v>0</v>
      </c>
      <c r="H34" s="5">
        <v>0</v>
      </c>
      <c r="I34" s="5"/>
      <c r="J34" s="5"/>
      <c r="K34" s="5"/>
      <c r="L34" s="5"/>
      <c r="N34" s="5">
        <v>204</v>
      </c>
      <c r="O34" s="5">
        <v>47521</v>
      </c>
      <c r="P34" s="9">
        <f>O34/O$39</f>
        <v>0.15363004774974864</v>
      </c>
      <c r="Q34" s="23" t="s">
        <v>56</v>
      </c>
      <c r="R34" s="16"/>
      <c r="S34" s="16"/>
      <c r="T34" s="18">
        <f>SUM(T24:T33)</f>
        <v>323.8082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0</v>
      </c>
      <c r="C35" s="5">
        <v>713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23495</v>
      </c>
      <c r="O35" s="5">
        <v>24208</v>
      </c>
      <c r="P35" s="9">
        <f>O35/O$39</f>
        <v>7.826174103924402E-2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0</v>
      </c>
      <c r="C36" s="54">
        <v>100</v>
      </c>
      <c r="D36" s="5">
        <v>0</v>
      </c>
      <c r="E36" s="68">
        <v>690</v>
      </c>
      <c r="F36" s="5">
        <v>0</v>
      </c>
      <c r="G36" s="54">
        <v>22446</v>
      </c>
      <c r="H36" s="5">
        <v>0</v>
      </c>
      <c r="I36" s="5"/>
      <c r="J36" s="5"/>
      <c r="K36" s="5"/>
      <c r="L36" s="5"/>
      <c r="N36" s="5">
        <v>37905</v>
      </c>
      <c r="O36" s="68">
        <f>SUM(B36:N36)</f>
        <v>61141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0</v>
      </c>
      <c r="C37" s="5">
        <v>199</v>
      </c>
      <c r="D37" s="5">
        <v>0</v>
      </c>
      <c r="E37" s="68">
        <v>480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1122</v>
      </c>
      <c r="O37" s="68">
        <f>SUM(B37:N37)</f>
        <v>1801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92</v>
      </c>
      <c r="O38" s="5">
        <v>92</v>
      </c>
      <c r="P38" s="23">
        <f>SUM(P31:P35)</f>
        <v>0.79621816818127444</v>
      </c>
      <c r="Q38" s="23"/>
      <c r="R38" s="16"/>
      <c r="S38" s="13" t="s">
        <v>22</v>
      </c>
      <c r="T38" s="24">
        <f>O45/1000</f>
        <v>14.487200000000001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0</v>
      </c>
      <c r="C39" s="5">
        <v>51048</v>
      </c>
      <c r="D39" s="5">
        <v>0</v>
      </c>
      <c r="E39" s="54">
        <f>SUM(E31:E38)</f>
        <v>50904</v>
      </c>
      <c r="F39" s="5">
        <v>3486</v>
      </c>
      <c r="G39" s="5">
        <v>22793</v>
      </c>
      <c r="H39" s="54">
        <f>SUM(H31:H38)</f>
        <v>0</v>
      </c>
      <c r="I39" s="29"/>
      <c r="J39" s="29"/>
      <c r="K39" s="29"/>
      <c r="L39" s="29"/>
      <c r="N39" s="5">
        <v>181090</v>
      </c>
      <c r="O39" s="68">
        <f>SUM(O31:O38)</f>
        <v>309321</v>
      </c>
      <c r="P39" s="16"/>
      <c r="Q39" s="16"/>
      <c r="R39" s="16"/>
      <c r="S39" s="13" t="s">
        <v>63</v>
      </c>
      <c r="T39" s="25">
        <f>O41/1000</f>
        <v>63.033999999999999</v>
      </c>
      <c r="U39" s="19">
        <f>P41</f>
        <v>0.20378183181872553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7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24.207999999999998</v>
      </c>
      <c r="U40" s="20">
        <f>P35</f>
        <v>7.826174103924402E-2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0</v>
      </c>
      <c r="C41" s="8">
        <f t="shared" ref="C41:O41" si="0">C38+C37+C36</f>
        <v>299</v>
      </c>
      <c r="D41" s="8">
        <f t="shared" si="0"/>
        <v>0</v>
      </c>
      <c r="E41" s="8">
        <f t="shared" si="0"/>
        <v>1170</v>
      </c>
      <c r="F41" s="8">
        <f t="shared" si="0"/>
        <v>0</v>
      </c>
      <c r="G41" s="8">
        <f t="shared" si="0"/>
        <v>22446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39119</v>
      </c>
      <c r="O41" s="8">
        <f t="shared" si="0"/>
        <v>63034</v>
      </c>
      <c r="P41" s="9">
        <f>O41/O$39</f>
        <v>0.20378183181872553</v>
      </c>
      <c r="Q41" s="9" t="s">
        <v>60</v>
      </c>
      <c r="R41" s="13"/>
      <c r="S41" s="13" t="s">
        <v>66</v>
      </c>
      <c r="T41" s="25">
        <f>O33/1000</f>
        <v>9.5470000000000006</v>
      </c>
      <c r="U41" s="19">
        <f>P33</f>
        <v>3.0864377135726317E-2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51048</v>
      </c>
      <c r="D42" s="11">
        <f t="shared" ref="D42:M42" si="1">D39+D23+D10</f>
        <v>0</v>
      </c>
      <c r="E42" s="11">
        <f t="shared" si="1"/>
        <v>50904</v>
      </c>
      <c r="F42" s="11">
        <f t="shared" si="1"/>
        <v>3486</v>
      </c>
      <c r="G42" s="11">
        <f t="shared" si="1"/>
        <v>22793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195577.2</v>
      </c>
      <c r="O42" s="12">
        <f>SUM(C42:N42)</f>
        <v>323808.2</v>
      </c>
      <c r="P42" s="13"/>
      <c r="Q42" s="13"/>
      <c r="R42" s="13"/>
      <c r="S42" s="13" t="s">
        <v>53</v>
      </c>
      <c r="T42" s="25">
        <f>O31/1000</f>
        <v>6.7850000000000001</v>
      </c>
      <c r="U42" s="19">
        <f>P31</f>
        <v>2.1935141810610983E-2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0.15764887979983211</v>
      </c>
      <c r="D43" s="9">
        <f t="shared" si="2"/>
        <v>0</v>
      </c>
      <c r="E43" s="9">
        <f t="shared" si="2"/>
        <v>0.15720417209940946</v>
      </c>
      <c r="F43" s="9">
        <f t="shared" si="2"/>
        <v>1.0765632247731836E-2</v>
      </c>
      <c r="G43" s="9">
        <f t="shared" si="2"/>
        <v>7.0390434831483578E-2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0.60399088102154297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158.226</v>
      </c>
      <c r="U43" s="20">
        <f>P32</f>
        <v>0.51152686044594453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47.521000000000001</v>
      </c>
      <c r="U44" s="20">
        <f>P34</f>
        <v>0.15363004774974864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14487.2</v>
      </c>
      <c r="O45" s="12">
        <f>B45+N45</f>
        <v>14487.2</v>
      </c>
      <c r="P45" s="13"/>
      <c r="Q45" s="13"/>
      <c r="R45" s="13"/>
      <c r="S45" s="13" t="s">
        <v>69</v>
      </c>
      <c r="T45" s="25">
        <f>SUM(T39:T44)</f>
        <v>309.32099999999997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6" width="8.83203125" style="1"/>
    <col min="7" max="7" width="11" style="1" customWidth="1"/>
    <col min="8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28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239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f>B10-B9</f>
        <v>2181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66">
        <v>7590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">
        <v>9771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20853</v>
      </c>
      <c r="C18" s="5">
        <v>299</v>
      </c>
      <c r="D18" s="5">
        <v>0</v>
      </c>
      <c r="E18" s="5">
        <v>0</v>
      </c>
      <c r="F18" s="5">
        <v>0</v>
      </c>
      <c r="G18" s="5">
        <v>24074</v>
      </c>
      <c r="H18" s="5">
        <v>0</v>
      </c>
      <c r="I18" s="5"/>
      <c r="J18" s="5"/>
      <c r="K18" s="5"/>
      <c r="L18" s="5"/>
      <c r="M18" s="5"/>
      <c r="N18" s="5"/>
      <c r="O18" s="5">
        <v>24372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257.73991999999998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20853</v>
      </c>
      <c r="C23" s="5">
        <v>299</v>
      </c>
      <c r="D23" s="5">
        <v>0</v>
      </c>
      <c r="E23" s="5">
        <v>0</v>
      </c>
      <c r="F23" s="5">
        <v>0</v>
      </c>
      <c r="G23" s="5">
        <v>24074</v>
      </c>
      <c r="H23" s="5">
        <v>0</v>
      </c>
      <c r="I23" s="5"/>
      <c r="J23" s="5"/>
      <c r="K23" s="5"/>
      <c r="L23" s="5"/>
      <c r="M23" s="5"/>
      <c r="N23" s="5"/>
      <c r="O23" s="5">
        <v>24372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108.94391999999999</v>
      </c>
      <c r="U24" s="19">
        <f>N43</f>
        <v>0.42268935289496484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37.823999999999998</v>
      </c>
      <c r="U25" s="20">
        <f>G43</f>
        <v>0.14675258687129258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8.452</v>
      </c>
      <c r="U27" s="19">
        <f>F43</f>
        <v>3.2792747045160879E-2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0.5</v>
      </c>
      <c r="U28" s="19">
        <f>E43</f>
        <v>1.9399400760270276E-3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2858</v>
      </c>
      <c r="D31" s="5">
        <v>0</v>
      </c>
      <c r="E31" s="5">
        <v>0</v>
      </c>
      <c r="F31" s="5">
        <v>287</v>
      </c>
      <c r="G31" s="5">
        <v>0</v>
      </c>
      <c r="H31" s="5">
        <v>0</v>
      </c>
      <c r="I31" s="5"/>
      <c r="J31" s="5"/>
      <c r="K31" s="5"/>
      <c r="L31" s="5"/>
      <c r="N31" s="5">
        <v>2304</v>
      </c>
      <c r="O31" s="5">
        <v>5449</v>
      </c>
      <c r="P31" s="9">
        <f>O31/O$39</f>
        <v>2.2461303819122407E-2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2441</v>
      </c>
      <c r="C32" s="54">
        <f>C39-C37-C36-C35-C33-C31-C34</f>
        <v>800</v>
      </c>
      <c r="D32" s="5">
        <v>0</v>
      </c>
      <c r="E32" s="54">
        <v>500</v>
      </c>
      <c r="F32" s="5">
        <v>0</v>
      </c>
      <c r="G32" s="54">
        <v>50</v>
      </c>
      <c r="H32" s="5">
        <v>0</v>
      </c>
      <c r="I32" s="5"/>
      <c r="J32" s="5"/>
      <c r="K32" s="5"/>
      <c r="L32" s="5"/>
      <c r="N32" s="54">
        <f>O32-SUM(B32:H32)</f>
        <v>45210</v>
      </c>
      <c r="O32" s="54">
        <f>O39-SUM(O33:O38)-O31</f>
        <v>49001</v>
      </c>
      <c r="P32" s="9">
        <f>O32/O$39</f>
        <v>0.2019868505121705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2825</v>
      </c>
      <c r="C33" s="5">
        <v>48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9449</v>
      </c>
      <c r="O33" s="5">
        <v>12322</v>
      </c>
      <c r="P33" s="9">
        <f>O33/O$39</f>
        <v>5.0792473051794143E-2</v>
      </c>
      <c r="Q33" s="23" t="s">
        <v>55</v>
      </c>
      <c r="R33" s="16"/>
      <c r="S33" s="16" t="s">
        <v>58</v>
      </c>
      <c r="T33" s="18">
        <f>C42/1000</f>
        <v>102.02</v>
      </c>
      <c r="U33" s="20">
        <f>C43</f>
        <v>0.39582537311255472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97519</v>
      </c>
      <c r="D34" s="5">
        <v>0</v>
      </c>
      <c r="E34" s="5">
        <v>0</v>
      </c>
      <c r="F34" s="5">
        <v>8165</v>
      </c>
      <c r="G34" s="5">
        <v>0</v>
      </c>
      <c r="H34" s="5">
        <v>0</v>
      </c>
      <c r="I34" s="5"/>
      <c r="J34" s="5"/>
      <c r="K34" s="5"/>
      <c r="L34" s="5"/>
      <c r="N34" s="5">
        <v>81</v>
      </c>
      <c r="O34" s="5">
        <v>105764</v>
      </c>
      <c r="P34" s="9">
        <f>O34/O$39</f>
        <v>0.43596941404398276</v>
      </c>
      <c r="Q34" s="23" t="s">
        <v>56</v>
      </c>
      <c r="R34" s="16"/>
      <c r="S34" s="16"/>
      <c r="T34" s="18">
        <f>SUM(T24:T33)</f>
        <v>257.73991999999998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1859</v>
      </c>
      <c r="C35" s="5">
        <v>346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9370</v>
      </c>
      <c r="O35" s="5">
        <v>11575</v>
      </c>
      <c r="P35" s="9">
        <f>O35/O$39</f>
        <v>4.7713266967579708E-2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3855</v>
      </c>
      <c r="C36" s="54">
        <v>150</v>
      </c>
      <c r="D36" s="5">
        <v>0</v>
      </c>
      <c r="E36" s="5">
        <v>0</v>
      </c>
      <c r="F36" s="5">
        <v>0</v>
      </c>
      <c r="G36" s="54">
        <v>13700</v>
      </c>
      <c r="H36" s="5">
        <v>0</v>
      </c>
      <c r="I36" s="5"/>
      <c r="J36" s="5"/>
      <c r="K36" s="5"/>
      <c r="L36" s="5"/>
      <c r="N36" s="5">
        <v>29660</v>
      </c>
      <c r="O36" s="54">
        <f>SUM(B36:N36)</f>
        <v>47365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6319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2447</v>
      </c>
      <c r="O37" s="5">
        <v>8766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2353</v>
      </c>
      <c r="O38" s="5">
        <v>2353</v>
      </c>
      <c r="P38" s="23">
        <f>SUM(P31:P35)</f>
        <v>0.7589233083946495</v>
      </c>
      <c r="Q38" s="23"/>
      <c r="R38" s="16"/>
      <c r="S38" s="13" t="s">
        <v>22</v>
      </c>
      <c r="T38" s="24">
        <f>O45/1000</f>
        <v>11.62392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17299</v>
      </c>
      <c r="C39" s="5">
        <v>101721</v>
      </c>
      <c r="D39" s="5">
        <v>0</v>
      </c>
      <c r="E39" s="54">
        <f>SUM(E31:E38)</f>
        <v>500</v>
      </c>
      <c r="F39" s="5">
        <v>8452</v>
      </c>
      <c r="G39" s="54">
        <f>SUM(G32+G36)</f>
        <v>13750</v>
      </c>
      <c r="H39" s="5">
        <v>0</v>
      </c>
      <c r="I39" s="5"/>
      <c r="J39" s="5"/>
      <c r="K39" s="5"/>
      <c r="L39" s="5"/>
      <c r="N39" s="54">
        <f>SUM(N31:N38)</f>
        <v>100874</v>
      </c>
      <c r="O39" s="5">
        <v>242595</v>
      </c>
      <c r="P39" s="16"/>
      <c r="Q39" s="16"/>
      <c r="R39" s="16"/>
      <c r="S39" s="13" t="s">
        <v>63</v>
      </c>
      <c r="T39" s="25">
        <f>O41/1000</f>
        <v>58.484000000000002</v>
      </c>
      <c r="U39" s="19">
        <f>P41</f>
        <v>0.24107669160535047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11.574999999999999</v>
      </c>
      <c r="U40" s="20">
        <f>P35</f>
        <v>4.7713266967579708E-2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10174</v>
      </c>
      <c r="C41" s="8">
        <f t="shared" ref="C41:O41" si="0">C38+C37+C36</f>
        <v>150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13700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34460</v>
      </c>
      <c r="O41" s="8">
        <f t="shared" si="0"/>
        <v>58484</v>
      </c>
      <c r="P41" s="9">
        <f>O41/O$39</f>
        <v>0.24107669160535047</v>
      </c>
      <c r="Q41" s="9" t="s">
        <v>60</v>
      </c>
      <c r="R41" s="13"/>
      <c r="S41" s="13" t="s">
        <v>66</v>
      </c>
      <c r="T41" s="25">
        <f>O33/1000</f>
        <v>12.321999999999999</v>
      </c>
      <c r="U41" s="19">
        <f>P33</f>
        <v>5.0792473051794143E-2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102020</v>
      </c>
      <c r="D42" s="11">
        <f t="shared" ref="D42:M42" si="1">D39+D23+D10</f>
        <v>0</v>
      </c>
      <c r="E42" s="11">
        <f t="shared" si="1"/>
        <v>500</v>
      </c>
      <c r="F42" s="11">
        <f t="shared" si="1"/>
        <v>8452</v>
      </c>
      <c r="G42" s="11">
        <f t="shared" si="1"/>
        <v>37824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108943.92</v>
      </c>
      <c r="O42" s="12">
        <f>SUM(C42:N42)</f>
        <v>257739.91999999998</v>
      </c>
      <c r="P42" s="13"/>
      <c r="Q42" s="13"/>
      <c r="R42" s="13"/>
      <c r="S42" s="13" t="s">
        <v>53</v>
      </c>
      <c r="T42" s="25">
        <f>O31/1000</f>
        <v>5.4489999999999998</v>
      </c>
      <c r="U42" s="19">
        <f>P31</f>
        <v>2.2461303819122407E-2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0.39582537311255472</v>
      </c>
      <c r="D43" s="9">
        <f t="shared" si="2"/>
        <v>0</v>
      </c>
      <c r="E43" s="9">
        <f t="shared" si="2"/>
        <v>1.9399400760270276E-3</v>
      </c>
      <c r="F43" s="9">
        <f t="shared" si="2"/>
        <v>3.2792747045160879E-2</v>
      </c>
      <c r="G43" s="9">
        <f t="shared" si="2"/>
        <v>0.14675258687129258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0.42268935289496484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49.000999999999998</v>
      </c>
      <c r="U43" s="20">
        <f>P32</f>
        <v>0.2019868505121705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105.764</v>
      </c>
      <c r="U44" s="20">
        <f>P34</f>
        <v>0.43596941404398276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3554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8069.92</v>
      </c>
      <c r="O45" s="12">
        <f>B45+N45</f>
        <v>11623.92</v>
      </c>
      <c r="P45" s="13"/>
      <c r="Q45" s="13"/>
      <c r="R45" s="13"/>
      <c r="S45" s="13" t="s">
        <v>69</v>
      </c>
      <c r="T45" s="25">
        <f>SUM(T39:T44)</f>
        <v>242.59499999999997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26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195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v>137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4">
        <f>SUM(B6:B9)</f>
        <v>137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24290</v>
      </c>
      <c r="C18" s="5">
        <v>0</v>
      </c>
      <c r="D18" s="5">
        <v>0</v>
      </c>
      <c r="E18" s="5">
        <v>0</v>
      </c>
      <c r="F18" s="5">
        <v>577</v>
      </c>
      <c r="G18" s="5">
        <v>27344</v>
      </c>
      <c r="H18" s="5">
        <v>0</v>
      </c>
      <c r="I18" s="5"/>
      <c r="J18" s="5"/>
      <c r="K18" s="5"/>
      <c r="L18" s="5"/>
      <c r="M18" s="5"/>
      <c r="N18" s="5"/>
      <c r="O18" s="5">
        <v>27921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238.45296000000002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24290</v>
      </c>
      <c r="C23" s="5">
        <v>0</v>
      </c>
      <c r="D23" s="5">
        <v>0</v>
      </c>
      <c r="E23" s="5">
        <v>0</v>
      </c>
      <c r="F23" s="5">
        <v>577</v>
      </c>
      <c r="G23" s="5">
        <v>27344</v>
      </c>
      <c r="H23" s="5">
        <v>0</v>
      </c>
      <c r="I23" s="5"/>
      <c r="J23" s="5"/>
      <c r="K23" s="5"/>
      <c r="L23" s="5"/>
      <c r="M23" s="5"/>
      <c r="N23" s="5"/>
      <c r="O23" s="5">
        <v>27921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104.12496</v>
      </c>
      <c r="U24" s="19">
        <f>N43</f>
        <v>0.43666876687125206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46.451000000000001</v>
      </c>
      <c r="U25" s="20">
        <f>G43</f>
        <v>0.19480152395675859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5.7969999999999997</v>
      </c>
      <c r="U27" s="19">
        <f>F43</f>
        <v>2.4310874564106896E-2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12.54</v>
      </c>
      <c r="U28" s="19">
        <f>E43</f>
        <v>5.2588988620648695E-2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3005</v>
      </c>
      <c r="D31" s="5">
        <v>0</v>
      </c>
      <c r="E31" s="5">
        <v>0</v>
      </c>
      <c r="F31" s="5">
        <v>300</v>
      </c>
      <c r="G31" s="5">
        <v>0</v>
      </c>
      <c r="H31" s="5">
        <v>0</v>
      </c>
      <c r="I31" s="5"/>
      <c r="J31" s="5"/>
      <c r="K31" s="5"/>
      <c r="L31" s="5"/>
      <c r="N31" s="5">
        <v>3493</v>
      </c>
      <c r="O31" s="5">
        <v>6799</v>
      </c>
      <c r="P31" s="9">
        <f>O31/O$39</f>
        <v>3.0496584328729766E-2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3016</v>
      </c>
      <c r="C32" s="5">
        <v>1081</v>
      </c>
      <c r="D32" s="5">
        <v>0</v>
      </c>
      <c r="E32" s="54">
        <f>O32-N32-G32-C32-B32</f>
        <v>12540</v>
      </c>
      <c r="F32" s="5">
        <v>0</v>
      </c>
      <c r="G32" s="54">
        <f>G39-G36</f>
        <v>907</v>
      </c>
      <c r="H32" s="5">
        <v>0</v>
      </c>
      <c r="I32" s="5"/>
      <c r="J32" s="5"/>
      <c r="K32" s="5"/>
      <c r="L32" s="5"/>
      <c r="N32" s="54">
        <v>26033</v>
      </c>
      <c r="O32" s="5">
        <v>43577</v>
      </c>
      <c r="P32" s="9">
        <f>O32/O$39</f>
        <v>0.19546251732505618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4037</v>
      </c>
      <c r="C33" s="5">
        <v>388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7680</v>
      </c>
      <c r="O33" s="5">
        <v>12105</v>
      </c>
      <c r="P33" s="9">
        <f>O33/O$39</f>
        <v>5.4296389660137341E-2</v>
      </c>
      <c r="Q33" s="23" t="s">
        <v>55</v>
      </c>
      <c r="R33" s="16"/>
      <c r="S33" s="16" t="s">
        <v>58</v>
      </c>
      <c r="T33" s="18">
        <f>C42/1000</f>
        <v>69.540000000000006</v>
      </c>
      <c r="U33" s="20">
        <f>C43</f>
        <v>0.29162984598723368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64009</v>
      </c>
      <c r="D34" s="5">
        <v>0</v>
      </c>
      <c r="E34" s="5">
        <v>0</v>
      </c>
      <c r="F34" s="5">
        <v>4920</v>
      </c>
      <c r="G34" s="5">
        <v>0</v>
      </c>
      <c r="H34" s="5">
        <v>0</v>
      </c>
      <c r="I34" s="5"/>
      <c r="J34" s="5"/>
      <c r="K34" s="5"/>
      <c r="L34" s="5"/>
      <c r="N34" s="5">
        <v>132</v>
      </c>
      <c r="O34" s="5">
        <v>69061</v>
      </c>
      <c r="P34" s="9">
        <f>O34/O$39</f>
        <v>0.30976976177767412</v>
      </c>
      <c r="Q34" s="23" t="s">
        <v>56</v>
      </c>
      <c r="R34" s="16"/>
      <c r="S34" s="16"/>
      <c r="T34" s="18">
        <f>SUM(T24:T33)</f>
        <v>238.45296000000002</v>
      </c>
      <c r="U34" s="19">
        <f>SUM(U24:U33)</f>
        <v>0.99999999999999978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1571</v>
      </c>
      <c r="C35" s="5">
        <v>679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9096</v>
      </c>
      <c r="O35" s="5">
        <v>11346</v>
      </c>
      <c r="P35" s="9">
        <f>O35/O$39</f>
        <v>5.0891932018498003E-2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4771</v>
      </c>
      <c r="C36" s="5">
        <v>248</v>
      </c>
      <c r="D36" s="5">
        <v>0</v>
      </c>
      <c r="E36" s="5">
        <v>0</v>
      </c>
      <c r="F36" s="5">
        <v>0</v>
      </c>
      <c r="G36" s="54">
        <v>18200</v>
      </c>
      <c r="H36" s="5">
        <v>0</v>
      </c>
      <c r="I36" s="5"/>
      <c r="J36" s="5"/>
      <c r="K36" s="5"/>
      <c r="L36" s="5"/>
      <c r="N36" s="5">
        <v>45224</v>
      </c>
      <c r="O36" s="54">
        <f>SUM(B36:N36)</f>
        <v>68443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6729</v>
      </c>
      <c r="C37" s="5">
        <v>129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1605</v>
      </c>
      <c r="O37" s="5">
        <v>8463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4">
        <f>O38</f>
        <v>3149</v>
      </c>
      <c r="O38" s="54">
        <f>O39-SUM(O31:O37)</f>
        <v>3149</v>
      </c>
      <c r="P38" s="23">
        <f>SUM(P31:P35)</f>
        <v>0.64091718511009543</v>
      </c>
      <c r="Q38" s="23"/>
      <c r="R38" s="16"/>
      <c r="S38" s="13" t="s">
        <v>22</v>
      </c>
      <c r="T38" s="24">
        <f>O45/1000</f>
        <v>11.878959999999999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20124</v>
      </c>
      <c r="C39" s="5">
        <v>69540</v>
      </c>
      <c r="D39" s="5">
        <v>0</v>
      </c>
      <c r="E39" s="54">
        <f>E32</f>
        <v>12540</v>
      </c>
      <c r="F39" s="5">
        <v>5220</v>
      </c>
      <c r="G39" s="5">
        <v>19107</v>
      </c>
      <c r="H39" s="5">
        <v>0</v>
      </c>
      <c r="I39" s="5"/>
      <c r="J39" s="5"/>
      <c r="K39" s="5"/>
      <c r="L39" s="5"/>
      <c r="N39" s="54">
        <f>SUM(N31:N38)</f>
        <v>96412</v>
      </c>
      <c r="O39" s="5">
        <v>222943</v>
      </c>
      <c r="P39" s="60">
        <f>SUM(B39:N39)</f>
        <v>222943</v>
      </c>
      <c r="Q39" s="16"/>
      <c r="R39" s="16"/>
      <c r="S39" s="13" t="s">
        <v>63</v>
      </c>
      <c r="T39" s="25">
        <f>O41/1000</f>
        <v>80.055000000000007</v>
      </c>
      <c r="U39" s="19">
        <f>P41</f>
        <v>0.35908281488990457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7"/>
      <c r="O40" s="21"/>
      <c r="P40" s="21"/>
      <c r="Q40" s="21"/>
      <c r="R40" s="21"/>
      <c r="S40" s="13" t="s">
        <v>65</v>
      </c>
      <c r="T40" s="25">
        <f>O35/1000</f>
        <v>11.346</v>
      </c>
      <c r="U40" s="20">
        <f>P35</f>
        <v>5.0891932018498003E-2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11500</v>
      </c>
      <c r="C41" s="8">
        <f t="shared" ref="C41:O41" si="0">C38+C37+C36</f>
        <v>377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18200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49978</v>
      </c>
      <c r="O41" s="8">
        <f t="shared" si="0"/>
        <v>80055</v>
      </c>
      <c r="P41" s="9">
        <f>O41/O$39</f>
        <v>0.35908281488990457</v>
      </c>
      <c r="Q41" s="9" t="s">
        <v>60</v>
      </c>
      <c r="R41" s="13"/>
      <c r="S41" s="13" t="s">
        <v>66</v>
      </c>
      <c r="T41" s="25">
        <f>O33/1000</f>
        <v>12.105</v>
      </c>
      <c r="U41" s="19">
        <f>P33</f>
        <v>5.4296389660137341E-2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69540</v>
      </c>
      <c r="D42" s="11">
        <f t="shared" ref="D42:M42" si="1">D39+D23+D10</f>
        <v>0</v>
      </c>
      <c r="E42" s="11">
        <f t="shared" si="1"/>
        <v>12540</v>
      </c>
      <c r="F42" s="11">
        <f t="shared" si="1"/>
        <v>5797</v>
      </c>
      <c r="G42" s="11">
        <f t="shared" si="1"/>
        <v>46451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104124.96</v>
      </c>
      <c r="O42" s="12">
        <f>SUM(C42:N42)</f>
        <v>238452.96000000002</v>
      </c>
      <c r="P42" s="13"/>
      <c r="Q42" s="13"/>
      <c r="R42" s="13"/>
      <c r="S42" s="13" t="s">
        <v>53</v>
      </c>
      <c r="T42" s="25">
        <f>O31/1000</f>
        <v>6.7990000000000004</v>
      </c>
      <c r="U42" s="19">
        <f>P31</f>
        <v>3.0496584328729766E-2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0.29162984598723368</v>
      </c>
      <c r="D43" s="9">
        <f t="shared" si="2"/>
        <v>0</v>
      </c>
      <c r="E43" s="9">
        <f t="shared" si="2"/>
        <v>5.2588988620648695E-2</v>
      </c>
      <c r="F43" s="9">
        <f t="shared" si="2"/>
        <v>2.4310874564106896E-2</v>
      </c>
      <c r="G43" s="9">
        <f t="shared" si="2"/>
        <v>0.19480152395675859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0.43666876687125206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43.576999999999998</v>
      </c>
      <c r="U43" s="20">
        <f>P32</f>
        <v>0.19546251732505618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69.061000000000007</v>
      </c>
      <c r="U44" s="20">
        <f>P34</f>
        <v>0.30976976177767412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4166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7712.96</v>
      </c>
      <c r="O45" s="12">
        <f>B45+N45</f>
        <v>11878.96</v>
      </c>
      <c r="P45" s="13"/>
      <c r="Q45" s="13"/>
      <c r="R45" s="13"/>
      <c r="S45" s="13" t="s">
        <v>69</v>
      </c>
      <c r="T45" s="25">
        <f>SUM(T39:T44)</f>
        <v>222.94300000000001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4" width="8.83203125" style="1"/>
    <col min="5" max="5" width="8.83203125" style="1" customWidth="1"/>
    <col min="6" max="6" width="8.83203125" style="1"/>
    <col min="7" max="7" width="9.1640625" style="1" customWidth="1"/>
    <col min="8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24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492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f>B10-B9</f>
        <v>10271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66">
        <v>1465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29"/>
      <c r="X9" s="5"/>
      <c r="Y9" s="5"/>
      <c r="Z9" s="5"/>
      <c r="AA9" s="5"/>
      <c r="AB9" s="5"/>
      <c r="AC9" s="5"/>
      <c r="AD9" s="5"/>
      <c r="AE9" s="5"/>
      <c r="AF9" s="5"/>
      <c r="AG9" s="29"/>
    </row>
    <row r="10" spans="1:35" x14ac:dyDescent="0.2">
      <c r="A10" s="2" t="s">
        <v>5</v>
      </c>
      <c r="B10" s="5">
        <v>11736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29"/>
      <c r="X10" s="5"/>
      <c r="Y10" s="5"/>
      <c r="Z10" s="5"/>
      <c r="AA10" s="5"/>
      <c r="AB10" s="5"/>
      <c r="AC10" s="5"/>
      <c r="AD10" s="5"/>
      <c r="AE10" s="5"/>
      <c r="AF10" s="5"/>
      <c r="AG10" s="29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65">
        <v>36900</v>
      </c>
      <c r="C18" s="65">
        <v>600</v>
      </c>
      <c r="D18" s="5">
        <v>0</v>
      </c>
      <c r="E18" s="57">
        <v>0</v>
      </c>
      <c r="F18" s="5">
        <v>0</v>
      </c>
      <c r="G18" s="65">
        <v>40900</v>
      </c>
      <c r="H18" s="5">
        <v>0</v>
      </c>
      <c r="I18" s="5"/>
      <c r="J18" s="5"/>
      <c r="K18" s="5"/>
      <c r="L18" s="5"/>
      <c r="M18" s="5"/>
      <c r="N18" s="5">
        <v>521</v>
      </c>
      <c r="O18" s="57">
        <f>SUM(C18:N18)</f>
        <v>42021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65">
        <v>124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1063.4490800000001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65">
        <f>SUM(B17:B22)</f>
        <v>37024</v>
      </c>
      <c r="C23" s="57">
        <f>SUM(C17:C22)</f>
        <v>600</v>
      </c>
      <c r="D23" s="5">
        <v>0</v>
      </c>
      <c r="E23" s="57">
        <f>SUM(E17:E22)</f>
        <v>0</v>
      </c>
      <c r="F23" s="5">
        <v>0</v>
      </c>
      <c r="G23" s="57">
        <f>SUM(G17:G22)</f>
        <v>40900</v>
      </c>
      <c r="H23" s="5">
        <v>0</v>
      </c>
      <c r="I23" s="5"/>
      <c r="J23" s="5"/>
      <c r="K23" s="5"/>
      <c r="L23" s="5"/>
      <c r="M23" s="5"/>
      <c r="N23" s="57">
        <f>SUM(N17:N22)</f>
        <v>521</v>
      </c>
      <c r="O23" s="57">
        <f>SUM(O17:O22)</f>
        <v>42021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542.87108000000001</v>
      </c>
      <c r="U24" s="19">
        <f>N43</f>
        <v>0.51048149855938563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143.291</v>
      </c>
      <c r="U25" s="20">
        <f>G43</f>
        <v>0.13474175933275526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24.286000000000001</v>
      </c>
      <c r="U27" s="19">
        <f>F43</f>
        <v>2.2837012562933429E-2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37.222000000000001</v>
      </c>
      <c r="U28" s="19">
        <f>E43</f>
        <v>3.50012056994774E-2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11678</v>
      </c>
      <c r="D31" s="5">
        <v>0</v>
      </c>
      <c r="E31" s="5">
        <v>0</v>
      </c>
      <c r="F31" s="5">
        <v>1172</v>
      </c>
      <c r="G31" s="5">
        <v>0</v>
      </c>
      <c r="H31" s="5">
        <v>0</v>
      </c>
      <c r="I31" s="5"/>
      <c r="J31" s="5"/>
      <c r="K31" s="5"/>
      <c r="L31" s="5"/>
      <c r="N31" s="5">
        <v>16032</v>
      </c>
      <c r="O31" s="5">
        <v>28882</v>
      </c>
      <c r="P31" s="9">
        <f>O31/O$39</f>
        <v>2.8471105012460175E-2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2068</v>
      </c>
      <c r="C32" s="5">
        <v>8177</v>
      </c>
      <c r="D32" s="5">
        <v>0</v>
      </c>
      <c r="E32" s="54">
        <v>32472</v>
      </c>
      <c r="F32" s="5">
        <v>0</v>
      </c>
      <c r="G32" s="54">
        <f>O32-N32-E32-C32-B32</f>
        <v>43948</v>
      </c>
      <c r="H32" s="5">
        <v>0</v>
      </c>
      <c r="I32" s="5"/>
      <c r="J32" s="5"/>
      <c r="K32" s="5"/>
      <c r="L32" s="5"/>
      <c r="N32" s="5">
        <v>267898</v>
      </c>
      <c r="O32" s="5">
        <v>354563</v>
      </c>
      <c r="P32" s="9">
        <f>O32/O$39</f>
        <v>0.3495187454654427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14843</v>
      </c>
      <c r="C33" s="5">
        <v>1342</v>
      </c>
      <c r="D33" s="5">
        <v>0</v>
      </c>
      <c r="E33" s="68">
        <v>1190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29159</v>
      </c>
      <c r="O33" s="68">
        <f>SUM(B33:N33)</f>
        <v>46534</v>
      </c>
      <c r="P33" s="9">
        <f>O33/O$39</f>
        <v>4.5871975647455918E-2</v>
      </c>
      <c r="Q33" s="23" t="s">
        <v>55</v>
      </c>
      <c r="R33" s="16"/>
      <c r="S33" s="16" t="s">
        <v>58</v>
      </c>
      <c r="T33" s="18">
        <f>C42/1000</f>
        <v>315.779</v>
      </c>
      <c r="U33" s="20">
        <f>C43</f>
        <v>0.29693852384544822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285073</v>
      </c>
      <c r="D34" s="5">
        <v>0</v>
      </c>
      <c r="E34" s="5">
        <v>0</v>
      </c>
      <c r="F34" s="5">
        <v>23114</v>
      </c>
      <c r="G34" s="5">
        <v>0</v>
      </c>
      <c r="H34" s="5">
        <v>0</v>
      </c>
      <c r="I34" s="5"/>
      <c r="J34" s="5"/>
      <c r="K34" s="5"/>
      <c r="L34" s="5"/>
      <c r="N34" s="5">
        <v>0</v>
      </c>
      <c r="O34" s="5">
        <v>308187</v>
      </c>
      <c r="P34" s="9">
        <f>O34/O$39</f>
        <v>0.3038025220024605</v>
      </c>
      <c r="Q34" s="23" t="s">
        <v>56</v>
      </c>
      <c r="R34" s="16"/>
      <c r="S34" s="16"/>
      <c r="T34" s="18">
        <f>SUM(T24:T33)</f>
        <v>1063.4490800000001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2613</v>
      </c>
      <c r="C35" s="5">
        <v>1425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75058</v>
      </c>
      <c r="O35" s="5">
        <v>79096</v>
      </c>
      <c r="P35" s="9">
        <f>O35/O$39</f>
        <v>7.79707264755055E-2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263</v>
      </c>
      <c r="C36" s="5">
        <v>3744</v>
      </c>
      <c r="D36" s="5">
        <v>0</v>
      </c>
      <c r="E36" s="68">
        <v>2110</v>
      </c>
      <c r="F36" s="5">
        <v>0</v>
      </c>
      <c r="G36" s="5">
        <v>58443</v>
      </c>
      <c r="H36" s="5">
        <v>0</v>
      </c>
      <c r="I36" s="5"/>
      <c r="J36" s="5"/>
      <c r="K36" s="5"/>
      <c r="L36" s="5"/>
      <c r="N36" s="5">
        <v>100134</v>
      </c>
      <c r="O36" s="68">
        <f>SUM(B36:N36)</f>
        <v>164694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13391</v>
      </c>
      <c r="C37" s="5">
        <v>3740</v>
      </c>
      <c r="D37" s="5">
        <v>0</v>
      </c>
      <c r="E37" s="68">
        <v>1450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12589</v>
      </c>
      <c r="O37" s="68">
        <f>SUM(B37:N37)</f>
        <v>31170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1306</v>
      </c>
      <c r="O38" s="5">
        <v>1306</v>
      </c>
      <c r="P38" s="23">
        <f>SUM(P31:P35)</f>
        <v>0.80563507460332484</v>
      </c>
      <c r="Q38" s="23"/>
      <c r="R38" s="16"/>
      <c r="S38" s="13" t="s">
        <v>22</v>
      </c>
      <c r="T38" s="24">
        <f>O45/1000</f>
        <v>44.02008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33178</v>
      </c>
      <c r="C39" s="5">
        <v>315179</v>
      </c>
      <c r="D39" s="5">
        <v>0</v>
      </c>
      <c r="E39" s="66">
        <f>SUM(E31:E38)</f>
        <v>37222</v>
      </c>
      <c r="F39" s="5">
        <v>24286</v>
      </c>
      <c r="G39" s="66">
        <f>SUM(G31:G38)</f>
        <v>102391</v>
      </c>
      <c r="H39" s="5">
        <v>0</v>
      </c>
      <c r="I39" s="5"/>
      <c r="J39" s="5"/>
      <c r="K39" s="5"/>
      <c r="L39" s="5"/>
      <c r="N39" s="5">
        <v>502176</v>
      </c>
      <c r="O39" s="68">
        <f>SUM(O31:O38)</f>
        <v>1014432</v>
      </c>
      <c r="P39" s="16"/>
      <c r="Q39" s="16"/>
      <c r="R39" s="16"/>
      <c r="S39" s="13" t="s">
        <v>63</v>
      </c>
      <c r="T39" s="25">
        <f>O41/1000</f>
        <v>197.17</v>
      </c>
      <c r="U39" s="19">
        <f>P41</f>
        <v>0.19436492539667519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79.096000000000004</v>
      </c>
      <c r="U40" s="20">
        <f>P35</f>
        <v>7.79707264755055E-2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13654</v>
      </c>
      <c r="C41" s="8">
        <f t="shared" ref="C41:O41" si="0">C38+C37+C36</f>
        <v>7484</v>
      </c>
      <c r="D41" s="8">
        <f t="shared" si="0"/>
        <v>0</v>
      </c>
      <c r="E41" s="8">
        <f t="shared" si="0"/>
        <v>3560</v>
      </c>
      <c r="F41" s="8">
        <f t="shared" si="0"/>
        <v>0</v>
      </c>
      <c r="G41" s="8">
        <f t="shared" si="0"/>
        <v>58443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114029</v>
      </c>
      <c r="O41" s="8">
        <f t="shared" si="0"/>
        <v>197170</v>
      </c>
      <c r="P41" s="9">
        <f>O41/O$39</f>
        <v>0.19436492539667519</v>
      </c>
      <c r="Q41" s="9" t="s">
        <v>60</v>
      </c>
      <c r="R41" s="13"/>
      <c r="S41" s="13" t="s">
        <v>66</v>
      </c>
      <c r="T41" s="25">
        <f>O33/1000</f>
        <v>46.533999999999999</v>
      </c>
      <c r="U41" s="19">
        <f>P33</f>
        <v>4.5871975647455918E-2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315779</v>
      </c>
      <c r="D42" s="11">
        <f t="shared" ref="D42:M42" si="1">D39+D23+D10</f>
        <v>0</v>
      </c>
      <c r="E42" s="11">
        <f t="shared" si="1"/>
        <v>37222</v>
      </c>
      <c r="F42" s="11">
        <f t="shared" si="1"/>
        <v>24286</v>
      </c>
      <c r="G42" s="11">
        <f t="shared" si="1"/>
        <v>143291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542871.07999999996</v>
      </c>
      <c r="O42" s="12">
        <f>SUM(C42:N42)</f>
        <v>1063449.08</v>
      </c>
      <c r="P42" s="13"/>
      <c r="Q42" s="13"/>
      <c r="R42" s="13"/>
      <c r="S42" s="13" t="s">
        <v>53</v>
      </c>
      <c r="T42" s="25">
        <f>O31/1000</f>
        <v>28.882000000000001</v>
      </c>
      <c r="U42" s="19">
        <f>P31</f>
        <v>2.8471105012460175E-2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0.29693852384544822</v>
      </c>
      <c r="D43" s="9">
        <f t="shared" si="2"/>
        <v>0</v>
      </c>
      <c r="E43" s="9">
        <f t="shared" si="2"/>
        <v>3.50012056994774E-2</v>
      </c>
      <c r="F43" s="9">
        <f t="shared" si="2"/>
        <v>2.2837012562933429E-2</v>
      </c>
      <c r="G43" s="9">
        <f t="shared" si="2"/>
        <v>0.13474175933275526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0.51048149855938563</v>
      </c>
      <c r="O43" s="9">
        <f>SUM(C43:N43)</f>
        <v>0.99999999999999989</v>
      </c>
      <c r="P43" s="13"/>
      <c r="Q43" s="13"/>
      <c r="R43" s="13"/>
      <c r="S43" s="13" t="s">
        <v>67</v>
      </c>
      <c r="T43" s="25">
        <f>O32/1000</f>
        <v>354.56299999999999</v>
      </c>
      <c r="U43" s="20">
        <f>P32</f>
        <v>0.3495187454654427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308.18700000000001</v>
      </c>
      <c r="U44" s="20">
        <f>P34</f>
        <v>0.3038025220024605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3846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40174.080000000002</v>
      </c>
      <c r="O45" s="12">
        <f>B45+N45</f>
        <v>44020.08</v>
      </c>
      <c r="P45" s="13"/>
      <c r="Q45" s="13"/>
      <c r="R45" s="13"/>
      <c r="S45" s="13" t="s">
        <v>69</v>
      </c>
      <c r="T45" s="25">
        <f>SUM(T39:T44)</f>
        <v>1014.4319999999999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5"/>
      <c r="C49" s="5"/>
      <c r="D49" s="5"/>
      <c r="E49" s="5"/>
      <c r="F49" s="5"/>
      <c r="G49" s="5"/>
      <c r="H49" s="5"/>
      <c r="I49" s="5"/>
      <c r="J49" s="5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5"/>
      <c r="C50" s="5"/>
      <c r="D50" s="5"/>
      <c r="E50" s="5"/>
      <c r="F50" s="5"/>
      <c r="G50" s="5"/>
      <c r="H50" s="5"/>
      <c r="I50" s="5"/>
      <c r="J50" s="5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5"/>
      <c r="C51" s="5"/>
      <c r="D51" s="5"/>
      <c r="E51" s="5"/>
      <c r="F51" s="5"/>
      <c r="G51" s="5"/>
      <c r="H51" s="5"/>
      <c r="I51" s="5"/>
      <c r="J51" s="5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5"/>
      <c r="C52" s="5"/>
      <c r="D52" s="5"/>
      <c r="E52" s="5"/>
      <c r="F52" s="5"/>
      <c r="G52" s="5"/>
      <c r="H52" s="5"/>
      <c r="I52" s="5"/>
      <c r="J52" s="5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5"/>
      <c r="C53" s="5"/>
      <c r="D53" s="5"/>
      <c r="E53" s="5"/>
      <c r="F53" s="5"/>
      <c r="G53" s="5"/>
      <c r="H53" s="5"/>
      <c r="I53" s="5"/>
      <c r="J53" s="5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5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59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B23" sqref="B23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32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158</v>
      </c>
    </row>
    <row r="6" spans="1:35" x14ac:dyDescent="0.2">
      <c r="A6" s="2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v>1600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4">
        <f>SUM(B6:B9)</f>
        <v>1600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>
        <v>0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58289</v>
      </c>
      <c r="C18" s="5">
        <v>806</v>
      </c>
      <c r="D18" s="5">
        <v>0</v>
      </c>
      <c r="E18" s="5">
        <v>0</v>
      </c>
      <c r="F18" s="5">
        <v>0</v>
      </c>
      <c r="G18" s="5">
        <v>64530</v>
      </c>
      <c r="H18" s="5">
        <v>0</v>
      </c>
      <c r="I18" s="5"/>
      <c r="J18" s="5"/>
      <c r="K18" s="5"/>
      <c r="L18" s="5"/>
      <c r="M18" s="5"/>
      <c r="N18" s="5"/>
      <c r="O18" s="5">
        <v>65336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933.72047999999995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58289</v>
      </c>
      <c r="C23" s="5">
        <v>806</v>
      </c>
      <c r="D23" s="5">
        <v>0</v>
      </c>
      <c r="E23" s="5">
        <v>0</v>
      </c>
      <c r="F23" s="5">
        <v>0</v>
      </c>
      <c r="G23" s="5">
        <v>64530</v>
      </c>
      <c r="H23" s="5">
        <v>0</v>
      </c>
      <c r="I23" s="5"/>
      <c r="J23" s="5"/>
      <c r="K23" s="5"/>
      <c r="L23" s="5"/>
      <c r="M23" s="5"/>
      <c r="N23" s="5"/>
      <c r="O23" s="5">
        <v>65336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392.96447999999998</v>
      </c>
      <c r="U24" s="19">
        <f>N43</f>
        <v>0.42085879919866381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265.27800000000002</v>
      </c>
      <c r="U25" s="20">
        <f>G43</f>
        <v>0.28410858033230674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15.291</v>
      </c>
      <c r="U27" s="19">
        <f>F43</f>
        <v>1.6376421346139907E-2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78.453000000000003</v>
      </c>
      <c r="U28" s="19">
        <f>E43</f>
        <v>8.4021933416304637E-2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4296</v>
      </c>
      <c r="D31" s="5">
        <v>0</v>
      </c>
      <c r="E31" s="5">
        <v>0</v>
      </c>
      <c r="F31" s="5">
        <v>440</v>
      </c>
      <c r="G31" s="5">
        <v>0</v>
      </c>
      <c r="H31" s="5">
        <v>0</v>
      </c>
      <c r="I31" s="5"/>
      <c r="J31" s="5"/>
      <c r="K31" s="5"/>
      <c r="L31" s="5"/>
      <c r="N31" s="5">
        <v>7235</v>
      </c>
      <c r="O31" s="5">
        <v>11971</v>
      </c>
      <c r="P31" s="9">
        <f>O31/O$39</f>
        <v>1.3506469475897986E-2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8400</v>
      </c>
      <c r="C32" s="5">
        <v>4017</v>
      </c>
      <c r="D32" s="5">
        <v>0</v>
      </c>
      <c r="E32" s="5">
        <v>78453</v>
      </c>
      <c r="F32" s="5">
        <v>0</v>
      </c>
      <c r="G32" s="54">
        <f>G39-G36</f>
        <v>160848</v>
      </c>
      <c r="H32" s="5">
        <v>0</v>
      </c>
      <c r="I32" s="5"/>
      <c r="J32" s="5"/>
      <c r="K32" s="5"/>
      <c r="L32" s="5"/>
      <c r="N32" s="5">
        <v>260071</v>
      </c>
      <c r="O32" s="54">
        <f>SUM(B32:N32)</f>
        <v>511789</v>
      </c>
      <c r="P32" s="9">
        <f>O32/O$39</f>
        <v>0.57743400773539011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3898</v>
      </c>
      <c r="C33" s="5">
        <v>176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11905</v>
      </c>
      <c r="O33" s="5">
        <v>15980</v>
      </c>
      <c r="P33" s="9">
        <f>O33/O$39</f>
        <v>1.8029686928815455E-2</v>
      </c>
      <c r="Q33" s="23" t="s">
        <v>55</v>
      </c>
      <c r="R33" s="16"/>
      <c r="S33" s="16" t="s">
        <v>58</v>
      </c>
      <c r="T33" s="18">
        <f>C42/1000</f>
        <v>181.73400000000001</v>
      </c>
      <c r="U33" s="20">
        <f>C43</f>
        <v>0.1946342657065849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169507</v>
      </c>
      <c r="D34" s="5">
        <v>0</v>
      </c>
      <c r="E34" s="5">
        <v>0</v>
      </c>
      <c r="F34" s="5">
        <v>14852</v>
      </c>
      <c r="G34" s="5">
        <v>0</v>
      </c>
      <c r="H34" s="5">
        <v>0</v>
      </c>
      <c r="I34" s="5"/>
      <c r="J34" s="5"/>
      <c r="K34" s="5"/>
      <c r="L34" s="5"/>
      <c r="N34" s="5">
        <v>370</v>
      </c>
      <c r="O34" s="5">
        <v>184729</v>
      </c>
      <c r="P34" s="9">
        <f>O34/O$39</f>
        <v>0.20842340655025973</v>
      </c>
      <c r="Q34" s="23" t="s">
        <v>56</v>
      </c>
      <c r="R34" s="16"/>
      <c r="S34" s="16"/>
      <c r="T34" s="18">
        <f>SUM(T24:T33)</f>
        <v>933.72048000000007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4953</v>
      </c>
      <c r="C35" s="5">
        <v>2497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30963</v>
      </c>
      <c r="O35" s="5">
        <v>38413</v>
      </c>
      <c r="P35" s="9">
        <f>O35/O$39</f>
        <v>4.3340072840837802E-2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8735</v>
      </c>
      <c r="C36" s="5">
        <v>374</v>
      </c>
      <c r="D36" s="5">
        <v>0</v>
      </c>
      <c r="E36" s="5">
        <v>0</v>
      </c>
      <c r="F36" s="5">
        <v>0</v>
      </c>
      <c r="G36" s="54">
        <v>39900</v>
      </c>
      <c r="H36" s="5">
        <v>0</v>
      </c>
      <c r="I36" s="5"/>
      <c r="J36" s="5"/>
      <c r="K36" s="5"/>
      <c r="L36" s="5"/>
      <c r="N36" s="5">
        <v>45581</v>
      </c>
      <c r="O36" s="54">
        <f>SUM(B36:N36)</f>
        <v>94590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21054</v>
      </c>
      <c r="C37" s="5">
        <v>60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5320</v>
      </c>
      <c r="O37" s="5">
        <v>26434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2411</v>
      </c>
      <c r="O38" s="5">
        <v>2411</v>
      </c>
      <c r="P38" s="23">
        <f>SUM(P31:P35)</f>
        <v>0.86073364353120108</v>
      </c>
      <c r="Q38" s="23"/>
      <c r="R38" s="16"/>
      <c r="S38" s="13" t="s">
        <v>22</v>
      </c>
      <c r="T38" s="24">
        <f>O45/1000</f>
        <v>40.357479999999995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47040</v>
      </c>
      <c r="C39" s="5">
        <v>180928</v>
      </c>
      <c r="D39" s="5">
        <v>0</v>
      </c>
      <c r="E39" s="5">
        <v>78453</v>
      </c>
      <c r="F39" s="5">
        <v>15291</v>
      </c>
      <c r="G39" s="5">
        <v>200748</v>
      </c>
      <c r="H39" s="5">
        <v>0</v>
      </c>
      <c r="I39" s="5"/>
      <c r="J39" s="5"/>
      <c r="K39" s="5"/>
      <c r="L39" s="5"/>
      <c r="N39" s="5">
        <v>363856</v>
      </c>
      <c r="O39" s="5">
        <v>886316</v>
      </c>
      <c r="P39" s="16"/>
      <c r="Q39" s="16"/>
      <c r="R39" s="16"/>
      <c r="S39" s="13" t="s">
        <v>63</v>
      </c>
      <c r="T39" s="25">
        <f>O41/1000</f>
        <v>123.435</v>
      </c>
      <c r="U39" s="19">
        <f>P41</f>
        <v>0.13926748473456418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7"/>
      <c r="P40" s="21"/>
      <c r="Q40" s="21"/>
      <c r="R40" s="21"/>
      <c r="S40" s="13" t="s">
        <v>65</v>
      </c>
      <c r="T40" s="25">
        <f>O35/1000</f>
        <v>38.412999999999997</v>
      </c>
      <c r="U40" s="20">
        <f>P35</f>
        <v>4.3340072840837802E-2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29789</v>
      </c>
      <c r="C41" s="8">
        <f t="shared" ref="C41:O41" si="0">C38+C37+C36</f>
        <v>434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39900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  <c r="N41" s="8">
        <f t="shared" si="0"/>
        <v>53312</v>
      </c>
      <c r="O41" s="8">
        <f t="shared" si="0"/>
        <v>123435</v>
      </c>
      <c r="P41" s="9">
        <f>O41/O$39</f>
        <v>0.13926748473456418</v>
      </c>
      <c r="Q41" s="9" t="s">
        <v>60</v>
      </c>
      <c r="R41" s="13"/>
      <c r="S41" s="13" t="s">
        <v>66</v>
      </c>
      <c r="T41" s="25">
        <f>O33/1000</f>
        <v>15.98</v>
      </c>
      <c r="U41" s="19">
        <f>P33</f>
        <v>1.8029686928815455E-2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181734</v>
      </c>
      <c r="D42" s="11">
        <f t="shared" ref="D42:M42" si="1">D39+D23+D10</f>
        <v>0</v>
      </c>
      <c r="E42" s="11">
        <f t="shared" si="1"/>
        <v>78453</v>
      </c>
      <c r="F42" s="11">
        <f t="shared" si="1"/>
        <v>15291</v>
      </c>
      <c r="G42" s="11">
        <f t="shared" si="1"/>
        <v>265278</v>
      </c>
      <c r="H42" s="11">
        <f t="shared" si="1"/>
        <v>0</v>
      </c>
      <c r="I42" s="11">
        <f t="shared" si="1"/>
        <v>0</v>
      </c>
      <c r="J42" s="11">
        <f t="shared" si="1"/>
        <v>0</v>
      </c>
      <c r="K42" s="11">
        <f t="shared" si="1"/>
        <v>0</v>
      </c>
      <c r="L42" s="11">
        <f t="shared" si="1"/>
        <v>0</v>
      </c>
      <c r="M42" s="11">
        <f t="shared" si="1"/>
        <v>0</v>
      </c>
      <c r="N42" s="11">
        <f>N39+N23-B6+N45</f>
        <v>392964.48</v>
      </c>
      <c r="O42" s="12">
        <f>SUM(C42:N42)</f>
        <v>933720.48</v>
      </c>
      <c r="P42" s="13"/>
      <c r="Q42" s="13"/>
      <c r="R42" s="13"/>
      <c r="S42" s="13" t="s">
        <v>53</v>
      </c>
      <c r="T42" s="25">
        <f>O31/1000</f>
        <v>11.971</v>
      </c>
      <c r="U42" s="19">
        <f>P31</f>
        <v>1.3506469475897986E-2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2">C42/$O42</f>
        <v>0.1946342657065849</v>
      </c>
      <c r="D43" s="9">
        <f t="shared" si="2"/>
        <v>0</v>
      </c>
      <c r="E43" s="9">
        <f t="shared" si="2"/>
        <v>8.4021933416304637E-2</v>
      </c>
      <c r="F43" s="9">
        <f t="shared" si="2"/>
        <v>1.6376421346139907E-2</v>
      </c>
      <c r="G43" s="9">
        <f t="shared" si="2"/>
        <v>0.28410858033230674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0.42085879919866381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511.78899999999999</v>
      </c>
      <c r="U43" s="20">
        <f>P32</f>
        <v>0.57743400773539011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184.72900000000001</v>
      </c>
      <c r="U44" s="20">
        <f>P34</f>
        <v>0.20842340655025973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11249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29108.48</v>
      </c>
      <c r="O45" s="12">
        <f>B45+N45</f>
        <v>40357.479999999996</v>
      </c>
      <c r="P45" s="13"/>
      <c r="Q45" s="13"/>
      <c r="R45" s="13"/>
      <c r="S45" s="13" t="s">
        <v>69</v>
      </c>
      <c r="T45" s="25">
        <f>SUM(T39:T44)</f>
        <v>886.31700000000001</v>
      </c>
      <c r="U45" s="19">
        <f>SUM(U39:U44)</f>
        <v>1.0000011282657653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4" width="9.5" style="1" customWidth="1"/>
    <col min="15" max="15" width="24" style="1" bestFit="1" customWidth="1"/>
    <col min="16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27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2309</v>
      </c>
    </row>
    <row r="6" spans="1:35" x14ac:dyDescent="0.2">
      <c r="A6" s="2" t="s">
        <v>2</v>
      </c>
      <c r="B6" s="5">
        <v>160808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">
        <v>62028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106105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">
        <v>328940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>
        <v>0</v>
      </c>
      <c r="E16" s="27"/>
      <c r="F16" s="27"/>
      <c r="H16" s="27"/>
      <c r="I16" s="27"/>
      <c r="J16" s="27"/>
      <c r="L16" s="27"/>
      <c r="M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721150</v>
      </c>
      <c r="C17" s="5">
        <v>23903</v>
      </c>
      <c r="D17" s="65">
        <v>0</v>
      </c>
      <c r="E17" s="5">
        <v>0</v>
      </c>
      <c r="F17" s="5">
        <v>0</v>
      </c>
      <c r="G17" s="73">
        <f>339600+64000</f>
        <v>403600</v>
      </c>
      <c r="H17" s="5">
        <v>0</v>
      </c>
      <c r="I17" s="5"/>
      <c r="J17" s="5"/>
      <c r="K17" s="73">
        <v>510900</v>
      </c>
      <c r="L17" s="5"/>
      <c r="M17" s="5"/>
      <c r="N17" s="73">
        <v>7500</v>
      </c>
      <c r="O17" s="65">
        <f>SUM(C17:N17)</f>
        <v>945903</v>
      </c>
      <c r="P17" s="60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35631</v>
      </c>
      <c r="C18" s="5">
        <v>2359</v>
      </c>
      <c r="D18" s="5">
        <v>0</v>
      </c>
      <c r="E18" s="5">
        <v>0</v>
      </c>
      <c r="F18" s="5">
        <v>0</v>
      </c>
      <c r="G18" s="5">
        <v>36058</v>
      </c>
      <c r="H18" s="5">
        <v>0</v>
      </c>
      <c r="I18" s="5"/>
      <c r="J18" s="5"/>
      <c r="K18" s="5"/>
      <c r="L18" s="5"/>
      <c r="M18" s="5"/>
      <c r="N18" s="5"/>
      <c r="O18" s="5">
        <v>38417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4309.6722800000007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756781</v>
      </c>
      <c r="C23" s="5">
        <f>SUM(C17:C22)</f>
        <v>26262</v>
      </c>
      <c r="D23" s="5">
        <f t="shared" ref="D23:O23" si="0">SUM(D17:D22)</f>
        <v>0</v>
      </c>
      <c r="E23" s="5">
        <f t="shared" si="0"/>
        <v>0</v>
      </c>
      <c r="F23" s="5">
        <f t="shared" si="0"/>
        <v>0</v>
      </c>
      <c r="G23" s="73">
        <f t="shared" si="0"/>
        <v>439658</v>
      </c>
      <c r="H23" s="5">
        <f t="shared" si="0"/>
        <v>0</v>
      </c>
      <c r="I23" s="5">
        <f t="shared" si="0"/>
        <v>0</v>
      </c>
      <c r="J23" s="5">
        <f t="shared" si="0"/>
        <v>0</v>
      </c>
      <c r="K23" s="73">
        <f t="shared" si="0"/>
        <v>510900</v>
      </c>
      <c r="L23" s="5">
        <f t="shared" si="0"/>
        <v>0</v>
      </c>
      <c r="M23" s="5">
        <f t="shared" si="0"/>
        <v>0</v>
      </c>
      <c r="N23" s="73">
        <f t="shared" si="0"/>
        <v>7500</v>
      </c>
      <c r="O23" s="5">
        <f t="shared" si="0"/>
        <v>984320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1199.78728</v>
      </c>
      <c r="U24" s="19">
        <f>N43</f>
        <v>0.27839408707893676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62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585.39800000000002</v>
      </c>
      <c r="U25" s="20">
        <f>G43</f>
        <v>0.1358335302469913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151.30699999999999</v>
      </c>
      <c r="U27" s="19">
        <f>F43</f>
        <v>3.5108702047293487E-2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25.193999999999999</v>
      </c>
      <c r="U28" s="19">
        <f>E43</f>
        <v>5.8459201449999809E-3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510.9</v>
      </c>
      <c r="U30" s="22">
        <f>K43</f>
        <v>0.11854729705804914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23207</v>
      </c>
      <c r="D31" s="5">
        <v>0</v>
      </c>
      <c r="E31" s="5">
        <v>0</v>
      </c>
      <c r="F31" s="5">
        <v>2015</v>
      </c>
      <c r="G31" s="5">
        <v>0</v>
      </c>
      <c r="H31" s="5">
        <v>0</v>
      </c>
      <c r="I31" s="5"/>
      <c r="J31" s="5"/>
      <c r="K31" s="5"/>
      <c r="L31" s="5"/>
      <c r="N31" s="5">
        <v>23997</v>
      </c>
      <c r="O31" s="5">
        <v>49219</v>
      </c>
      <c r="P31" s="9">
        <f>O31/O$39</f>
        <v>1.208994789573645E-2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5">
        <v>38747</v>
      </c>
      <c r="C32" s="5">
        <v>21467</v>
      </c>
      <c r="D32" s="5">
        <v>0</v>
      </c>
      <c r="E32" s="5">
        <v>25194</v>
      </c>
      <c r="F32" s="5">
        <v>0</v>
      </c>
      <c r="G32" s="5">
        <v>44297</v>
      </c>
      <c r="H32" s="5">
        <v>0</v>
      </c>
      <c r="I32" s="5"/>
      <c r="J32" s="5"/>
      <c r="K32" s="5"/>
      <c r="L32" s="5"/>
      <c r="N32" s="5">
        <v>249183</v>
      </c>
      <c r="O32" s="5">
        <v>378889</v>
      </c>
      <c r="P32" s="9">
        <f>O32/O$39</f>
        <v>9.3068698434907005E-2</v>
      </c>
      <c r="Q32" s="23" t="s">
        <v>54</v>
      </c>
      <c r="R32" s="16"/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5">
        <v>119765</v>
      </c>
      <c r="C33" s="5">
        <v>21281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132363</v>
      </c>
      <c r="O33" s="5">
        <v>273409</v>
      </c>
      <c r="P33" s="9">
        <f>O33/O$39</f>
        <v>6.7159035417733132E-2</v>
      </c>
      <c r="Q33" s="23" t="s">
        <v>55</v>
      </c>
      <c r="R33" s="16"/>
      <c r="S33" s="16" t="s">
        <v>58</v>
      </c>
      <c r="T33" s="18">
        <f>C42/1000</f>
        <v>1837.086</v>
      </c>
      <c r="U33" s="20">
        <f>C43</f>
        <v>0.42627046342372926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1670072</v>
      </c>
      <c r="D34" s="5">
        <v>0</v>
      </c>
      <c r="E34" s="5">
        <v>0</v>
      </c>
      <c r="F34" s="5">
        <v>149293</v>
      </c>
      <c r="G34" s="5">
        <v>0</v>
      </c>
      <c r="H34" s="5">
        <v>0</v>
      </c>
      <c r="I34" s="5"/>
      <c r="J34" s="5"/>
      <c r="K34" s="5"/>
      <c r="L34" s="5"/>
      <c r="N34" s="5">
        <v>1134</v>
      </c>
      <c r="O34" s="5">
        <v>1820499</v>
      </c>
      <c r="P34" s="9">
        <f>O34/O$39</f>
        <v>0.44717970812573016</v>
      </c>
      <c r="Q34" s="23" t="s">
        <v>56</v>
      </c>
      <c r="R34" s="16"/>
      <c r="S34" s="16"/>
      <c r="T34" s="18">
        <f>SUM(T24:T33)</f>
        <v>4309.6722799999998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5">
        <v>144681</v>
      </c>
      <c r="C35" s="5">
        <v>67873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433620</v>
      </c>
      <c r="O35" s="5">
        <v>646175</v>
      </c>
      <c r="P35" s="9">
        <f>O35/O$39</f>
        <v>0.15872370591697313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5">
        <v>78726</v>
      </c>
      <c r="C36" s="5">
        <v>3940</v>
      </c>
      <c r="D36" s="5">
        <v>0</v>
      </c>
      <c r="E36" s="5">
        <v>0</v>
      </c>
      <c r="F36" s="5">
        <v>0</v>
      </c>
      <c r="G36" s="5">
        <v>101443</v>
      </c>
      <c r="H36" s="5">
        <v>0</v>
      </c>
      <c r="I36" s="5"/>
      <c r="J36" s="5"/>
      <c r="K36" s="5"/>
      <c r="L36" s="5"/>
      <c r="N36" s="5">
        <v>323557</v>
      </c>
      <c r="O36" s="5">
        <v>507665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5">
        <v>303219</v>
      </c>
      <c r="C37" s="5">
        <v>2983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76302</v>
      </c>
      <c r="O37" s="5">
        <v>382504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12709</v>
      </c>
      <c r="O38" s="5">
        <v>12709</v>
      </c>
      <c r="P38" s="23">
        <f>SUM(P31:P35)</f>
        <v>0.7782210957910799</v>
      </c>
      <c r="Q38" s="23"/>
      <c r="R38" s="16"/>
      <c r="S38" s="13" t="s">
        <v>22</v>
      </c>
      <c r="T38" s="24">
        <f>O45/1000</f>
        <v>171.87227999999999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5">
        <v>685138</v>
      </c>
      <c r="C39" s="5">
        <v>1810824</v>
      </c>
      <c r="D39" s="5">
        <v>0</v>
      </c>
      <c r="E39" s="5">
        <v>25194</v>
      </c>
      <c r="F39" s="5">
        <v>151307</v>
      </c>
      <c r="G39" s="5">
        <v>145740</v>
      </c>
      <c r="H39" s="5">
        <v>0</v>
      </c>
      <c r="I39" s="5"/>
      <c r="J39" s="5"/>
      <c r="K39" s="5"/>
      <c r="L39" s="5"/>
      <c r="N39" s="5">
        <v>1252866</v>
      </c>
      <c r="O39" s="5">
        <v>4071068</v>
      </c>
      <c r="P39" s="16"/>
      <c r="Q39" s="16"/>
      <c r="R39" s="16"/>
      <c r="S39" s="13" t="s">
        <v>63</v>
      </c>
      <c r="T39" s="25">
        <f>O41/1000</f>
        <v>902.87800000000004</v>
      </c>
      <c r="U39" s="19">
        <f>P41</f>
        <v>0.22177914984470906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646.17499999999995</v>
      </c>
      <c r="U40" s="20">
        <f>P35</f>
        <v>0.15872370591697313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381945</v>
      </c>
      <c r="C41" s="8">
        <f t="shared" ref="C41:O41" si="1">C38+C37+C36</f>
        <v>6923</v>
      </c>
      <c r="D41" s="8">
        <f t="shared" si="1"/>
        <v>0</v>
      </c>
      <c r="E41" s="8">
        <f t="shared" si="1"/>
        <v>0</v>
      </c>
      <c r="F41" s="8">
        <f t="shared" si="1"/>
        <v>0</v>
      </c>
      <c r="G41" s="8">
        <f t="shared" si="1"/>
        <v>101443</v>
      </c>
      <c r="H41" s="8">
        <f t="shared" si="1"/>
        <v>0</v>
      </c>
      <c r="I41" s="8">
        <f t="shared" si="1"/>
        <v>0</v>
      </c>
      <c r="J41" s="8">
        <f t="shared" si="1"/>
        <v>0</v>
      </c>
      <c r="K41" s="8">
        <f t="shared" si="1"/>
        <v>0</v>
      </c>
      <c r="L41" s="8">
        <f t="shared" si="1"/>
        <v>0</v>
      </c>
      <c r="M41" s="8">
        <f t="shared" si="1"/>
        <v>0</v>
      </c>
      <c r="N41" s="8">
        <f t="shared" si="1"/>
        <v>412568</v>
      </c>
      <c r="O41" s="8">
        <f t="shared" si="1"/>
        <v>902878</v>
      </c>
      <c r="P41" s="9">
        <f>O41/O$39</f>
        <v>0.22177914984470906</v>
      </c>
      <c r="Q41" s="9" t="s">
        <v>60</v>
      </c>
      <c r="R41" s="13"/>
      <c r="S41" s="13" t="s">
        <v>66</v>
      </c>
      <c r="T41" s="25">
        <f>O33/1000</f>
        <v>273.40899999999999</v>
      </c>
      <c r="U41" s="19">
        <f>P33</f>
        <v>6.7159035417733132E-2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1837086</v>
      </c>
      <c r="D42" s="11">
        <f t="shared" ref="D42:M42" si="2">D39+D23+D10</f>
        <v>0</v>
      </c>
      <c r="E42" s="11">
        <f t="shared" si="2"/>
        <v>25194</v>
      </c>
      <c r="F42" s="11">
        <f t="shared" si="2"/>
        <v>151307</v>
      </c>
      <c r="G42" s="11">
        <f t="shared" si="2"/>
        <v>585398</v>
      </c>
      <c r="H42" s="11">
        <f t="shared" si="2"/>
        <v>0</v>
      </c>
      <c r="I42" s="11">
        <f t="shared" si="2"/>
        <v>0</v>
      </c>
      <c r="J42" s="11">
        <f t="shared" si="2"/>
        <v>0</v>
      </c>
      <c r="K42" s="11">
        <f t="shared" si="2"/>
        <v>510900</v>
      </c>
      <c r="L42" s="11">
        <f t="shared" si="2"/>
        <v>0</v>
      </c>
      <c r="M42" s="11">
        <f t="shared" si="2"/>
        <v>0</v>
      </c>
      <c r="N42" s="11">
        <f>N39+N23-B6+N45</f>
        <v>1199787.28</v>
      </c>
      <c r="O42" s="12">
        <f>SUM(C42:N42)</f>
        <v>4309672.28</v>
      </c>
      <c r="P42" s="13"/>
      <c r="Q42" s="13"/>
      <c r="R42" s="13"/>
      <c r="S42" s="13" t="s">
        <v>53</v>
      </c>
      <c r="T42" s="25">
        <f>O31/1000</f>
        <v>49.219000000000001</v>
      </c>
      <c r="U42" s="19">
        <f>P31</f>
        <v>1.208994789573645E-2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3">C42/$O42</f>
        <v>0.42627046342372926</v>
      </c>
      <c r="D43" s="9">
        <f t="shared" si="3"/>
        <v>0</v>
      </c>
      <c r="E43" s="9">
        <f t="shared" si="3"/>
        <v>5.8459201449999809E-3</v>
      </c>
      <c r="F43" s="9">
        <f t="shared" si="3"/>
        <v>3.5108702047293487E-2</v>
      </c>
      <c r="G43" s="9">
        <f t="shared" si="3"/>
        <v>0.1358335302469913</v>
      </c>
      <c r="H43" s="9">
        <f t="shared" si="3"/>
        <v>0</v>
      </c>
      <c r="I43" s="9">
        <f t="shared" si="3"/>
        <v>0</v>
      </c>
      <c r="J43" s="9">
        <f t="shared" si="3"/>
        <v>0</v>
      </c>
      <c r="K43" s="9">
        <f t="shared" si="3"/>
        <v>0.11854729705804914</v>
      </c>
      <c r="L43" s="9">
        <f t="shared" si="3"/>
        <v>0</v>
      </c>
      <c r="M43" s="9">
        <f t="shared" si="3"/>
        <v>0</v>
      </c>
      <c r="N43" s="9">
        <f t="shared" si="3"/>
        <v>0.27839408707893676</v>
      </c>
      <c r="O43" s="9">
        <f>SUM(C43:N43)</f>
        <v>0.99999999999999989</v>
      </c>
      <c r="P43" s="13"/>
      <c r="Q43" s="13"/>
      <c r="R43" s="13"/>
      <c r="S43" s="13" t="s">
        <v>67</v>
      </c>
      <c r="T43" s="25">
        <f>O32/1000</f>
        <v>378.88900000000001</v>
      </c>
      <c r="U43" s="20">
        <f>P32</f>
        <v>9.3068698434907005E-2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1820.499</v>
      </c>
      <c r="U44" s="20">
        <f>P34</f>
        <v>0.44717970812573016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71643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100229.28</v>
      </c>
      <c r="O45" s="12">
        <f>B45+N45</f>
        <v>171872.28</v>
      </c>
      <c r="P45" s="13"/>
      <c r="Q45" s="13"/>
      <c r="R45" s="13"/>
      <c r="S45" s="13" t="s">
        <v>69</v>
      </c>
      <c r="T45" s="25">
        <f>SUM(T39:T44)</f>
        <v>4071.0690000000004</v>
      </c>
      <c r="U45" s="19">
        <f>SUM(U39:U44)</f>
        <v>1.000000245635789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6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2"/>
      <c r="C55" s="3"/>
      <c r="D55" s="4"/>
      <c r="E55" s="3"/>
      <c r="F55" s="4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2"/>
      <c r="C56" s="3"/>
      <c r="D56" s="4"/>
      <c r="E56" s="3"/>
      <c r="F56" s="4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13"/>
      <c r="C57" s="30"/>
      <c r="D57" s="30"/>
      <c r="E57" s="30"/>
      <c r="F57" s="30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13"/>
      <c r="B58" s="13"/>
      <c r="C58" s="30"/>
      <c r="D58" s="30"/>
      <c r="E58" s="30"/>
      <c r="F58" s="30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13"/>
      <c r="C59" s="30"/>
      <c r="D59" s="30"/>
      <c r="E59" s="30"/>
      <c r="F59" s="30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13"/>
      <c r="C60" s="30"/>
      <c r="D60" s="30"/>
      <c r="E60" s="30"/>
      <c r="F60" s="30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13"/>
      <c r="B63" s="35"/>
      <c r="C63" s="35"/>
      <c r="D63" s="35"/>
      <c r="E63" s="35"/>
      <c r="F63" s="3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zoomScale="90" zoomScaleNormal="90" zoomScalePageLayoutView="90" workbookViewId="0">
      <selection activeCell="U35" sqref="U35"/>
    </sheetView>
  </sheetViews>
  <sheetFormatPr baseColWidth="10" defaultColWidth="8.83203125" defaultRowHeight="15" x14ac:dyDescent="0.2"/>
  <cols>
    <col min="1" max="1" width="15.5" style="1" customWidth="1"/>
    <col min="2" max="2" width="12" style="1" customWidth="1"/>
    <col min="3" max="3" width="13.83203125" style="1" customWidth="1"/>
    <col min="4" max="11" width="8.83203125" style="1"/>
    <col min="12" max="13" width="5.6640625" style="1" customWidth="1"/>
    <col min="14" max="16384" width="8.83203125" style="1"/>
  </cols>
  <sheetData>
    <row r="1" spans="1:35" ht="19" x14ac:dyDescent="0.25">
      <c r="A1" s="6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21"/>
      <c r="W1" s="21"/>
      <c r="X1" s="21"/>
      <c r="Y1" s="21"/>
      <c r="Z1" s="21"/>
      <c r="AA1" s="21"/>
      <c r="AB1" s="21"/>
      <c r="AC1" s="21"/>
    </row>
    <row r="2" spans="1:35" x14ac:dyDescent="0.2">
      <c r="A2" s="2" t="s">
        <v>29</v>
      </c>
      <c r="R2" s="2"/>
      <c r="AI2" s="2"/>
    </row>
    <row r="3" spans="1:35" x14ac:dyDescent="0.2">
      <c r="A3" s="26">
        <v>2015</v>
      </c>
      <c r="B3" s="14" t="s">
        <v>46</v>
      </c>
      <c r="C3" s="14" t="s">
        <v>58</v>
      </c>
      <c r="D3" s="14" t="s">
        <v>35</v>
      </c>
      <c r="E3" s="14" t="s">
        <v>49</v>
      </c>
      <c r="F3" s="14" t="s">
        <v>36</v>
      </c>
      <c r="G3" s="14" t="s">
        <v>70</v>
      </c>
      <c r="H3" s="14" t="s">
        <v>37</v>
      </c>
      <c r="I3" s="14" t="s">
        <v>43</v>
      </c>
      <c r="J3" s="14" t="s">
        <v>38</v>
      </c>
      <c r="K3" s="14" t="s">
        <v>39</v>
      </c>
      <c r="L3" s="14"/>
      <c r="M3" s="14"/>
      <c r="N3" s="14"/>
      <c r="O3" s="13" t="s">
        <v>44</v>
      </c>
    </row>
    <row r="4" spans="1:35" x14ac:dyDescent="0.2">
      <c r="A4" s="75" t="s">
        <v>74</v>
      </c>
      <c r="B4" s="1">
        <v>525</v>
      </c>
    </row>
    <row r="6" spans="1:35" x14ac:dyDescent="0.2">
      <c r="A6" s="2" t="s">
        <v>2</v>
      </c>
      <c r="B6" s="5">
        <v>32339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>
        <v>0</v>
      </c>
    </row>
    <row r="7" spans="1:35" x14ac:dyDescent="0.2">
      <c r="A7" s="2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5"/>
      <c r="N7" s="5"/>
      <c r="O7" s="5">
        <v>0</v>
      </c>
      <c r="P7" s="5"/>
    </row>
    <row r="8" spans="1:35" x14ac:dyDescent="0.2">
      <c r="A8" s="2" t="s">
        <v>4</v>
      </c>
      <c r="B8" s="54">
        <v>1400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5"/>
      <c r="N8" s="5"/>
      <c r="O8" s="5">
        <v>0</v>
      </c>
      <c r="P8" s="5"/>
    </row>
    <row r="9" spans="1:35" x14ac:dyDescent="0.2">
      <c r="A9" s="2" t="s">
        <v>71</v>
      </c>
      <c r="B9" s="5">
        <v>143119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>
        <v>0</v>
      </c>
      <c r="P9" s="5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5" x14ac:dyDescent="0.2">
      <c r="A10" s="2" t="s">
        <v>5</v>
      </c>
      <c r="B10" s="54">
        <f>SUM(B6:B9)</f>
        <v>176858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>
        <v>0</v>
      </c>
      <c r="P10" s="5"/>
      <c r="S10" s="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5" ht="16" x14ac:dyDescent="0.2">
      <c r="A11" s="2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6"/>
      <c r="Q11" s="16"/>
      <c r="R11" s="16"/>
      <c r="S11" s="16"/>
      <c r="T11" s="16"/>
      <c r="U11" s="16"/>
      <c r="V11" s="21"/>
      <c r="W11" s="21"/>
      <c r="X11" s="21"/>
      <c r="Y11" s="21"/>
      <c r="Z11" s="21"/>
      <c r="AA11" s="21"/>
      <c r="AB11" s="21"/>
      <c r="AC11" s="21"/>
    </row>
    <row r="12" spans="1:35" ht="16" x14ac:dyDescent="0.2">
      <c r="A12" s="2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6"/>
      <c r="Q12" s="16"/>
      <c r="R12" s="16"/>
      <c r="S12" s="16"/>
      <c r="T12" s="16"/>
      <c r="U12" s="16"/>
      <c r="V12" s="21"/>
      <c r="W12" s="21"/>
      <c r="X12" s="21"/>
      <c r="Y12" s="21"/>
      <c r="Z12" s="21"/>
      <c r="AA12" s="21"/>
      <c r="AB12" s="21"/>
      <c r="AC12" s="21"/>
    </row>
    <row r="13" spans="1:35" ht="19" x14ac:dyDescent="0.25">
      <c r="A13" s="6" t="s">
        <v>6</v>
      </c>
      <c r="B13" s="28"/>
      <c r="C13" s="28"/>
      <c r="D13" s="28"/>
      <c r="E13" s="28"/>
      <c r="F13" s="28"/>
      <c r="G13" s="28"/>
      <c r="H13" s="28"/>
      <c r="I13" s="27"/>
      <c r="J13" s="27"/>
      <c r="K13" s="27"/>
      <c r="L13" s="27"/>
      <c r="M13" s="27"/>
      <c r="N13" s="27"/>
      <c r="O13" s="28"/>
      <c r="P13" s="16"/>
      <c r="Q13" s="16"/>
      <c r="R13" s="16"/>
      <c r="S13" s="16"/>
      <c r="T13" s="16"/>
      <c r="U13" s="16"/>
      <c r="V13" s="21"/>
      <c r="W13" s="21"/>
      <c r="X13" s="21"/>
      <c r="Y13" s="21"/>
      <c r="Z13" s="21"/>
      <c r="AA13" s="21"/>
      <c r="AB13" s="21"/>
      <c r="AC13" s="21"/>
    </row>
    <row r="14" spans="1:35" ht="16" x14ac:dyDescent="0.2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6"/>
      <c r="Q14" s="16"/>
      <c r="R14" s="16"/>
      <c r="S14" s="16"/>
      <c r="T14" s="16"/>
      <c r="U14" s="16"/>
      <c r="V14" s="21"/>
      <c r="W14" s="21"/>
      <c r="X14" s="21"/>
      <c r="Y14" s="21"/>
      <c r="Z14" s="21"/>
      <c r="AA14" s="21"/>
      <c r="AB14" s="21"/>
      <c r="AC14" s="21"/>
    </row>
    <row r="15" spans="1:35" ht="16" x14ac:dyDescent="0.2">
      <c r="A15" s="21"/>
      <c r="B15" s="14" t="s">
        <v>47</v>
      </c>
      <c r="C15" s="14" t="s">
        <v>58</v>
      </c>
      <c r="D15" s="14" t="s">
        <v>35</v>
      </c>
      <c r="E15" s="14" t="s">
        <v>49</v>
      </c>
      <c r="F15" s="14" t="s">
        <v>36</v>
      </c>
      <c r="G15" s="14" t="s">
        <v>70</v>
      </c>
      <c r="H15" s="14" t="s">
        <v>37</v>
      </c>
      <c r="I15" s="14" t="s">
        <v>43</v>
      </c>
      <c r="J15" s="14" t="s">
        <v>38</v>
      </c>
      <c r="K15" s="14" t="s">
        <v>39</v>
      </c>
      <c r="L15" s="14"/>
      <c r="M15" s="14"/>
      <c r="N15" s="14" t="s">
        <v>41</v>
      </c>
      <c r="O15" s="27" t="s">
        <v>44</v>
      </c>
      <c r="P15" s="16"/>
      <c r="Q15" s="16"/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</row>
    <row r="16" spans="1:35" ht="16" x14ac:dyDescent="0.2">
      <c r="A16" s="2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6"/>
      <c r="Q16" s="16"/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</row>
    <row r="17" spans="1:29" ht="16" x14ac:dyDescent="0.2">
      <c r="A17" s="2" t="s">
        <v>7</v>
      </c>
      <c r="B17" s="5">
        <v>166194</v>
      </c>
      <c r="C17" s="5">
        <v>1778</v>
      </c>
      <c r="D17" s="5">
        <v>0</v>
      </c>
      <c r="E17" s="5">
        <v>0</v>
      </c>
      <c r="F17" s="5">
        <v>0</v>
      </c>
      <c r="G17" s="5">
        <v>185776</v>
      </c>
      <c r="H17" s="5">
        <v>0</v>
      </c>
      <c r="I17" s="5"/>
      <c r="J17" s="5"/>
      <c r="K17" s="5"/>
      <c r="L17" s="5"/>
      <c r="M17" s="5"/>
      <c r="N17" s="5"/>
      <c r="O17" s="5">
        <f>SUM(C17:N17)</f>
        <v>187554</v>
      </c>
      <c r="P17" s="16"/>
      <c r="Q17" s="16"/>
      <c r="R17" s="16"/>
      <c r="S17" s="16"/>
      <c r="T17" s="16"/>
      <c r="U17" s="16"/>
      <c r="V17" s="21"/>
      <c r="W17" s="21"/>
      <c r="X17" s="21"/>
      <c r="Y17" s="21"/>
      <c r="Z17" s="21"/>
      <c r="AA17" s="21"/>
      <c r="AB17" s="21"/>
      <c r="AC17" s="21"/>
    </row>
    <row r="18" spans="1:29" ht="16" x14ac:dyDescent="0.2">
      <c r="A18" s="2" t="s">
        <v>8</v>
      </c>
      <c r="B18" s="5">
        <v>13317</v>
      </c>
      <c r="C18" s="5">
        <v>786</v>
      </c>
      <c r="D18" s="5">
        <v>0</v>
      </c>
      <c r="E18" s="5">
        <v>0</v>
      </c>
      <c r="F18" s="5">
        <v>0</v>
      </c>
      <c r="G18" s="5">
        <v>14426</v>
      </c>
      <c r="H18" s="5">
        <v>0</v>
      </c>
      <c r="I18" s="5"/>
      <c r="J18" s="5"/>
      <c r="K18" s="5"/>
      <c r="L18" s="5"/>
      <c r="M18" s="5"/>
      <c r="N18" s="5"/>
      <c r="O18" s="5">
        <v>15212</v>
      </c>
      <c r="P18" s="16"/>
      <c r="Q18" s="16"/>
      <c r="R18" s="16"/>
      <c r="S18" s="16"/>
      <c r="T18" s="16"/>
      <c r="U18" s="16"/>
      <c r="V18" s="21"/>
      <c r="W18" s="21"/>
      <c r="X18" s="21"/>
      <c r="Y18" s="21"/>
      <c r="Z18" s="21"/>
      <c r="AA18" s="21"/>
      <c r="AB18" s="21"/>
      <c r="AC18" s="21"/>
    </row>
    <row r="19" spans="1:29" ht="16" x14ac:dyDescent="0.2">
      <c r="A19" s="2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5"/>
      <c r="N19" s="5"/>
      <c r="O19" s="5">
        <v>0</v>
      </c>
      <c r="P19" s="16"/>
      <c r="Q19" s="16"/>
      <c r="R19" s="16"/>
      <c r="S19" s="16"/>
      <c r="T19" s="16"/>
      <c r="U19" s="16"/>
      <c r="V19" s="21"/>
      <c r="W19" s="21"/>
      <c r="X19" s="21"/>
      <c r="Y19" s="21"/>
      <c r="Z19" s="21"/>
      <c r="AA19" s="21"/>
      <c r="AB19" s="21"/>
      <c r="AC19" s="21"/>
    </row>
    <row r="20" spans="1:29" ht="16" x14ac:dyDescent="0.2">
      <c r="A20" s="2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5"/>
      <c r="N20" s="5"/>
      <c r="O20" s="5">
        <v>0</v>
      </c>
      <c r="P20" s="16"/>
      <c r="Q20" s="16"/>
      <c r="R20" s="16"/>
      <c r="S20" s="16"/>
      <c r="T20" s="16"/>
      <c r="U20" s="16"/>
      <c r="V20" s="21"/>
      <c r="W20" s="21"/>
      <c r="X20" s="21"/>
      <c r="Y20" s="21"/>
      <c r="Z20" s="21"/>
      <c r="AA20" s="21"/>
      <c r="AB20" s="21"/>
      <c r="AC20" s="21"/>
    </row>
    <row r="21" spans="1:29" ht="16" x14ac:dyDescent="0.2">
      <c r="A21" s="2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/>
      <c r="J21" s="5"/>
      <c r="K21" s="5"/>
      <c r="L21" s="5"/>
      <c r="M21" s="5"/>
      <c r="N21" s="5"/>
      <c r="O21" s="5">
        <v>0</v>
      </c>
      <c r="P21" s="16"/>
      <c r="Q21" s="16"/>
      <c r="R21" s="16"/>
      <c r="S21" s="16" t="s">
        <v>50</v>
      </c>
      <c r="T21" s="17">
        <f>O42/1000</f>
        <v>934.80111999999997</v>
      </c>
      <c r="U21" s="16"/>
      <c r="V21" s="21"/>
      <c r="W21" s="21"/>
      <c r="X21" s="21"/>
      <c r="Y21" s="21"/>
      <c r="Z21" s="21"/>
      <c r="AA21" s="21"/>
      <c r="AB21" s="21"/>
      <c r="AC21" s="21"/>
    </row>
    <row r="22" spans="1:29" ht="16" x14ac:dyDescent="0.2">
      <c r="A22" s="2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5"/>
      <c r="N22" s="5"/>
      <c r="O22" s="5">
        <v>0</v>
      </c>
      <c r="P22" s="16"/>
      <c r="Q22" s="16"/>
      <c r="R22" s="16"/>
      <c r="S22" s="16"/>
      <c r="T22" s="16"/>
      <c r="U22" s="16"/>
      <c r="V22" s="21"/>
      <c r="W22" s="21"/>
      <c r="X22" s="21"/>
      <c r="Y22" s="21"/>
      <c r="Z22" s="21"/>
      <c r="AA22" s="21"/>
      <c r="AB22" s="21"/>
      <c r="AC22" s="21"/>
    </row>
    <row r="23" spans="1:29" ht="16" x14ac:dyDescent="0.2">
      <c r="A23" s="2" t="s">
        <v>5</v>
      </c>
      <c r="B23" s="5">
        <v>179511</v>
      </c>
      <c r="C23" s="5">
        <v>2564</v>
      </c>
      <c r="D23" s="5">
        <v>0</v>
      </c>
      <c r="E23" s="5">
        <v>0</v>
      </c>
      <c r="F23" s="5">
        <v>0</v>
      </c>
      <c r="G23" s="5">
        <f>SUM(G17:G22)</f>
        <v>200202</v>
      </c>
      <c r="H23" s="5">
        <v>0</v>
      </c>
      <c r="I23" s="5"/>
      <c r="J23" s="5"/>
      <c r="K23" s="5"/>
      <c r="L23" s="5"/>
      <c r="M23" s="5"/>
      <c r="N23" s="5"/>
      <c r="O23" s="5">
        <f>SUM(O17:O22)</f>
        <v>202766</v>
      </c>
      <c r="P23" s="16"/>
      <c r="Q23" s="16"/>
      <c r="R23" s="16"/>
      <c r="S23" s="16"/>
      <c r="T23" s="16" t="s">
        <v>51</v>
      </c>
      <c r="U23" s="16" t="s">
        <v>52</v>
      </c>
      <c r="V23" s="21"/>
      <c r="W23" s="21"/>
      <c r="X23" s="21"/>
      <c r="Y23" s="21"/>
      <c r="Z23" s="21"/>
      <c r="AA23" s="21"/>
      <c r="AB23" s="21"/>
      <c r="AC23" s="21"/>
    </row>
    <row r="24" spans="1:29" ht="16" x14ac:dyDescent="0.2">
      <c r="A24" s="2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  <c r="Q24" s="16"/>
      <c r="R24" s="16"/>
      <c r="S24" s="16" t="s">
        <v>41</v>
      </c>
      <c r="T24" s="18">
        <f>N42/1000</f>
        <v>292.24311999999998</v>
      </c>
      <c r="U24" s="19">
        <f>N43</f>
        <v>0.31262598401679281</v>
      </c>
      <c r="V24" s="21"/>
      <c r="W24" s="21"/>
      <c r="X24" s="21"/>
      <c r="Y24" s="21"/>
      <c r="Z24" s="21"/>
      <c r="AA24" s="21"/>
      <c r="AB24" s="21"/>
      <c r="AC24" s="21"/>
    </row>
    <row r="25" spans="1:29" ht="16" x14ac:dyDescent="0.2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 t="s">
        <v>70</v>
      </c>
      <c r="T25" s="18">
        <f>G42/1000</f>
        <v>429.37200000000001</v>
      </c>
      <c r="U25" s="20">
        <f>G43</f>
        <v>0.45931909024670403</v>
      </c>
      <c r="V25" s="21"/>
      <c r="W25" s="21"/>
      <c r="X25" s="21"/>
      <c r="Y25" s="21"/>
      <c r="Z25" s="21"/>
      <c r="AA25" s="21"/>
      <c r="AB25" s="21"/>
      <c r="AC25" s="21"/>
    </row>
    <row r="26" spans="1:29" ht="16" x14ac:dyDescent="0.2">
      <c r="A26" s="21"/>
      <c r="B26" s="6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6"/>
      <c r="Q26" s="16"/>
      <c r="R26" s="16"/>
      <c r="S26" s="16" t="s">
        <v>38</v>
      </c>
      <c r="T26" s="18">
        <f>J42/1000</f>
        <v>0</v>
      </c>
      <c r="U26" s="19">
        <f>J43</f>
        <v>0</v>
      </c>
      <c r="V26" s="21"/>
      <c r="W26" s="21"/>
      <c r="X26" s="21"/>
      <c r="Y26" s="21"/>
      <c r="Z26" s="21"/>
      <c r="AA26" s="21"/>
      <c r="AB26" s="21"/>
      <c r="AC26" s="21"/>
    </row>
    <row r="27" spans="1:29" ht="19" x14ac:dyDescent="0.25">
      <c r="A27" s="6" t="s">
        <v>13</v>
      </c>
      <c r="B27" s="28"/>
      <c r="C27" s="28"/>
      <c r="D27" s="28"/>
      <c r="E27" s="28"/>
      <c r="F27" s="28"/>
      <c r="G27" s="28"/>
      <c r="H27" s="27"/>
      <c r="I27" s="27"/>
      <c r="J27" s="27"/>
      <c r="K27" s="27"/>
      <c r="L27" s="27"/>
      <c r="M27" s="27"/>
      <c r="N27" s="27"/>
      <c r="O27" s="27"/>
      <c r="P27" s="16"/>
      <c r="Q27" s="16"/>
      <c r="R27" s="16"/>
      <c r="S27" s="16" t="s">
        <v>42</v>
      </c>
      <c r="T27" s="18">
        <f>F42/1000</f>
        <v>13.891999999999999</v>
      </c>
      <c r="U27" s="19">
        <f>F43</f>
        <v>1.4860915014735968E-2</v>
      </c>
      <c r="V27" s="21"/>
      <c r="W27" s="21"/>
      <c r="X27" s="21"/>
      <c r="Y27" s="21"/>
      <c r="Z27" s="21"/>
      <c r="AA27" s="21"/>
      <c r="AB27" s="21"/>
      <c r="AC27" s="21"/>
    </row>
    <row r="28" spans="1:29" ht="16" x14ac:dyDescent="0.2">
      <c r="A28" s="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6"/>
      <c r="Q28" s="16"/>
      <c r="R28" s="16"/>
      <c r="S28" s="16" t="s">
        <v>49</v>
      </c>
      <c r="T28" s="17">
        <f>E42/1000</f>
        <v>2.5</v>
      </c>
      <c r="U28" s="19">
        <f>E43</f>
        <v>2.6743656447480507E-3</v>
      </c>
      <c r="V28" s="21"/>
      <c r="W28" s="21"/>
      <c r="X28" s="21"/>
      <c r="Y28" s="21"/>
      <c r="Z28" s="21"/>
      <c r="AA28" s="21"/>
      <c r="AB28" s="21"/>
      <c r="AC28" s="21"/>
    </row>
    <row r="29" spans="1:29" ht="16" x14ac:dyDescent="0.2">
      <c r="A29" s="21"/>
      <c r="B29" s="14" t="s">
        <v>48</v>
      </c>
      <c r="C29" s="14" t="s">
        <v>58</v>
      </c>
      <c r="D29" s="14" t="s">
        <v>35</v>
      </c>
      <c r="E29" s="14" t="s">
        <v>49</v>
      </c>
      <c r="F29" s="14" t="s">
        <v>42</v>
      </c>
      <c r="G29" s="14" t="s">
        <v>70</v>
      </c>
      <c r="H29" s="14" t="s">
        <v>37</v>
      </c>
      <c r="I29" s="14" t="s">
        <v>43</v>
      </c>
      <c r="J29" s="14" t="s">
        <v>38</v>
      </c>
      <c r="K29" s="14" t="s">
        <v>39</v>
      </c>
      <c r="L29" s="14" t="s">
        <v>40</v>
      </c>
      <c r="M29" s="14" t="s">
        <v>40</v>
      </c>
      <c r="N29" s="14" t="s">
        <v>41</v>
      </c>
      <c r="O29" s="14" t="s">
        <v>45</v>
      </c>
      <c r="P29" s="16"/>
      <c r="Q29" s="16"/>
      <c r="R29" s="16"/>
      <c r="S29" s="21" t="s">
        <v>35</v>
      </c>
      <c r="T29" s="21">
        <f>D42/1000</f>
        <v>0</v>
      </c>
      <c r="U29" s="22">
        <f>D43</f>
        <v>0</v>
      </c>
      <c r="V29" s="21"/>
      <c r="W29" s="21"/>
      <c r="X29" s="21"/>
      <c r="Y29" s="21"/>
      <c r="Z29" s="21"/>
      <c r="AA29" s="21"/>
      <c r="AB29" s="21"/>
      <c r="AC29" s="21"/>
    </row>
    <row r="30" spans="1:29" ht="16" x14ac:dyDescent="0.2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6"/>
      <c r="Q30" s="16"/>
      <c r="R30" s="16"/>
      <c r="S30" s="21" t="s">
        <v>39</v>
      </c>
      <c r="T30" s="21">
        <f>K42/1000</f>
        <v>0</v>
      </c>
      <c r="U30" s="22">
        <f>K43</f>
        <v>0</v>
      </c>
      <c r="V30" s="21"/>
      <c r="W30" s="21"/>
      <c r="X30" s="21"/>
      <c r="Y30" s="21"/>
      <c r="Z30" s="21"/>
      <c r="AA30" s="21"/>
      <c r="AB30" s="21"/>
      <c r="AC30" s="21"/>
    </row>
    <row r="31" spans="1:29" ht="16" x14ac:dyDescent="0.2">
      <c r="A31" s="2" t="s">
        <v>14</v>
      </c>
      <c r="B31" s="5">
        <v>0</v>
      </c>
      <c r="C31" s="5">
        <v>9615</v>
      </c>
      <c r="D31" s="5">
        <v>0</v>
      </c>
      <c r="E31" s="5">
        <v>0</v>
      </c>
      <c r="F31" s="5">
        <v>964</v>
      </c>
      <c r="G31" s="5">
        <v>0</v>
      </c>
      <c r="H31" s="5">
        <v>0</v>
      </c>
      <c r="I31" s="5"/>
      <c r="J31" s="5"/>
      <c r="K31" s="5"/>
      <c r="L31" s="5"/>
      <c r="N31" s="5">
        <v>14859</v>
      </c>
      <c r="O31" s="5">
        <v>25438</v>
      </c>
      <c r="P31" s="9">
        <f>O31/O$39</f>
        <v>2.8288646953504665E-2</v>
      </c>
      <c r="Q31" s="23" t="s">
        <v>53</v>
      </c>
      <c r="R31" s="16"/>
      <c r="S31" s="16" t="s">
        <v>43</v>
      </c>
      <c r="T31" s="18">
        <f>I42/1000</f>
        <v>0</v>
      </c>
      <c r="U31" s="19">
        <f>I43</f>
        <v>0</v>
      </c>
      <c r="V31" s="21"/>
      <c r="W31" s="21"/>
      <c r="X31" s="21"/>
      <c r="Y31" s="21"/>
      <c r="Z31" s="21"/>
      <c r="AA31" s="21"/>
      <c r="AB31" s="21"/>
      <c r="AC31" s="21"/>
    </row>
    <row r="32" spans="1:29" ht="16" x14ac:dyDescent="0.2">
      <c r="A32" s="2" t="s">
        <v>15</v>
      </c>
      <c r="B32" s="65">
        <f>52900/2</f>
        <v>26450</v>
      </c>
      <c r="C32" s="5">
        <v>10537</v>
      </c>
      <c r="D32" s="5">
        <v>0</v>
      </c>
      <c r="E32" s="54">
        <v>2500</v>
      </c>
      <c r="F32" s="5">
        <v>0</v>
      </c>
      <c r="G32" s="54">
        <f>G39-G36</f>
        <v>175244</v>
      </c>
      <c r="H32" s="5">
        <v>0</v>
      </c>
      <c r="I32" s="5"/>
      <c r="J32" s="5"/>
      <c r="K32" s="5"/>
      <c r="L32" s="5"/>
      <c r="N32" s="5">
        <v>83830</v>
      </c>
      <c r="O32" s="65">
        <f>SUM(B32:N32)</f>
        <v>298561</v>
      </c>
      <c r="P32" s="9">
        <f>O32/O$39</f>
        <v>0.33201850472070549</v>
      </c>
      <c r="Q32" s="23" t="s">
        <v>54</v>
      </c>
      <c r="R32" s="60">
        <f>O32-N32-C32</f>
        <v>204194</v>
      </c>
      <c r="S32" s="16" t="s">
        <v>37</v>
      </c>
      <c r="T32" s="18">
        <f>H42/1000</f>
        <v>0</v>
      </c>
      <c r="U32" s="19">
        <f>H43</f>
        <v>0</v>
      </c>
      <c r="V32" s="21"/>
      <c r="W32" s="21"/>
      <c r="X32" s="21"/>
      <c r="Y32" s="21"/>
      <c r="Z32" s="21"/>
      <c r="AA32" s="21"/>
      <c r="AB32" s="21"/>
      <c r="AC32" s="21"/>
    </row>
    <row r="33" spans="1:29" ht="16" x14ac:dyDescent="0.2">
      <c r="A33" s="2" t="s">
        <v>16</v>
      </c>
      <c r="B33" s="65">
        <v>20400</v>
      </c>
      <c r="C33" s="5">
        <v>2507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N33" s="5">
        <v>24457</v>
      </c>
      <c r="O33" s="65">
        <f>SUM(B33:N33)</f>
        <v>47364</v>
      </c>
      <c r="P33" s="9">
        <f>O33/O$39</f>
        <v>5.2671730258109714E-2</v>
      </c>
      <c r="Q33" s="23" t="s">
        <v>55</v>
      </c>
      <c r="R33" s="16"/>
      <c r="S33" s="16" t="s">
        <v>58</v>
      </c>
      <c r="T33" s="18">
        <f>C42/1000</f>
        <v>196.79400000000001</v>
      </c>
      <c r="U33" s="20">
        <f>C43</f>
        <v>0.21051964507701917</v>
      </c>
      <c r="V33" s="21"/>
      <c r="W33" s="21"/>
      <c r="X33" s="21"/>
      <c r="Y33" s="21"/>
      <c r="Z33" s="21"/>
      <c r="AA33" s="21"/>
      <c r="AB33" s="21"/>
      <c r="AC33" s="21"/>
    </row>
    <row r="34" spans="1:29" ht="16" x14ac:dyDescent="0.2">
      <c r="A34" s="2" t="s">
        <v>17</v>
      </c>
      <c r="B34" s="5">
        <v>0</v>
      </c>
      <c r="C34" s="5">
        <v>165541</v>
      </c>
      <c r="D34" s="5">
        <v>0</v>
      </c>
      <c r="E34" s="5">
        <v>0</v>
      </c>
      <c r="F34" s="5">
        <v>12928</v>
      </c>
      <c r="G34" s="5">
        <v>0</v>
      </c>
      <c r="H34" s="5">
        <v>0</v>
      </c>
      <c r="I34" s="5"/>
      <c r="J34" s="5"/>
      <c r="K34" s="5"/>
      <c r="L34" s="5"/>
      <c r="N34" s="5">
        <v>853</v>
      </c>
      <c r="O34" s="5">
        <v>179322</v>
      </c>
      <c r="P34" s="9">
        <f>O34/O$39</f>
        <v>0.19941727922778377</v>
      </c>
      <c r="Q34" s="23" t="s">
        <v>56</v>
      </c>
      <c r="R34" s="16"/>
      <c r="S34" s="16"/>
      <c r="T34" s="18">
        <f>SUM(T24:T33)</f>
        <v>934.80111999999997</v>
      </c>
      <c r="U34" s="19">
        <f>SUM(U24:U33)</f>
        <v>1</v>
      </c>
      <c r="V34" s="21"/>
      <c r="W34" s="21"/>
      <c r="X34" s="21"/>
      <c r="Y34" s="21"/>
      <c r="Z34" s="21"/>
      <c r="AA34" s="21"/>
      <c r="AB34" s="21"/>
      <c r="AC34" s="21"/>
    </row>
    <row r="35" spans="1:29" ht="16" x14ac:dyDescent="0.2">
      <c r="A35" s="2" t="s">
        <v>18</v>
      </c>
      <c r="B35" s="65">
        <f>52900/2</f>
        <v>26450</v>
      </c>
      <c r="C35" s="5">
        <v>5721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N35" s="5">
        <v>64781</v>
      </c>
      <c r="O35" s="65">
        <f>SUM(B35:N35)</f>
        <v>96952</v>
      </c>
      <c r="P35" s="9">
        <f>O35/O$39</f>
        <v>0.10781668761051122</v>
      </c>
      <c r="Q35" s="23" t="s">
        <v>57</v>
      </c>
      <c r="R35" s="23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6" x14ac:dyDescent="0.2">
      <c r="A36" s="2" t="s">
        <v>19</v>
      </c>
      <c r="B36" s="65">
        <v>27200</v>
      </c>
      <c r="C36" s="5">
        <v>308</v>
      </c>
      <c r="D36" s="5">
        <v>0</v>
      </c>
      <c r="E36" s="5">
        <v>0</v>
      </c>
      <c r="F36" s="5">
        <v>0</v>
      </c>
      <c r="G36" s="5">
        <v>53926</v>
      </c>
      <c r="H36" s="5">
        <v>0</v>
      </c>
      <c r="I36" s="5"/>
      <c r="J36" s="5"/>
      <c r="K36" s="5"/>
      <c r="L36" s="5"/>
      <c r="N36" s="5">
        <v>90137</v>
      </c>
      <c r="O36" s="65">
        <f t="shared" ref="O36:O37" si="0">SUM(B36:N36)</f>
        <v>171571</v>
      </c>
      <c r="P36" s="23"/>
      <c r="Q36" s="23"/>
      <c r="R36" s="16"/>
      <c r="S36" s="13"/>
      <c r="T36" s="13"/>
      <c r="U36" s="13"/>
      <c r="V36" s="21"/>
      <c r="W36" s="21"/>
      <c r="X36" s="21"/>
      <c r="Y36" s="21"/>
      <c r="Z36" s="21"/>
      <c r="AA36" s="21"/>
      <c r="AB36" s="21"/>
      <c r="AC36" s="21"/>
    </row>
    <row r="37" spans="1:29" ht="16" x14ac:dyDescent="0.2">
      <c r="A37" s="2" t="s">
        <v>20</v>
      </c>
      <c r="B37" s="65">
        <v>58400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N37" s="5">
        <v>21468</v>
      </c>
      <c r="O37" s="65">
        <f t="shared" si="0"/>
        <v>79868</v>
      </c>
      <c r="P37" s="23"/>
      <c r="Q37" s="23"/>
      <c r="R37" s="16"/>
      <c r="S37" s="13"/>
      <c r="T37" s="13" t="s">
        <v>51</v>
      </c>
      <c r="U37" s="13" t="s">
        <v>52</v>
      </c>
      <c r="V37" s="21"/>
      <c r="W37" s="21"/>
      <c r="X37" s="21"/>
      <c r="Y37" s="21"/>
      <c r="Z37" s="21"/>
      <c r="AA37" s="21"/>
      <c r="AB37" s="21"/>
      <c r="AC37" s="21"/>
    </row>
    <row r="38" spans="1:29" ht="16" x14ac:dyDescent="0.2">
      <c r="A38" s="2" t="s">
        <v>21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N38" s="5">
        <v>154</v>
      </c>
      <c r="O38" s="5">
        <v>154</v>
      </c>
      <c r="P38" s="23">
        <f>SUM(P31:P35)</f>
        <v>0.72021284877061487</v>
      </c>
      <c r="Q38" s="23"/>
      <c r="R38" s="16"/>
      <c r="S38" s="13" t="s">
        <v>22</v>
      </c>
      <c r="T38" s="24">
        <f>O45/1000</f>
        <v>44.654119999999992</v>
      </c>
      <c r="U38" s="13"/>
      <c r="V38" s="21"/>
      <c r="W38" s="21"/>
      <c r="X38" s="21"/>
      <c r="Y38" s="21"/>
      <c r="Z38" s="21"/>
      <c r="AA38" s="21"/>
      <c r="AB38" s="21"/>
      <c r="AC38" s="21"/>
    </row>
    <row r="39" spans="1:29" ht="16" x14ac:dyDescent="0.2">
      <c r="A39" s="2" t="s">
        <v>5</v>
      </c>
      <c r="B39" s="65">
        <v>158900</v>
      </c>
      <c r="C39" s="5">
        <v>194230</v>
      </c>
      <c r="D39" s="5">
        <v>0</v>
      </c>
      <c r="E39" s="54">
        <f>E32</f>
        <v>2500</v>
      </c>
      <c r="F39" s="5">
        <v>13892</v>
      </c>
      <c r="G39" s="54">
        <v>229170</v>
      </c>
      <c r="H39" s="5">
        <v>0</v>
      </c>
      <c r="I39" s="5"/>
      <c r="J39" s="5"/>
      <c r="K39" s="5"/>
      <c r="L39" s="5"/>
      <c r="N39" s="5">
        <v>300539</v>
      </c>
      <c r="O39" s="65">
        <f>SUM(O31:O38)</f>
        <v>899230</v>
      </c>
      <c r="P39" s="16"/>
      <c r="Q39" s="16"/>
      <c r="R39" s="16"/>
      <c r="S39" s="13" t="s">
        <v>63</v>
      </c>
      <c r="T39" s="25">
        <f>O41/1000</f>
        <v>251.59299999999999</v>
      </c>
      <c r="U39" s="19">
        <f>P41</f>
        <v>0.27978715122938513</v>
      </c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3" t="s">
        <v>65</v>
      </c>
      <c r="T40" s="25">
        <f>O35/1000</f>
        <v>96.951999999999998</v>
      </c>
      <c r="U40" s="20">
        <f>P35</f>
        <v>0.10781668761051122</v>
      </c>
      <c r="V40" s="21"/>
      <c r="W40" s="21"/>
      <c r="X40" s="21"/>
      <c r="Y40" s="21"/>
      <c r="Z40" s="21"/>
      <c r="AA40" s="21"/>
      <c r="AB40" s="21"/>
      <c r="AC40" s="21"/>
    </row>
    <row r="41" spans="1:29" ht="16" x14ac:dyDescent="0.2">
      <c r="A41" s="7" t="s">
        <v>59</v>
      </c>
      <c r="B41" s="8">
        <f>B38+B37+B36</f>
        <v>85600</v>
      </c>
      <c r="C41" s="8">
        <f t="shared" ref="C41:O41" si="1">C38+C37+C36</f>
        <v>308</v>
      </c>
      <c r="D41" s="8">
        <f t="shared" si="1"/>
        <v>0</v>
      </c>
      <c r="E41" s="8">
        <f t="shared" si="1"/>
        <v>0</v>
      </c>
      <c r="F41" s="8">
        <f t="shared" si="1"/>
        <v>0</v>
      </c>
      <c r="G41" s="8">
        <f t="shared" si="1"/>
        <v>53926</v>
      </c>
      <c r="H41" s="8">
        <f t="shared" si="1"/>
        <v>0</v>
      </c>
      <c r="I41" s="8">
        <f t="shared" si="1"/>
        <v>0</v>
      </c>
      <c r="J41" s="8">
        <f t="shared" si="1"/>
        <v>0</v>
      </c>
      <c r="K41" s="8">
        <f t="shared" si="1"/>
        <v>0</v>
      </c>
      <c r="L41" s="8">
        <f t="shared" si="1"/>
        <v>0</v>
      </c>
      <c r="M41" s="8">
        <f t="shared" si="1"/>
        <v>0</v>
      </c>
      <c r="N41" s="8">
        <f t="shared" si="1"/>
        <v>111759</v>
      </c>
      <c r="O41" s="8">
        <f t="shared" si="1"/>
        <v>251593</v>
      </c>
      <c r="P41" s="9">
        <f>O41/O$39</f>
        <v>0.27978715122938513</v>
      </c>
      <c r="Q41" s="9" t="s">
        <v>60</v>
      </c>
      <c r="R41" s="14">
        <f>R32+G41</f>
        <v>258120</v>
      </c>
      <c r="S41" s="13" t="s">
        <v>66</v>
      </c>
      <c r="T41" s="25">
        <f>O33/1000</f>
        <v>47.363999999999997</v>
      </c>
      <c r="U41" s="19">
        <f>P33</f>
        <v>5.2671730258109714E-2</v>
      </c>
      <c r="V41" s="21"/>
      <c r="W41" s="21"/>
      <c r="X41" s="21"/>
      <c r="Y41" s="21"/>
      <c r="Z41" s="21"/>
      <c r="AA41" s="21"/>
      <c r="AB41" s="21"/>
      <c r="AC41" s="21"/>
    </row>
    <row r="42" spans="1:29" ht="16" x14ac:dyDescent="0.2">
      <c r="A42" s="10" t="s">
        <v>61</v>
      </c>
      <c r="B42" s="8"/>
      <c r="C42" s="11">
        <f>C39+C23+C10</f>
        <v>196794</v>
      </c>
      <c r="D42" s="11">
        <f t="shared" ref="D42:M42" si="2">D39+D23+D10</f>
        <v>0</v>
      </c>
      <c r="E42" s="11">
        <f t="shared" si="2"/>
        <v>2500</v>
      </c>
      <c r="F42" s="11">
        <f t="shared" si="2"/>
        <v>13892</v>
      </c>
      <c r="G42" s="11">
        <f t="shared" si="2"/>
        <v>429372</v>
      </c>
      <c r="H42" s="11">
        <f t="shared" si="2"/>
        <v>0</v>
      </c>
      <c r="I42" s="11">
        <f t="shared" si="2"/>
        <v>0</v>
      </c>
      <c r="J42" s="11">
        <f t="shared" si="2"/>
        <v>0</v>
      </c>
      <c r="K42" s="11">
        <f t="shared" si="2"/>
        <v>0</v>
      </c>
      <c r="L42" s="11">
        <f t="shared" si="2"/>
        <v>0</v>
      </c>
      <c r="M42" s="11">
        <f t="shared" si="2"/>
        <v>0</v>
      </c>
      <c r="N42" s="11">
        <f>N39+N23-B6+N45</f>
        <v>292243.12</v>
      </c>
      <c r="O42" s="12">
        <f>SUM(C42:N42)</f>
        <v>934801.12</v>
      </c>
      <c r="P42" s="13"/>
      <c r="Q42" s="13"/>
      <c r="R42" s="13"/>
      <c r="S42" s="13" t="s">
        <v>53</v>
      </c>
      <c r="T42" s="25">
        <f>O31/1000</f>
        <v>25.437999999999999</v>
      </c>
      <c r="U42" s="19">
        <f>P31</f>
        <v>2.8288646953504665E-2</v>
      </c>
      <c r="V42" s="21"/>
      <c r="W42" s="21"/>
      <c r="X42" s="21"/>
      <c r="Y42" s="21"/>
      <c r="Z42" s="21"/>
      <c r="AA42" s="21"/>
      <c r="AB42" s="21"/>
      <c r="AC42" s="21"/>
    </row>
    <row r="43" spans="1:29" ht="16" x14ac:dyDescent="0.2">
      <c r="A43" s="10" t="s">
        <v>62</v>
      </c>
      <c r="B43" s="8"/>
      <c r="C43" s="9">
        <f t="shared" ref="C43:N43" si="3">C42/$O42</f>
        <v>0.21051964507701917</v>
      </c>
      <c r="D43" s="9">
        <f t="shared" si="3"/>
        <v>0</v>
      </c>
      <c r="E43" s="9">
        <f t="shared" si="3"/>
        <v>2.6743656447480507E-3</v>
      </c>
      <c r="F43" s="9">
        <f t="shared" si="3"/>
        <v>1.4860915014735968E-2</v>
      </c>
      <c r="G43" s="9">
        <f t="shared" si="3"/>
        <v>0.45931909024670403</v>
      </c>
      <c r="H43" s="9">
        <f t="shared" si="3"/>
        <v>0</v>
      </c>
      <c r="I43" s="9">
        <f t="shared" si="3"/>
        <v>0</v>
      </c>
      <c r="J43" s="9">
        <f t="shared" si="3"/>
        <v>0</v>
      </c>
      <c r="K43" s="9">
        <f t="shared" si="3"/>
        <v>0</v>
      </c>
      <c r="L43" s="9">
        <f t="shared" si="3"/>
        <v>0</v>
      </c>
      <c r="M43" s="9">
        <f t="shared" si="3"/>
        <v>0</v>
      </c>
      <c r="N43" s="9">
        <f t="shared" si="3"/>
        <v>0.31262598401679281</v>
      </c>
      <c r="O43" s="9">
        <f>SUM(C43:N43)</f>
        <v>1</v>
      </c>
      <c r="P43" s="13"/>
      <c r="Q43" s="13"/>
      <c r="R43" s="13"/>
      <c r="S43" s="13" t="s">
        <v>67</v>
      </c>
      <c r="T43" s="25">
        <f>O32/1000</f>
        <v>298.56099999999998</v>
      </c>
      <c r="U43" s="20">
        <f>P32</f>
        <v>0.33201850472070549</v>
      </c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13"/>
      <c r="R44" s="13"/>
      <c r="S44" s="13" t="s">
        <v>68</v>
      </c>
      <c r="T44" s="25">
        <f>O34/1000</f>
        <v>179.322</v>
      </c>
      <c r="U44" s="20">
        <f>P34</f>
        <v>0.19941727922778377</v>
      </c>
      <c r="V44" s="21"/>
      <c r="W44" s="21"/>
      <c r="X44" s="21"/>
      <c r="Y44" s="21"/>
      <c r="Z44" s="21"/>
      <c r="AA44" s="21"/>
      <c r="AB44" s="21"/>
      <c r="AC44" s="21"/>
    </row>
    <row r="45" spans="1:29" ht="16" x14ac:dyDescent="0.2">
      <c r="A45" s="14" t="s">
        <v>64</v>
      </c>
      <c r="B45" s="14">
        <f>B23-B39</f>
        <v>20611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>
        <f>N39*0.08</f>
        <v>24043.119999999999</v>
      </c>
      <c r="O45" s="12">
        <f>B45+N45</f>
        <v>44654.119999999995</v>
      </c>
      <c r="P45" s="13"/>
      <c r="Q45" s="13"/>
      <c r="R45" s="13"/>
      <c r="S45" s="13" t="s">
        <v>69</v>
      </c>
      <c r="T45" s="25">
        <f>SUM(T39:T44)</f>
        <v>899.2299999999999</v>
      </c>
      <c r="U45" s="19">
        <f>SUM(U39:U44)</f>
        <v>1</v>
      </c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/>
      <c r="O46" s="14"/>
      <c r="P46" s="13"/>
      <c r="Q46" s="13"/>
      <c r="R46" s="13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2"/>
      <c r="B47" s="2"/>
      <c r="C47" s="3"/>
      <c r="D47" s="4"/>
      <c r="E47" s="3"/>
      <c r="F47" s="3"/>
      <c r="G47" s="4"/>
      <c r="H47" s="3"/>
      <c r="I47" s="3"/>
      <c r="J47" s="3"/>
      <c r="K47" s="3"/>
      <c r="L47" s="3"/>
      <c r="M47" s="3"/>
      <c r="O47" s="3"/>
      <c r="P47" s="3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B48" s="2"/>
      <c r="C48" s="3"/>
      <c r="D48" s="4"/>
      <c r="E48" s="3"/>
      <c r="F48" s="4"/>
      <c r="G48" s="4"/>
      <c r="H48" s="3"/>
      <c r="I48" s="3"/>
      <c r="J48" s="3"/>
      <c r="K48" s="3"/>
      <c r="L48" s="3"/>
      <c r="M48" s="3"/>
      <c r="O48" s="3"/>
      <c r="P48" s="3"/>
      <c r="S48" s="2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S49" s="2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B50" s="5"/>
      <c r="C50" s="5"/>
      <c r="D50" s="5"/>
      <c r="E50" s="5"/>
      <c r="F50" s="5"/>
      <c r="G50" s="3"/>
      <c r="H50" s="3"/>
      <c r="I50" s="3"/>
      <c r="J50" s="3"/>
      <c r="K50" s="3"/>
      <c r="L50" s="3"/>
      <c r="M50" s="3"/>
      <c r="O50" s="3"/>
      <c r="P50" s="3"/>
      <c r="S50" s="2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">
      <c r="B51" s="5"/>
      <c r="C51" s="5"/>
      <c r="D51" s="5"/>
      <c r="E51" s="5"/>
      <c r="F51" s="5"/>
      <c r="G51" s="3"/>
      <c r="H51" s="3"/>
      <c r="I51" s="3"/>
      <c r="J51" s="3"/>
      <c r="K51" s="3"/>
      <c r="L51" s="3"/>
      <c r="M51" s="3"/>
      <c r="O51" s="3"/>
      <c r="P51" s="3"/>
      <c r="S51" s="2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">
      <c r="B52" s="5"/>
      <c r="C52" s="5"/>
      <c r="D52" s="5"/>
      <c r="E52" s="5"/>
      <c r="F52" s="5"/>
      <c r="G52" s="3"/>
      <c r="H52" s="3"/>
      <c r="I52" s="3"/>
      <c r="J52" s="3"/>
      <c r="K52" s="3"/>
      <c r="L52" s="3"/>
      <c r="M52" s="3"/>
      <c r="O52" s="3"/>
      <c r="P52" s="3"/>
      <c r="S52" s="2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">
      <c r="B53" s="5"/>
      <c r="C53" s="5"/>
      <c r="D53" s="5"/>
      <c r="E53" s="5"/>
      <c r="F53" s="5"/>
      <c r="G53" s="3"/>
      <c r="H53" s="3"/>
      <c r="I53" s="3"/>
      <c r="J53" s="3"/>
      <c r="K53" s="3"/>
      <c r="L53" s="3"/>
      <c r="M53" s="3"/>
      <c r="O53" s="3"/>
      <c r="P53" s="3"/>
      <c r="S53" s="2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">
      <c r="B54" s="5"/>
      <c r="C54" s="5"/>
      <c r="D54" s="5"/>
      <c r="E54" s="5"/>
      <c r="F54" s="5"/>
      <c r="G54" s="3"/>
      <c r="H54" s="3"/>
      <c r="I54" s="3"/>
      <c r="J54" s="3"/>
      <c r="K54" s="3"/>
      <c r="L54" s="3"/>
      <c r="M54" s="3"/>
      <c r="O54" s="3"/>
      <c r="P54" s="3"/>
      <c r="S54" s="2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">
      <c r="B55" s="5"/>
      <c r="C55" s="5"/>
      <c r="D55" s="5"/>
      <c r="E55" s="5"/>
      <c r="F55" s="5"/>
      <c r="G55" s="3"/>
      <c r="H55" s="3"/>
      <c r="I55" s="3"/>
      <c r="J55" s="3"/>
      <c r="K55" s="3"/>
      <c r="L55" s="3"/>
      <c r="M55" s="3"/>
      <c r="O55" s="3"/>
      <c r="P55" s="3"/>
      <c r="S55" s="2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">
      <c r="B56" s="5"/>
      <c r="C56" s="5"/>
      <c r="D56" s="5"/>
      <c r="E56" s="5"/>
      <c r="F56" s="5"/>
      <c r="G56" s="3"/>
      <c r="H56" s="3"/>
      <c r="I56" s="3"/>
      <c r="J56" s="3"/>
      <c r="K56" s="3"/>
      <c r="L56" s="3"/>
      <c r="M56" s="3"/>
      <c r="O56" s="3"/>
      <c r="P56" s="3"/>
      <c r="S56" s="2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" x14ac:dyDescent="0.2">
      <c r="A57" s="13"/>
      <c r="B57" s="5"/>
      <c r="C57" s="5"/>
      <c r="D57" s="5"/>
      <c r="E57" s="5"/>
      <c r="F57" s="5"/>
      <c r="G57" s="30"/>
      <c r="H57" s="30"/>
      <c r="I57" s="30"/>
      <c r="J57" s="30"/>
      <c r="K57" s="30"/>
      <c r="L57" s="14"/>
      <c r="M57" s="14"/>
      <c r="N57" s="31"/>
      <c r="O57" s="13"/>
      <c r="P57" s="14"/>
      <c r="Q57" s="19"/>
      <c r="R57" s="13"/>
      <c r="S57" s="13"/>
      <c r="T57" s="14"/>
      <c r="U57" s="32"/>
      <c r="V57" s="21"/>
      <c r="W57" s="21"/>
      <c r="X57" s="21"/>
      <c r="Y57" s="21"/>
      <c r="Z57" s="21"/>
      <c r="AA57" s="21"/>
      <c r="AB57" s="21"/>
      <c r="AC57" s="21"/>
    </row>
    <row r="58" spans="1:29" ht="16" x14ac:dyDescent="0.2">
      <c r="A58" s="69"/>
      <c r="B58" s="5"/>
      <c r="C58" s="5"/>
      <c r="D58" s="5"/>
      <c r="E58" s="5"/>
      <c r="F58" s="5"/>
      <c r="G58" s="30"/>
      <c r="H58" s="30"/>
      <c r="I58" s="30"/>
      <c r="J58" s="30"/>
      <c r="K58" s="30"/>
      <c r="L58" s="14"/>
      <c r="M58" s="14"/>
      <c r="N58" s="31"/>
      <c r="O58" s="13"/>
      <c r="P58" s="14"/>
      <c r="Q58" s="19"/>
      <c r="R58" s="13"/>
      <c r="S58" s="13"/>
      <c r="T58" s="14"/>
      <c r="U58" s="32"/>
      <c r="V58" s="21"/>
      <c r="W58" s="21"/>
      <c r="X58" s="21"/>
      <c r="Y58" s="21"/>
      <c r="Z58" s="21"/>
      <c r="AA58" s="21"/>
      <c r="AB58" s="21"/>
      <c r="AC58" s="21"/>
    </row>
    <row r="59" spans="1:29" ht="16" x14ac:dyDescent="0.2">
      <c r="A59" s="13"/>
      <c r="B59" s="5"/>
      <c r="C59" s="5"/>
      <c r="D59" s="5"/>
      <c r="E59" s="5"/>
      <c r="F59" s="5"/>
      <c r="G59" s="30"/>
      <c r="H59" s="30"/>
      <c r="I59" s="30"/>
      <c r="J59" s="30"/>
      <c r="K59" s="30"/>
      <c r="L59" s="14"/>
      <c r="M59" s="14"/>
      <c r="N59" s="31"/>
      <c r="O59" s="13"/>
      <c r="P59" s="14"/>
      <c r="Q59" s="19"/>
      <c r="R59" s="13"/>
      <c r="S59" s="13"/>
      <c r="T59" s="14"/>
      <c r="U59" s="32"/>
      <c r="V59" s="21"/>
      <c r="W59" s="21"/>
      <c r="X59" s="21"/>
      <c r="Y59" s="21"/>
      <c r="Z59" s="21"/>
      <c r="AA59" s="21"/>
      <c r="AB59" s="21"/>
      <c r="AC59" s="21"/>
    </row>
    <row r="60" spans="1:29" ht="16" x14ac:dyDescent="0.2">
      <c r="A60" s="10"/>
      <c r="B60" s="5"/>
      <c r="C60" s="5"/>
      <c r="D60" s="5"/>
      <c r="E60" s="5"/>
      <c r="F60" s="5"/>
      <c r="G60" s="30"/>
      <c r="H60" s="30"/>
      <c r="I60" s="30"/>
      <c r="J60" s="30"/>
      <c r="K60" s="30"/>
      <c r="L60" s="14"/>
      <c r="M60" s="14"/>
      <c r="N60" s="31"/>
      <c r="O60" s="13"/>
      <c r="P60" s="14"/>
      <c r="Q60" s="19"/>
      <c r="R60" s="13"/>
      <c r="S60" s="13"/>
      <c r="T60" s="14"/>
      <c r="U60" s="32"/>
      <c r="V60" s="21"/>
      <c r="W60" s="21"/>
      <c r="X60" s="21"/>
      <c r="Y60" s="21"/>
      <c r="Z60" s="21"/>
      <c r="AA60" s="21"/>
      <c r="AB60" s="21"/>
      <c r="AC60" s="21"/>
    </row>
    <row r="61" spans="1:29" ht="16" x14ac:dyDescent="0.2">
      <c r="A61" s="69"/>
      <c r="B61" s="5"/>
      <c r="C61" s="5"/>
      <c r="D61" s="5"/>
      <c r="E61" s="5"/>
      <c r="F61" s="5"/>
      <c r="G61" s="13"/>
      <c r="H61" s="13"/>
      <c r="I61" s="13"/>
      <c r="J61" s="13"/>
      <c r="K61" s="13"/>
      <c r="L61" s="14"/>
      <c r="M61" s="14"/>
      <c r="N61" s="31"/>
      <c r="O61" s="13"/>
      <c r="P61" s="14"/>
      <c r="Q61" s="19"/>
      <c r="R61" s="13"/>
      <c r="S61" s="13"/>
      <c r="T61" s="33"/>
      <c r="U61" s="34"/>
      <c r="V61" s="21"/>
      <c r="W61" s="21"/>
      <c r="X61" s="21"/>
      <c r="Y61" s="21"/>
      <c r="Z61" s="21"/>
      <c r="AA61" s="21"/>
      <c r="AB61" s="21"/>
      <c r="AC61" s="21"/>
    </row>
    <row r="62" spans="1:29" x14ac:dyDescent="0.2">
      <c r="A62" s="69"/>
      <c r="B62" s="5"/>
      <c r="C62" s="5"/>
      <c r="D62" s="5"/>
      <c r="E62" s="5"/>
      <c r="F62" s="5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1"/>
      <c r="W62" s="21"/>
      <c r="X62" s="21"/>
      <c r="Y62" s="21"/>
      <c r="Z62" s="21"/>
      <c r="AA62" s="21"/>
      <c r="AB62" s="21"/>
      <c r="AC62" s="21"/>
    </row>
    <row r="63" spans="1:29" x14ac:dyDescent="0.2">
      <c r="A63" s="69"/>
      <c r="B63" s="5"/>
      <c r="C63" s="5"/>
      <c r="D63" s="5"/>
      <c r="E63" s="5"/>
      <c r="F63" s="5"/>
      <c r="G63" s="35"/>
      <c r="H63" s="35"/>
      <c r="I63" s="3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5"/>
      <c r="U63" s="36"/>
      <c r="V63" s="21"/>
      <c r="W63" s="21"/>
      <c r="X63" s="21"/>
      <c r="Y63" s="21"/>
      <c r="Z63" s="21"/>
      <c r="AA63" s="21"/>
      <c r="AB63" s="21"/>
      <c r="AC63" s="21"/>
    </row>
    <row r="64" spans="1:29" ht="16" x14ac:dyDescent="0.2">
      <c r="A64" s="13"/>
      <c r="B64" s="5"/>
      <c r="C64" s="5"/>
      <c r="D64" s="5"/>
      <c r="E64" s="5"/>
      <c r="F64" s="5"/>
      <c r="G64" s="14"/>
      <c r="H64" s="14"/>
      <c r="I64" s="14"/>
      <c r="J64" s="13"/>
      <c r="K64" s="13"/>
      <c r="L64" s="13"/>
      <c r="M64" s="13"/>
      <c r="N64" s="13"/>
      <c r="O64" s="13"/>
      <c r="P64" s="14"/>
      <c r="Q64" s="31"/>
      <c r="R64" s="13"/>
      <c r="S64" s="13"/>
      <c r="T64" s="14"/>
      <c r="U64" s="32"/>
      <c r="V64" s="21"/>
      <c r="W64" s="21"/>
      <c r="X64" s="21"/>
      <c r="Y64" s="21"/>
      <c r="Z64" s="21"/>
      <c r="AA64" s="21"/>
      <c r="AB64" s="21"/>
      <c r="AC64" s="21"/>
    </row>
    <row r="65" spans="1:29" ht="16" x14ac:dyDescent="0.2">
      <c r="A65" s="69"/>
      <c r="B65" s="14"/>
      <c r="C65" s="14"/>
      <c r="D65" s="14"/>
      <c r="E65" s="5"/>
      <c r="F65" s="14"/>
      <c r="G65" s="14"/>
      <c r="H65" s="14"/>
      <c r="I65" s="14"/>
      <c r="J65" s="13"/>
      <c r="K65" s="13"/>
      <c r="L65" s="13"/>
      <c r="M65" s="13"/>
      <c r="N65" s="13"/>
      <c r="O65" s="13"/>
      <c r="P65" s="14"/>
      <c r="Q65" s="31"/>
      <c r="R65" s="13"/>
      <c r="S65" s="13"/>
      <c r="T65" s="14"/>
      <c r="U65" s="32"/>
      <c r="V65" s="21"/>
      <c r="W65" s="21"/>
      <c r="X65" s="21"/>
      <c r="Y65" s="21"/>
      <c r="Z65" s="21"/>
      <c r="AA65" s="21"/>
      <c r="AB65" s="21"/>
      <c r="AC65" s="21"/>
    </row>
    <row r="66" spans="1:29" ht="16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3"/>
      <c r="K66" s="13"/>
      <c r="L66" s="13"/>
      <c r="M66" s="13"/>
      <c r="N66" s="13"/>
      <c r="O66" s="13"/>
      <c r="P66" s="14"/>
      <c r="Q66" s="31"/>
      <c r="R66" s="13"/>
      <c r="S66" s="13"/>
      <c r="T66" s="14"/>
      <c r="U66" s="32"/>
      <c r="V66" s="21"/>
      <c r="W66" s="21"/>
      <c r="X66" s="21"/>
      <c r="Y66" s="21"/>
      <c r="Z66" s="21"/>
      <c r="AA66" s="21"/>
      <c r="AB66" s="21"/>
      <c r="AC66" s="21"/>
    </row>
    <row r="67" spans="1:29" ht="16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3"/>
      <c r="K67" s="13"/>
      <c r="L67" s="13"/>
      <c r="M67" s="13"/>
      <c r="N67" s="13"/>
      <c r="O67" s="13"/>
      <c r="P67" s="14"/>
      <c r="Q67" s="31"/>
      <c r="R67" s="13"/>
      <c r="S67" s="13"/>
      <c r="T67" s="14"/>
      <c r="U67" s="32"/>
      <c r="V67" s="21"/>
      <c r="W67" s="21"/>
      <c r="X67" s="21"/>
      <c r="Y67" s="21"/>
      <c r="Z67" s="21"/>
      <c r="AA67" s="21"/>
      <c r="AB67" s="21"/>
      <c r="AC67" s="21"/>
    </row>
    <row r="68" spans="1:29" ht="16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3"/>
      <c r="K68" s="13"/>
      <c r="L68" s="13"/>
      <c r="M68" s="13"/>
      <c r="N68" s="13"/>
      <c r="O68" s="13"/>
      <c r="P68" s="14"/>
      <c r="Q68" s="31"/>
      <c r="R68" s="13"/>
      <c r="S68" s="13"/>
      <c r="T68" s="14"/>
      <c r="U68" s="32"/>
      <c r="V68" s="21"/>
      <c r="W68" s="21"/>
      <c r="X68" s="21"/>
      <c r="Y68" s="21"/>
      <c r="Z68" s="21"/>
      <c r="AA68" s="21"/>
      <c r="AB68" s="21"/>
      <c r="AC68" s="21"/>
    </row>
    <row r="69" spans="1:29" ht="16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3"/>
      <c r="K69" s="13"/>
      <c r="L69" s="13"/>
      <c r="M69" s="13"/>
      <c r="N69" s="13"/>
      <c r="O69" s="13"/>
      <c r="P69" s="14"/>
      <c r="Q69" s="31"/>
      <c r="R69" s="13"/>
      <c r="S69" s="13"/>
      <c r="T69" s="14"/>
      <c r="U69" s="32"/>
      <c r="V69" s="21"/>
      <c r="W69" s="21"/>
      <c r="X69" s="21"/>
      <c r="Y69" s="21"/>
      <c r="Z69" s="21"/>
      <c r="AA69" s="21"/>
      <c r="AB69" s="21"/>
      <c r="AC69" s="21"/>
    </row>
    <row r="70" spans="1:29" ht="16" x14ac:dyDescent="0.2">
      <c r="A70" s="13"/>
      <c r="B70" s="33"/>
      <c r="C70" s="33"/>
      <c r="D70" s="33"/>
      <c r="E70" s="33"/>
      <c r="F70" s="33"/>
      <c r="G70" s="33"/>
      <c r="H70" s="33"/>
      <c r="I70" s="33"/>
      <c r="J70" s="13"/>
      <c r="K70" s="13"/>
      <c r="L70" s="13"/>
      <c r="M70" s="13"/>
      <c r="N70" s="13"/>
      <c r="O70" s="13"/>
      <c r="P70" s="33"/>
      <c r="Q70" s="37"/>
      <c r="R70" s="13"/>
      <c r="S70" s="38"/>
      <c r="T70" s="33"/>
      <c r="U70" s="37"/>
      <c r="V70" s="21"/>
      <c r="W70" s="21"/>
      <c r="X70" s="21"/>
      <c r="Y70" s="21"/>
      <c r="Z70" s="21"/>
      <c r="AA70" s="21"/>
      <c r="AB70" s="21"/>
      <c r="AC70" s="21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C6AD9BC-0663-4A7A-AFF8-DED3CD19319B}"/>
</file>

<file path=customXml/itemProps2.xml><?xml version="1.0" encoding="utf-8"?>
<ds:datastoreItem xmlns:ds="http://schemas.openxmlformats.org/officeDocument/2006/customXml" ds:itemID="{FB9D7A9A-3A8F-49AC-AFC3-1B2B24E7E038}"/>
</file>

<file path=customXml/itemProps3.xml><?xml version="1.0" encoding="utf-8"?>
<ds:datastoreItem xmlns:ds="http://schemas.openxmlformats.org/officeDocument/2006/customXml" ds:itemID="{AE6A2F1D-80BE-450D-8E3C-B7A3A838D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Jönköpings län</vt:lpstr>
      <vt:lpstr>Aneby</vt:lpstr>
      <vt:lpstr>Gnosjö</vt:lpstr>
      <vt:lpstr>Mullsjö</vt:lpstr>
      <vt:lpstr>Habo</vt:lpstr>
      <vt:lpstr>Gislaved</vt:lpstr>
      <vt:lpstr>Vaggeryd</vt:lpstr>
      <vt:lpstr>Jönköping</vt:lpstr>
      <vt:lpstr>Nässjö</vt:lpstr>
      <vt:lpstr>Värnamo</vt:lpstr>
      <vt:lpstr>Sävsjö</vt:lpstr>
      <vt:lpstr>Vetlanda</vt:lpstr>
      <vt:lpstr>Eksjö</vt:lpstr>
      <vt:lpstr>Tranås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2013-11-08T11:51:02Z</dcterms:created>
  <dcterms:modified xsi:type="dcterms:W3CDTF">2017-08-31T15:58:57Z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