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xl/comments12.xml" ContentType="application/vnd.openxmlformats-officedocument.spreadsheetml.comments+xml"/>
  <Override PartName="/xl/comments11.xml" ContentType="application/vnd.openxmlformats-officedocument.spreadsheetml.comment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odeName="ThisWorkbook" autoCompressPictures="0"/>
  <bookViews>
    <workbookView xWindow="900" yWindow="140" windowWidth="25120" windowHeight="15580" tabRatio="762"/>
  </bookViews>
  <sheets>
    <sheet name="Kalmar län" sheetId="15" r:id="rId1"/>
    <sheet name="Högsby" sheetId="2" r:id="rId2"/>
    <sheet name="Torsås" sheetId="3" r:id="rId3"/>
    <sheet name="Mörbylånga" sheetId="4" r:id="rId4"/>
    <sheet name="Hultsfred" sheetId="5" r:id="rId5"/>
    <sheet name="Mönsterås" sheetId="6" r:id="rId6"/>
    <sheet name="Emmaboda" sheetId="7" r:id="rId7"/>
    <sheet name="Kalmar" sheetId="8" r:id="rId8"/>
    <sheet name="Nybro" sheetId="9" r:id="rId9"/>
    <sheet name="Västervik" sheetId="11" r:id="rId10"/>
    <sheet name="Oskarshamn" sheetId="10" r:id="rId11"/>
    <sheet name="Vimmerby" sheetId="12" r:id="rId12"/>
    <sheet name="Borgholm" sheetId="13" r:id="rId1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8" i="15" l="1"/>
  <c r="N37" i="15"/>
  <c r="N36" i="15"/>
  <c r="N41" i="15"/>
  <c r="N31" i="15"/>
  <c r="N32" i="15"/>
  <c r="N33" i="15"/>
  <c r="N34" i="15"/>
  <c r="N35" i="15"/>
  <c r="N39" i="15"/>
  <c r="O41" i="15"/>
  <c r="T42" i="15"/>
  <c r="O35" i="15"/>
  <c r="T43" i="15"/>
  <c r="O33" i="15"/>
  <c r="T44" i="15"/>
  <c r="O31" i="15"/>
  <c r="T45" i="15"/>
  <c r="O32" i="15"/>
  <c r="T46" i="15"/>
  <c r="O34" i="15"/>
  <c r="T47" i="15"/>
  <c r="T48" i="15"/>
  <c r="S42" i="15"/>
  <c r="S43" i="15"/>
  <c r="S44" i="15"/>
  <c r="S45" i="15"/>
  <c r="S46" i="15"/>
  <c r="S47" i="15"/>
  <c r="S48" i="15"/>
  <c r="M39" i="15"/>
  <c r="M23" i="15"/>
  <c r="M45" i="15"/>
  <c r="M42" i="15"/>
  <c r="M47" i="15"/>
  <c r="B23" i="15"/>
  <c r="B39" i="15"/>
  <c r="B45" i="15"/>
  <c r="B46" i="15"/>
  <c r="N45" i="15"/>
  <c r="C39" i="15"/>
  <c r="C23" i="15"/>
  <c r="C42" i="15"/>
  <c r="D39" i="15"/>
  <c r="D23" i="15"/>
  <c r="D10" i="15"/>
  <c r="D42" i="15"/>
  <c r="E39" i="15"/>
  <c r="E23" i="15"/>
  <c r="E10" i="15"/>
  <c r="E42" i="15"/>
  <c r="F39" i="15"/>
  <c r="F23" i="15"/>
  <c r="F10" i="15"/>
  <c r="F42" i="15"/>
  <c r="G39" i="15"/>
  <c r="G23" i="15"/>
  <c r="G10" i="15"/>
  <c r="G42" i="15"/>
  <c r="H39" i="15"/>
  <c r="H23" i="15"/>
  <c r="H10" i="15"/>
  <c r="H42" i="15"/>
  <c r="I39" i="15"/>
  <c r="I23" i="15"/>
  <c r="I10" i="15"/>
  <c r="I42" i="15"/>
  <c r="J39" i="15"/>
  <c r="J23" i="15"/>
  <c r="J10" i="15"/>
  <c r="J42" i="15"/>
  <c r="K39" i="15"/>
  <c r="K23" i="15"/>
  <c r="K10" i="15"/>
  <c r="K42" i="15"/>
  <c r="L39" i="15"/>
  <c r="L23" i="15"/>
  <c r="L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S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O38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23" i="15"/>
  <c r="N17" i="15"/>
  <c r="N18" i="15"/>
  <c r="N19" i="15"/>
  <c r="N20" i="15"/>
  <c r="N23" i="15"/>
  <c r="N5" i="15"/>
  <c r="N6" i="15"/>
  <c r="N7" i="15"/>
  <c r="N10" i="15"/>
  <c r="M10" i="15"/>
  <c r="L10" i="15"/>
  <c r="C10" i="15"/>
  <c r="B10" i="15"/>
  <c r="L42" i="4"/>
  <c r="K39" i="4"/>
  <c r="K42" i="4"/>
  <c r="C39" i="3"/>
  <c r="C39" i="6"/>
  <c r="C23" i="10"/>
  <c r="N5" i="6"/>
  <c r="I32" i="6"/>
  <c r="I39" i="6"/>
  <c r="I42" i="6"/>
  <c r="N6" i="6"/>
  <c r="L39" i="6"/>
  <c r="B35" i="4"/>
  <c r="B36" i="4"/>
  <c r="B37" i="4"/>
  <c r="B39" i="4"/>
  <c r="F39" i="4"/>
  <c r="N39" i="4"/>
  <c r="F32" i="6"/>
  <c r="G32" i="6"/>
  <c r="L32" i="6"/>
  <c r="M32" i="6"/>
  <c r="N32" i="6"/>
  <c r="N37" i="6"/>
  <c r="N39" i="6"/>
  <c r="E39" i="8"/>
  <c r="E39" i="9"/>
  <c r="F39" i="6"/>
  <c r="G39" i="3"/>
  <c r="G39" i="5"/>
  <c r="G39" i="6"/>
  <c r="G39" i="7"/>
  <c r="G39" i="8"/>
  <c r="G32" i="9"/>
  <c r="G39" i="9"/>
  <c r="G39" i="10"/>
  <c r="M33" i="6"/>
  <c r="M36" i="6"/>
  <c r="M39" i="6"/>
  <c r="C31" i="2"/>
  <c r="C31" i="4"/>
  <c r="G36" i="13"/>
  <c r="C36" i="13"/>
  <c r="C31" i="13"/>
  <c r="F31" i="2"/>
  <c r="F31" i="4"/>
  <c r="F31" i="13"/>
  <c r="N31" i="3"/>
  <c r="G36" i="2"/>
  <c r="G32" i="2"/>
  <c r="F32" i="2"/>
  <c r="C32" i="2"/>
  <c r="C32" i="4"/>
  <c r="E32" i="7"/>
  <c r="E32" i="8"/>
  <c r="E32" i="9"/>
  <c r="E32" i="10"/>
  <c r="F32" i="3"/>
  <c r="F32" i="13"/>
  <c r="G36" i="4"/>
  <c r="G32" i="4"/>
  <c r="G32" i="5"/>
  <c r="G32" i="7"/>
  <c r="G32" i="8"/>
  <c r="G32" i="10"/>
  <c r="G32" i="13"/>
  <c r="K32" i="4"/>
  <c r="N33" i="4"/>
  <c r="N35" i="4"/>
  <c r="N36" i="4"/>
  <c r="N37" i="4"/>
  <c r="B18" i="13"/>
  <c r="B18" i="12"/>
  <c r="B18" i="11"/>
  <c r="B18" i="10"/>
  <c r="B17" i="8"/>
  <c r="B18" i="7"/>
  <c r="B10" i="6"/>
  <c r="C18" i="10"/>
  <c r="C18" i="4"/>
  <c r="G18" i="4"/>
  <c r="G18" i="11"/>
  <c r="K18" i="11"/>
  <c r="M20" i="10"/>
  <c r="N17" i="8"/>
  <c r="N23" i="8"/>
  <c r="N17" i="9"/>
  <c r="N23" i="9"/>
  <c r="N18" i="10"/>
  <c r="N23" i="10"/>
  <c r="G23" i="8"/>
  <c r="G23" i="9"/>
  <c r="B18" i="6"/>
  <c r="B23" i="4"/>
  <c r="B23" i="6"/>
  <c r="B10" i="9"/>
  <c r="B10" i="10"/>
  <c r="B10" i="11"/>
  <c r="C11" i="6"/>
  <c r="H11" i="5"/>
  <c r="I11" i="5"/>
  <c r="H12" i="5"/>
  <c r="I12" i="5"/>
  <c r="N18" i="4"/>
  <c r="B47" i="13"/>
  <c r="B47" i="12"/>
  <c r="B47" i="11"/>
  <c r="B47" i="10"/>
  <c r="B47" i="9"/>
  <c r="B47" i="8"/>
  <c r="B47" i="7"/>
  <c r="B47" i="6"/>
  <c r="B47" i="5"/>
  <c r="B47" i="4"/>
  <c r="B47" i="3"/>
  <c r="B47" i="2"/>
  <c r="N41" i="13"/>
  <c r="O41" i="13"/>
  <c r="T39" i="13"/>
  <c r="O35" i="13"/>
  <c r="T40" i="13"/>
  <c r="O33" i="13"/>
  <c r="T41" i="13"/>
  <c r="O31" i="13"/>
  <c r="T42" i="13"/>
  <c r="O32" i="13"/>
  <c r="T43" i="13"/>
  <c r="O34" i="13"/>
  <c r="T44" i="13"/>
  <c r="T45" i="13"/>
  <c r="S39" i="13"/>
  <c r="S40" i="13"/>
  <c r="S41" i="13"/>
  <c r="S42" i="13"/>
  <c r="S43" i="13"/>
  <c r="S44" i="13"/>
  <c r="S45" i="13"/>
  <c r="B45" i="13"/>
  <c r="M45" i="13"/>
  <c r="N45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S38" i="13"/>
  <c r="O38" i="13"/>
  <c r="T26" i="13"/>
  <c r="T27" i="13"/>
  <c r="T28" i="13"/>
  <c r="T29" i="13"/>
  <c r="T30" i="13"/>
  <c r="T31" i="13"/>
  <c r="T32" i="13"/>
  <c r="T33" i="13"/>
  <c r="T34" i="13"/>
  <c r="S26" i="13"/>
  <c r="S27" i="13"/>
  <c r="S28" i="13"/>
  <c r="S29" i="13"/>
  <c r="S30" i="13"/>
  <c r="S31" i="13"/>
  <c r="S32" i="13"/>
  <c r="S33" i="13"/>
  <c r="S34" i="13"/>
  <c r="S23" i="13"/>
  <c r="N41" i="12"/>
  <c r="O41" i="12"/>
  <c r="T39" i="12"/>
  <c r="O35" i="12"/>
  <c r="T40" i="12"/>
  <c r="O33" i="12"/>
  <c r="T41" i="12"/>
  <c r="O31" i="12"/>
  <c r="T42" i="12"/>
  <c r="O32" i="12"/>
  <c r="T43" i="12"/>
  <c r="O34" i="12"/>
  <c r="T44" i="12"/>
  <c r="T45" i="12"/>
  <c r="S39" i="12"/>
  <c r="S40" i="12"/>
  <c r="S41" i="12"/>
  <c r="S42" i="12"/>
  <c r="S43" i="12"/>
  <c r="S44" i="12"/>
  <c r="S45" i="12"/>
  <c r="B45" i="12"/>
  <c r="M45" i="12"/>
  <c r="N45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S38" i="12"/>
  <c r="O38" i="12"/>
  <c r="T26" i="12"/>
  <c r="T27" i="12"/>
  <c r="T28" i="12"/>
  <c r="T29" i="12"/>
  <c r="T30" i="12"/>
  <c r="T31" i="12"/>
  <c r="T32" i="12"/>
  <c r="T33" i="12"/>
  <c r="T34" i="12"/>
  <c r="S26" i="12"/>
  <c r="S27" i="12"/>
  <c r="S28" i="12"/>
  <c r="S29" i="12"/>
  <c r="S30" i="12"/>
  <c r="S31" i="12"/>
  <c r="S32" i="12"/>
  <c r="S33" i="12"/>
  <c r="S34" i="12"/>
  <c r="S23" i="12"/>
  <c r="N41" i="11"/>
  <c r="O41" i="11"/>
  <c r="T39" i="11"/>
  <c r="O35" i="11"/>
  <c r="T40" i="11"/>
  <c r="O33" i="11"/>
  <c r="T41" i="11"/>
  <c r="O31" i="11"/>
  <c r="T42" i="11"/>
  <c r="O32" i="11"/>
  <c r="T43" i="11"/>
  <c r="O34" i="11"/>
  <c r="T44" i="11"/>
  <c r="T45" i="11"/>
  <c r="S39" i="11"/>
  <c r="S40" i="11"/>
  <c r="S41" i="11"/>
  <c r="S42" i="11"/>
  <c r="S43" i="11"/>
  <c r="S44" i="11"/>
  <c r="S45" i="11"/>
  <c r="B45" i="11"/>
  <c r="M45" i="11"/>
  <c r="N45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S38" i="11"/>
  <c r="O38" i="11"/>
  <c r="T26" i="11"/>
  <c r="T27" i="11"/>
  <c r="T28" i="11"/>
  <c r="T29" i="11"/>
  <c r="T30" i="11"/>
  <c r="T31" i="11"/>
  <c r="T32" i="11"/>
  <c r="T33" i="11"/>
  <c r="T34" i="11"/>
  <c r="S26" i="11"/>
  <c r="S27" i="11"/>
  <c r="S28" i="11"/>
  <c r="S29" i="11"/>
  <c r="S30" i="11"/>
  <c r="S31" i="11"/>
  <c r="S32" i="11"/>
  <c r="S33" i="11"/>
  <c r="S34" i="11"/>
  <c r="S23" i="11"/>
  <c r="N41" i="10"/>
  <c r="O41" i="10"/>
  <c r="T39" i="10"/>
  <c r="O35" i="10"/>
  <c r="T40" i="10"/>
  <c r="O33" i="10"/>
  <c r="T41" i="10"/>
  <c r="O31" i="10"/>
  <c r="T42" i="10"/>
  <c r="O32" i="10"/>
  <c r="T43" i="10"/>
  <c r="O34" i="10"/>
  <c r="T44" i="10"/>
  <c r="T45" i="10"/>
  <c r="S39" i="10"/>
  <c r="S40" i="10"/>
  <c r="S41" i="10"/>
  <c r="S42" i="10"/>
  <c r="S43" i="10"/>
  <c r="S44" i="10"/>
  <c r="S45" i="10"/>
  <c r="B45" i="10"/>
  <c r="M45" i="10"/>
  <c r="N45" i="10"/>
  <c r="C42" i="10"/>
  <c r="D42" i="10"/>
  <c r="E42" i="10"/>
  <c r="G42" i="10"/>
  <c r="M42" i="10"/>
  <c r="F42" i="10"/>
  <c r="H42" i="10"/>
  <c r="I42" i="10"/>
  <c r="J42" i="10"/>
  <c r="K42" i="10"/>
  <c r="L42" i="10"/>
  <c r="N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S38" i="10"/>
  <c r="O38" i="10"/>
  <c r="T26" i="10"/>
  <c r="T27" i="10"/>
  <c r="T28" i="10"/>
  <c r="T29" i="10"/>
  <c r="T30" i="10"/>
  <c r="T31" i="10"/>
  <c r="T32" i="10"/>
  <c r="T33" i="10"/>
  <c r="T34" i="10"/>
  <c r="S26" i="10"/>
  <c r="S27" i="10"/>
  <c r="S31" i="10"/>
  <c r="S28" i="10"/>
  <c r="S29" i="10"/>
  <c r="S30" i="10"/>
  <c r="S32" i="10"/>
  <c r="S33" i="10"/>
  <c r="S34" i="10"/>
  <c r="S23" i="10"/>
  <c r="N41" i="9"/>
  <c r="O41" i="9"/>
  <c r="T39" i="9"/>
  <c r="O35" i="9"/>
  <c r="T40" i="9"/>
  <c r="O33" i="9"/>
  <c r="T41" i="9"/>
  <c r="O31" i="9"/>
  <c r="T42" i="9"/>
  <c r="O32" i="9"/>
  <c r="T43" i="9"/>
  <c r="O34" i="9"/>
  <c r="T44" i="9"/>
  <c r="T45" i="9"/>
  <c r="S39" i="9"/>
  <c r="S40" i="9"/>
  <c r="S41" i="9"/>
  <c r="S42" i="9"/>
  <c r="S43" i="9"/>
  <c r="S44" i="9"/>
  <c r="S45" i="9"/>
  <c r="B45" i="9"/>
  <c r="M45" i="9"/>
  <c r="N45" i="9"/>
  <c r="C42" i="9"/>
  <c r="D42" i="9"/>
  <c r="E42" i="9"/>
  <c r="G42" i="9"/>
  <c r="F42" i="9"/>
  <c r="H42" i="9"/>
  <c r="I42" i="9"/>
  <c r="J42" i="9"/>
  <c r="K42" i="9"/>
  <c r="L42" i="9"/>
  <c r="M42" i="9"/>
  <c r="N42" i="9"/>
  <c r="C43" i="9"/>
  <c r="D43" i="9"/>
  <c r="E43" i="9"/>
  <c r="F43" i="9"/>
  <c r="G43" i="9"/>
  <c r="H43" i="9"/>
  <c r="I43" i="9"/>
  <c r="J43" i="9"/>
  <c r="K43" i="9"/>
  <c r="L43" i="9"/>
  <c r="M43" i="9"/>
  <c r="N43" i="9"/>
  <c r="M41" i="9"/>
  <c r="L41" i="9"/>
  <c r="K41" i="9"/>
  <c r="J41" i="9"/>
  <c r="I41" i="9"/>
  <c r="H41" i="9"/>
  <c r="G41" i="9"/>
  <c r="F41" i="9"/>
  <c r="E41" i="9"/>
  <c r="D41" i="9"/>
  <c r="C41" i="9"/>
  <c r="B41" i="9"/>
  <c r="S38" i="9"/>
  <c r="O38" i="9"/>
  <c r="T26" i="9"/>
  <c r="T27" i="9"/>
  <c r="T28" i="9"/>
  <c r="T29" i="9"/>
  <c r="T30" i="9"/>
  <c r="T31" i="9"/>
  <c r="T32" i="9"/>
  <c r="T33" i="9"/>
  <c r="T34" i="9"/>
  <c r="S26" i="9"/>
  <c r="S27" i="9"/>
  <c r="S30" i="9"/>
  <c r="S28" i="9"/>
  <c r="S29" i="9"/>
  <c r="S31" i="9"/>
  <c r="S32" i="9"/>
  <c r="S33" i="9"/>
  <c r="S34" i="9"/>
  <c r="S23" i="9"/>
  <c r="N41" i="8"/>
  <c r="O41" i="8"/>
  <c r="T39" i="8"/>
  <c r="O35" i="8"/>
  <c r="T40" i="8"/>
  <c r="O33" i="8"/>
  <c r="T41" i="8"/>
  <c r="O31" i="8"/>
  <c r="T42" i="8"/>
  <c r="O32" i="8"/>
  <c r="T43" i="8"/>
  <c r="O34" i="8"/>
  <c r="T44" i="8"/>
  <c r="T45" i="8"/>
  <c r="S39" i="8"/>
  <c r="S40" i="8"/>
  <c r="S41" i="8"/>
  <c r="S42" i="8"/>
  <c r="S43" i="8"/>
  <c r="S44" i="8"/>
  <c r="S45" i="8"/>
  <c r="B45" i="8"/>
  <c r="M45" i="8"/>
  <c r="N45" i="8"/>
  <c r="C42" i="8"/>
  <c r="D42" i="8"/>
  <c r="E42" i="8"/>
  <c r="G42" i="8"/>
  <c r="M42" i="8"/>
  <c r="F42" i="8"/>
  <c r="H42" i="8"/>
  <c r="I42" i="8"/>
  <c r="J42" i="8"/>
  <c r="K42" i="8"/>
  <c r="L42" i="8"/>
  <c r="N42" i="8"/>
  <c r="C43" i="8"/>
  <c r="D43" i="8"/>
  <c r="E43" i="8"/>
  <c r="F43" i="8"/>
  <c r="G43" i="8"/>
  <c r="H43" i="8"/>
  <c r="I43" i="8"/>
  <c r="J43" i="8"/>
  <c r="K43" i="8"/>
  <c r="L43" i="8"/>
  <c r="M43" i="8"/>
  <c r="N43" i="8"/>
  <c r="M41" i="8"/>
  <c r="L41" i="8"/>
  <c r="K41" i="8"/>
  <c r="J41" i="8"/>
  <c r="I41" i="8"/>
  <c r="H41" i="8"/>
  <c r="G41" i="8"/>
  <c r="F41" i="8"/>
  <c r="E41" i="8"/>
  <c r="D41" i="8"/>
  <c r="C41" i="8"/>
  <c r="B41" i="8"/>
  <c r="S38" i="8"/>
  <c r="O38" i="8"/>
  <c r="T26" i="8"/>
  <c r="T27" i="8"/>
  <c r="T28" i="8"/>
  <c r="T29" i="8"/>
  <c r="T30" i="8"/>
  <c r="T31" i="8"/>
  <c r="T32" i="8"/>
  <c r="T33" i="8"/>
  <c r="T34" i="8"/>
  <c r="S26" i="8"/>
  <c r="S27" i="8"/>
  <c r="S30" i="8"/>
  <c r="S28" i="8"/>
  <c r="S29" i="8"/>
  <c r="S31" i="8"/>
  <c r="S32" i="8"/>
  <c r="S33" i="8"/>
  <c r="S34" i="8"/>
  <c r="S23" i="8"/>
  <c r="N41" i="7"/>
  <c r="O41" i="7"/>
  <c r="T39" i="7"/>
  <c r="O35" i="7"/>
  <c r="T40" i="7"/>
  <c r="O33" i="7"/>
  <c r="T41" i="7"/>
  <c r="O31" i="7"/>
  <c r="T42" i="7"/>
  <c r="O32" i="7"/>
  <c r="T43" i="7"/>
  <c r="O34" i="7"/>
  <c r="T44" i="7"/>
  <c r="T45" i="7"/>
  <c r="S39" i="7"/>
  <c r="S40" i="7"/>
  <c r="S41" i="7"/>
  <c r="S42" i="7"/>
  <c r="S43" i="7"/>
  <c r="S44" i="7"/>
  <c r="S45" i="7"/>
  <c r="B45" i="7"/>
  <c r="M45" i="7"/>
  <c r="N45" i="7"/>
  <c r="C42" i="7"/>
  <c r="D42" i="7"/>
  <c r="E42" i="7"/>
  <c r="G42" i="7"/>
  <c r="F42" i="7"/>
  <c r="H42" i="7"/>
  <c r="I42" i="7"/>
  <c r="J42" i="7"/>
  <c r="K42" i="7"/>
  <c r="L42" i="7"/>
  <c r="M42" i="7"/>
  <c r="N42" i="7"/>
  <c r="C43" i="7"/>
  <c r="D43" i="7"/>
  <c r="E43" i="7"/>
  <c r="F43" i="7"/>
  <c r="G43" i="7"/>
  <c r="H43" i="7"/>
  <c r="I43" i="7"/>
  <c r="J43" i="7"/>
  <c r="K43" i="7"/>
  <c r="L43" i="7"/>
  <c r="M43" i="7"/>
  <c r="N43" i="7"/>
  <c r="M41" i="7"/>
  <c r="L41" i="7"/>
  <c r="K41" i="7"/>
  <c r="J41" i="7"/>
  <c r="I41" i="7"/>
  <c r="H41" i="7"/>
  <c r="G41" i="7"/>
  <c r="F41" i="7"/>
  <c r="E41" i="7"/>
  <c r="D41" i="7"/>
  <c r="C41" i="7"/>
  <c r="B41" i="7"/>
  <c r="S38" i="7"/>
  <c r="O38" i="7"/>
  <c r="T26" i="7"/>
  <c r="T27" i="7"/>
  <c r="T28" i="7"/>
  <c r="T29" i="7"/>
  <c r="T30" i="7"/>
  <c r="T31" i="7"/>
  <c r="T32" i="7"/>
  <c r="T33" i="7"/>
  <c r="T34" i="7"/>
  <c r="S26" i="7"/>
  <c r="S27" i="7"/>
  <c r="S30" i="7"/>
  <c r="S28" i="7"/>
  <c r="S29" i="7"/>
  <c r="S31" i="7"/>
  <c r="S32" i="7"/>
  <c r="S33" i="7"/>
  <c r="S34" i="7"/>
  <c r="S23" i="7"/>
  <c r="N41" i="6"/>
  <c r="O41" i="6"/>
  <c r="T39" i="6"/>
  <c r="O33" i="6"/>
  <c r="T41" i="6"/>
  <c r="O32" i="6"/>
  <c r="T43" i="6"/>
  <c r="O35" i="6"/>
  <c r="T40" i="6"/>
  <c r="O31" i="6"/>
  <c r="T42" i="6"/>
  <c r="O34" i="6"/>
  <c r="T44" i="6"/>
  <c r="T45" i="6"/>
  <c r="S39" i="6"/>
  <c r="S41" i="6"/>
  <c r="S43" i="6"/>
  <c r="S40" i="6"/>
  <c r="S42" i="6"/>
  <c r="S44" i="6"/>
  <c r="S45" i="6"/>
  <c r="B45" i="6"/>
  <c r="M45" i="6"/>
  <c r="N45" i="6"/>
  <c r="C42" i="6"/>
  <c r="G42" i="6"/>
  <c r="F42" i="6"/>
  <c r="M42" i="6"/>
  <c r="E42" i="6"/>
  <c r="L42" i="6"/>
  <c r="H42" i="6"/>
  <c r="D42" i="6"/>
  <c r="J42" i="6"/>
  <c r="K42" i="6"/>
  <c r="N42" i="6"/>
  <c r="C43" i="6"/>
  <c r="D43" i="6"/>
  <c r="E43" i="6"/>
  <c r="F43" i="6"/>
  <c r="G43" i="6"/>
  <c r="H43" i="6"/>
  <c r="I43" i="6"/>
  <c r="J43" i="6"/>
  <c r="K43" i="6"/>
  <c r="L43" i="6"/>
  <c r="M43" i="6"/>
  <c r="N43" i="6"/>
  <c r="M41" i="6"/>
  <c r="L41" i="6"/>
  <c r="K41" i="6"/>
  <c r="J41" i="6"/>
  <c r="I41" i="6"/>
  <c r="H41" i="6"/>
  <c r="G41" i="6"/>
  <c r="F41" i="6"/>
  <c r="E41" i="6"/>
  <c r="D41" i="6"/>
  <c r="C41" i="6"/>
  <c r="B41" i="6"/>
  <c r="S38" i="6"/>
  <c r="O38" i="6"/>
  <c r="T26" i="6"/>
  <c r="T27" i="6"/>
  <c r="T28" i="6"/>
  <c r="T29" i="6"/>
  <c r="T30" i="6"/>
  <c r="T31" i="6"/>
  <c r="T32" i="6"/>
  <c r="T33" i="6"/>
  <c r="T34" i="6"/>
  <c r="S26" i="6"/>
  <c r="S27" i="6"/>
  <c r="S29" i="6"/>
  <c r="S32" i="6"/>
  <c r="S30" i="6"/>
  <c r="S33" i="6"/>
  <c r="S28" i="6"/>
  <c r="S31" i="6"/>
  <c r="S34" i="6"/>
  <c r="S23" i="6"/>
  <c r="N41" i="5"/>
  <c r="O41" i="5"/>
  <c r="T39" i="5"/>
  <c r="O35" i="5"/>
  <c r="T40" i="5"/>
  <c r="O33" i="5"/>
  <c r="T41" i="5"/>
  <c r="O31" i="5"/>
  <c r="T42" i="5"/>
  <c r="O32" i="5"/>
  <c r="T43" i="5"/>
  <c r="O34" i="5"/>
  <c r="T44" i="5"/>
  <c r="T45" i="5"/>
  <c r="S39" i="5"/>
  <c r="S40" i="5"/>
  <c r="S41" i="5"/>
  <c r="S42" i="5"/>
  <c r="S43" i="5"/>
  <c r="S44" i="5"/>
  <c r="S45" i="5"/>
  <c r="B45" i="5"/>
  <c r="M45" i="5"/>
  <c r="N45" i="5"/>
  <c r="C42" i="5"/>
  <c r="D42" i="5"/>
  <c r="E42" i="5"/>
  <c r="G42" i="5"/>
  <c r="F42" i="5"/>
  <c r="H42" i="5"/>
  <c r="I42" i="5"/>
  <c r="J42" i="5"/>
  <c r="K42" i="5"/>
  <c r="L42" i="5"/>
  <c r="M42" i="5"/>
  <c r="N42" i="5"/>
  <c r="C43" i="5"/>
  <c r="D43" i="5"/>
  <c r="E43" i="5"/>
  <c r="F43" i="5"/>
  <c r="G43" i="5"/>
  <c r="H43" i="5"/>
  <c r="I43" i="5"/>
  <c r="J43" i="5"/>
  <c r="K43" i="5"/>
  <c r="L43" i="5"/>
  <c r="M43" i="5"/>
  <c r="N43" i="5"/>
  <c r="M41" i="5"/>
  <c r="L41" i="5"/>
  <c r="K41" i="5"/>
  <c r="J41" i="5"/>
  <c r="I41" i="5"/>
  <c r="H41" i="5"/>
  <c r="G41" i="5"/>
  <c r="F41" i="5"/>
  <c r="E41" i="5"/>
  <c r="D41" i="5"/>
  <c r="C41" i="5"/>
  <c r="B41" i="5"/>
  <c r="S38" i="5"/>
  <c r="O38" i="5"/>
  <c r="T26" i="5"/>
  <c r="T27" i="5"/>
  <c r="T28" i="5"/>
  <c r="T29" i="5"/>
  <c r="T30" i="5"/>
  <c r="T31" i="5"/>
  <c r="T32" i="5"/>
  <c r="T33" i="5"/>
  <c r="T34" i="5"/>
  <c r="S26" i="5"/>
  <c r="S27" i="5"/>
  <c r="S30" i="5"/>
  <c r="S28" i="5"/>
  <c r="S29" i="5"/>
  <c r="S31" i="5"/>
  <c r="S32" i="5"/>
  <c r="S33" i="5"/>
  <c r="S34" i="5"/>
  <c r="S23" i="5"/>
  <c r="O35" i="4"/>
  <c r="T40" i="4"/>
  <c r="O33" i="4"/>
  <c r="T41" i="4"/>
  <c r="O31" i="4"/>
  <c r="T42" i="4"/>
  <c r="O32" i="4"/>
  <c r="T43" i="4"/>
  <c r="O34" i="4"/>
  <c r="T44" i="4"/>
  <c r="S40" i="4"/>
  <c r="S41" i="4"/>
  <c r="S42" i="4"/>
  <c r="S43" i="4"/>
  <c r="S44" i="4"/>
  <c r="B45" i="4"/>
  <c r="M45" i="4"/>
  <c r="N45" i="4"/>
  <c r="C42" i="4"/>
  <c r="D42" i="4"/>
  <c r="E42" i="4"/>
  <c r="F42" i="4"/>
  <c r="G42" i="4"/>
  <c r="H42" i="4"/>
  <c r="I42" i="4"/>
  <c r="J42" i="4"/>
  <c r="M42" i="4"/>
  <c r="N42" i="4"/>
  <c r="C43" i="4"/>
  <c r="D43" i="4"/>
  <c r="E43" i="4"/>
  <c r="F43" i="4"/>
  <c r="G43" i="4"/>
  <c r="H43" i="4"/>
  <c r="I43" i="4"/>
  <c r="J43" i="4"/>
  <c r="K43" i="4"/>
  <c r="L43" i="4"/>
  <c r="M43" i="4"/>
  <c r="N43" i="4"/>
  <c r="M41" i="4"/>
  <c r="L41" i="4"/>
  <c r="K41" i="4"/>
  <c r="J41" i="4"/>
  <c r="I41" i="4"/>
  <c r="H41" i="4"/>
  <c r="F41" i="4"/>
  <c r="E41" i="4"/>
  <c r="D41" i="4"/>
  <c r="C41" i="4"/>
  <c r="B41" i="4"/>
  <c r="S38" i="4"/>
  <c r="O38" i="4"/>
  <c r="T26" i="4"/>
  <c r="T27" i="4"/>
  <c r="T28" i="4"/>
  <c r="T29" i="4"/>
  <c r="T30" i="4"/>
  <c r="T31" i="4"/>
  <c r="T32" i="4"/>
  <c r="T33" i="4"/>
  <c r="T34" i="4"/>
  <c r="S26" i="4"/>
  <c r="S27" i="4"/>
  <c r="S28" i="4"/>
  <c r="S29" i="4"/>
  <c r="S31" i="4"/>
  <c r="S30" i="4"/>
  <c r="S32" i="4"/>
  <c r="S33" i="4"/>
  <c r="S34" i="4"/>
  <c r="S23" i="4"/>
  <c r="N41" i="3"/>
  <c r="O41" i="3"/>
  <c r="T39" i="3"/>
  <c r="O35" i="3"/>
  <c r="T40" i="3"/>
  <c r="O33" i="3"/>
  <c r="T41" i="3"/>
  <c r="O31" i="3"/>
  <c r="T42" i="3"/>
  <c r="O32" i="3"/>
  <c r="T43" i="3"/>
  <c r="O34" i="3"/>
  <c r="T44" i="3"/>
  <c r="T45" i="3"/>
  <c r="S39" i="3"/>
  <c r="S40" i="3"/>
  <c r="S41" i="3"/>
  <c r="S42" i="3"/>
  <c r="S43" i="3"/>
  <c r="S44" i="3"/>
  <c r="S45" i="3"/>
  <c r="B45" i="3"/>
  <c r="M45" i="3"/>
  <c r="N45" i="3"/>
  <c r="C42" i="3"/>
  <c r="D42" i="3"/>
  <c r="E42" i="3"/>
  <c r="F42" i="3"/>
  <c r="G42" i="3"/>
  <c r="H42" i="3"/>
  <c r="I42" i="3"/>
  <c r="J42" i="3"/>
  <c r="K42" i="3"/>
  <c r="L42" i="3"/>
  <c r="M42" i="3"/>
  <c r="N42" i="3"/>
  <c r="C43" i="3"/>
  <c r="D43" i="3"/>
  <c r="E43" i="3"/>
  <c r="F43" i="3"/>
  <c r="G43" i="3"/>
  <c r="H43" i="3"/>
  <c r="I43" i="3"/>
  <c r="J43" i="3"/>
  <c r="K43" i="3"/>
  <c r="L43" i="3"/>
  <c r="M43" i="3"/>
  <c r="N43" i="3"/>
  <c r="M41" i="3"/>
  <c r="L41" i="3"/>
  <c r="K41" i="3"/>
  <c r="J41" i="3"/>
  <c r="I41" i="3"/>
  <c r="H41" i="3"/>
  <c r="G41" i="3"/>
  <c r="F41" i="3"/>
  <c r="E41" i="3"/>
  <c r="D41" i="3"/>
  <c r="C41" i="3"/>
  <c r="B41" i="3"/>
  <c r="S38" i="3"/>
  <c r="O38" i="3"/>
  <c r="T26" i="3"/>
  <c r="T27" i="3"/>
  <c r="T28" i="3"/>
  <c r="T29" i="3"/>
  <c r="T30" i="3"/>
  <c r="T31" i="3"/>
  <c r="T32" i="3"/>
  <c r="T33" i="3"/>
  <c r="T34" i="3"/>
  <c r="S26" i="3"/>
  <c r="S27" i="3"/>
  <c r="S31" i="3"/>
  <c r="S28" i="3"/>
  <c r="S29" i="3"/>
  <c r="S30" i="3"/>
  <c r="S32" i="3"/>
  <c r="S33" i="3"/>
  <c r="S34" i="3"/>
  <c r="S23" i="3"/>
  <c r="N41" i="2"/>
  <c r="O41" i="2"/>
  <c r="T39" i="2"/>
  <c r="O35" i="2"/>
  <c r="T40" i="2"/>
  <c r="O33" i="2"/>
  <c r="T41" i="2"/>
  <c r="O31" i="2"/>
  <c r="T42" i="2"/>
  <c r="O32" i="2"/>
  <c r="T43" i="2"/>
  <c r="O34" i="2"/>
  <c r="T44" i="2"/>
  <c r="T45" i="2"/>
  <c r="S39" i="2"/>
  <c r="S40" i="2"/>
  <c r="S41" i="2"/>
  <c r="S42" i="2"/>
  <c r="S43" i="2"/>
  <c r="S44" i="2"/>
  <c r="S45" i="2"/>
  <c r="B45" i="2"/>
  <c r="M45" i="2"/>
  <c r="N45" i="2"/>
  <c r="C42" i="2"/>
  <c r="D42" i="2"/>
  <c r="E42" i="2"/>
  <c r="F42" i="2"/>
  <c r="G42" i="2"/>
  <c r="H42" i="2"/>
  <c r="I42" i="2"/>
  <c r="J42" i="2"/>
  <c r="K42" i="2"/>
  <c r="L42" i="2"/>
  <c r="M42" i="2"/>
  <c r="N42" i="2"/>
  <c r="C43" i="2"/>
  <c r="D43" i="2"/>
  <c r="E43" i="2"/>
  <c r="F43" i="2"/>
  <c r="G43" i="2"/>
  <c r="H43" i="2"/>
  <c r="I43" i="2"/>
  <c r="J43" i="2"/>
  <c r="K43" i="2"/>
  <c r="L43" i="2"/>
  <c r="M43" i="2"/>
  <c r="N43" i="2"/>
  <c r="M41" i="2"/>
  <c r="L41" i="2"/>
  <c r="K41" i="2"/>
  <c r="J41" i="2"/>
  <c r="I41" i="2"/>
  <c r="H41" i="2"/>
  <c r="G41" i="2"/>
  <c r="F41" i="2"/>
  <c r="E41" i="2"/>
  <c r="D41" i="2"/>
  <c r="C41" i="2"/>
  <c r="B41" i="2"/>
  <c r="S38" i="2"/>
  <c r="O38" i="2"/>
  <c r="T26" i="2"/>
  <c r="T27" i="2"/>
  <c r="T28" i="2"/>
  <c r="T29" i="2"/>
  <c r="T30" i="2"/>
  <c r="T31" i="2"/>
  <c r="T32" i="2"/>
  <c r="T33" i="2"/>
  <c r="T34" i="2"/>
  <c r="S26" i="2"/>
  <c r="S27" i="2"/>
  <c r="S28" i="2"/>
  <c r="S29" i="2"/>
  <c r="S30" i="2"/>
  <c r="S31" i="2"/>
  <c r="S32" i="2"/>
  <c r="S33" i="2"/>
  <c r="S34" i="2"/>
  <c r="S23" i="2"/>
  <c r="N41" i="4"/>
  <c r="O41" i="4"/>
  <c r="T39" i="4"/>
  <c r="T45" i="4"/>
  <c r="S39" i="4"/>
  <c r="S45" i="4"/>
  <c r="G41" i="4"/>
</calcChain>
</file>

<file path=xl/comments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  <author>Jonas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1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Antagits till att vara samma som 2014</t>
        </r>
      </text>
    </comment>
    <comment ref="F31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Antagits vara samma som 2014</t>
        </r>
      </text>
    </comment>
    <comment ref="E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Antagits var a samma som år 2011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  <author>Jonas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K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Farligt avfall 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  <author>Jonas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F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Metanol från Södra Cells verk</t>
        </r>
      </text>
    </comment>
    <comment ref="G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Taget från den högra kolumnen i MR för Södra Cell
</t>
        </r>
      </text>
    </comment>
    <comment ref="I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Inhämtad från miljörapport Södra Cell</t>
        </r>
      </text>
    </comment>
    <comment ref="L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Består av bioextrakt, alvamix, bioslam, bioolja samt tallolja och starkgas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  <author>Jonas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E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Hämtad från milj.rapport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  <author>Jonas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G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Beräknat som återstoden då gasol/naturgas hämtats från milj.rapport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>
  <authors>
    <author>Jonas</author>
    <author>www.statistikdatabasen.scb.se</author>
  </authors>
  <commentList>
    <comment ref="B6" authorId="0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Fanns ingen kraftvärme förräns 2015 i Oskarshamn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E32" authorId="0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Förhållandet gasol, naturgas/biobränsle har antagits vara samma som år 2012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<sst xmlns="http://schemas.openxmlformats.org/spreadsheetml/2006/main" count="1279" uniqueCount="83">
  <si>
    <t>Elproduktion och bränsleanvändning (MWh) efter tid, region, produktionssätt och bränsletyp</t>
  </si>
  <si>
    <t>0821 Högsby</t>
  </si>
  <si>
    <t>Elproduktion</t>
  </si>
  <si>
    <t>Olja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</si>
  <si>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</si>
  <si>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</si>
  <si>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</si>
  <si>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</si>
  <si>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</si>
  <si>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</si>
  <si>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</si>
  <si>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</si>
  <si>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</si>
  <si>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</si>
  <si>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</si>
  <si>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</si>
  <si>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</si>
  <si>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</si>
  <si>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</si>
  <si>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</si>
  <si>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</si>
  <si>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</si>
  <si>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</si>
  <si>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</si>
  <si>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</si>
  <si>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</si>
  <si>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</si>
  <si>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</si>
  <si>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</si>
  <si>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</si>
  <si>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</si>
  <si>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</si>
  <si>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Biobränsle</t>
  </si>
  <si>
    <t>Summa förbrukarkategori</t>
  </si>
  <si>
    <t>Gasol</t>
  </si>
  <si>
    <t>slutanv. jordbruk,skogsbruk,fiske</t>
  </si>
  <si>
    <t>Jord, skog</t>
  </si>
  <si>
    <t>Oljeprodukter</t>
  </si>
  <si>
    <t>slutanv. industri, byggverks.</t>
  </si>
  <si>
    <t>industri</t>
  </si>
  <si>
    <t>Etanol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</si>
  <si>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</si>
  <si>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</si>
  <si>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</si>
  <si>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</si>
  <si>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</si>
  <si>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</si>
  <si>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</si>
  <si>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</si>
  <si>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</si>
  <si>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</si>
  <si>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</si>
  <si>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</si>
  <si>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</si>
  <si>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</si>
  <si>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</si>
  <si>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</si>
  <si>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</si>
  <si>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</si>
  <si>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</si>
  <si>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</si>
  <si>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</si>
  <si>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0834 Torsås</t>
  </si>
  <si>
    <t>0840 Mörbylånga</t>
  </si>
  <si>
    <t>0860 Hultsfred</t>
  </si>
  <si>
    <t>0861 Mönsterås</t>
  </si>
  <si>
    <t>0862 Emmaboda</t>
  </si>
  <si>
    <t>0880 Kalmar</t>
  </si>
  <si>
    <t>0881 Nybro</t>
  </si>
  <si>
    <t>0882 Oskarshamn</t>
  </si>
  <si>
    <t>0883 Västervik</t>
  </si>
  <si>
    <t>0884 Vimmerby</t>
  </si>
  <si>
    <t>0885 Borgholm</t>
  </si>
  <si>
    <t>Distributionsförlust</t>
  </si>
  <si>
    <t>Kärnbränsle</t>
  </si>
  <si>
    <t>Vind</t>
  </si>
  <si>
    <t xml:space="preserve">Vatten </t>
  </si>
  <si>
    <t>köpt värme</t>
  </si>
  <si>
    <t>Industriellt mottryck</t>
  </si>
  <si>
    <t>Kalmar län</t>
  </si>
  <si>
    <t>rökgaskondens</t>
  </si>
  <si>
    <t>Kol/koks</t>
  </si>
  <si>
    <t>Tillförd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</si>
</sst>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0.0"/>
    <numFmt numFmtId="167" formatCode="0.0000%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</font>
    <font>
      <sz val="12"/>
      <color indexed="8"/>
      <name val="Calibri"/>
      <family val="2"/>
    </font>
    <font>
      <i/>
      <sz val="12"/>
      <color indexed="8"/>
      <name val="Calibri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b/>
      <sz val="11"/>
      <color rgb="FF008000"/>
      <name val="Calibri"/>
      <scheme val="minor"/>
    </font>
    <font>
      <i/>
      <sz val="11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i/>
      <sz val="11"/>
      <color rgb="FF000000"/>
      <name val="Calibri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75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1" applyFont="1" applyFill="1" applyProtection="1"/>
    <xf numFmtId="0" fontId="4" fillId="0" borderId="0" xfId="1" applyFill="1" applyProtection="1"/>
    <xf numFmtId="0" fontId="6" fillId="0" borderId="0" xfId="1" applyFont="1"/>
    <xf numFmtId="0" fontId="7" fillId="0" borderId="0" xfId="0" applyFont="1"/>
    <xf numFmtId="0" fontId="8" fillId="0" borderId="0" xfId="1" applyFont="1" applyFill="1" applyProtection="1"/>
    <xf numFmtId="3" fontId="4" fillId="0" borderId="0" xfId="1" applyNumberFormat="1"/>
    <xf numFmtId="0" fontId="4" fillId="0" borderId="0" xfId="1"/>
    <xf numFmtId="0" fontId="8" fillId="0" borderId="0" xfId="0" applyFont="1" applyFill="1" applyProtection="1"/>
    <xf numFmtId="3" fontId="9" fillId="0" borderId="0" xfId="0" applyNumberFormat="1" applyFont="1"/>
    <xf numFmtId="3" fontId="4" fillId="0" borderId="0" xfId="1" applyNumberFormat="1" applyFill="1" applyProtection="1"/>
    <xf numFmtId="3" fontId="10" fillId="0" borderId="0" xfId="1" applyNumberFormat="1" applyFont="1" applyFill="1" applyProtection="1"/>
    <xf numFmtId="164" fontId="4" fillId="0" borderId="0" xfId="1" applyNumberFormat="1"/>
    <xf numFmtId="4" fontId="4" fillId="0" borderId="0" xfId="1" applyNumberFormat="1"/>
    <xf numFmtId="165" fontId="4" fillId="0" borderId="0" xfId="1" applyNumberFormat="1"/>
    <xf numFmtId="10" fontId="4" fillId="0" borderId="0" xfId="1" applyNumberFormat="1"/>
    <xf numFmtId="3" fontId="9" fillId="0" borderId="0" xfId="0" applyNumberFormat="1" applyFont="1" applyAlignment="1">
      <alignment horizontal="right"/>
    </xf>
    <xf numFmtId="165" fontId="11" fillId="0" borderId="0" xfId="1" applyNumberFormat="1" applyFont="1"/>
    <xf numFmtId="165" fontId="6" fillId="0" borderId="0" xfId="1" applyNumberFormat="1" applyFont="1"/>
    <xf numFmtId="166" fontId="4" fillId="0" borderId="0" xfId="1" applyNumberFormat="1"/>
    <xf numFmtId="2" fontId="4" fillId="0" borderId="0" xfId="1" applyNumberFormat="1"/>
    <xf numFmtId="0" fontId="12" fillId="0" borderId="0" xfId="1" applyFont="1"/>
    <xf numFmtId="3" fontId="12" fillId="0" borderId="0" xfId="1" applyNumberFormat="1" applyFont="1"/>
    <xf numFmtId="3" fontId="11" fillId="0" borderId="0" xfId="1" applyNumberFormat="1" applyFont="1"/>
    <xf numFmtId="3" fontId="11" fillId="2" borderId="0" xfId="1" applyNumberFormat="1" applyFont="1" applyFill="1"/>
    <xf numFmtId="3" fontId="13" fillId="2" borderId="0" xfId="1" applyNumberFormat="1" applyFont="1" applyFill="1"/>
    <xf numFmtId="3" fontId="4" fillId="2" borderId="0" xfId="1" applyNumberFormat="1" applyFill="1"/>
    <xf numFmtId="0" fontId="9" fillId="0" borderId="0" xfId="0" applyFont="1"/>
    <xf numFmtId="0" fontId="9" fillId="0" borderId="0" xfId="0" applyFont="1" applyAlignment="1">
      <alignment horizontal="right"/>
    </xf>
    <xf numFmtId="1" fontId="4" fillId="0" borderId="0" xfId="1" applyNumberFormat="1"/>
    <xf numFmtId="165" fontId="11" fillId="0" borderId="0" xfId="2" applyNumberFormat="1" applyFont="1"/>
    <xf numFmtId="165" fontId="3" fillId="0" borderId="0" xfId="2" applyNumberFormat="1" applyFont="1"/>
    <xf numFmtId="3" fontId="13" fillId="0" borderId="0" xfId="1" applyNumberFormat="1" applyFont="1"/>
    <xf numFmtId="9" fontId="13" fillId="0" borderId="0" xfId="2" applyFont="1"/>
    <xf numFmtId="0" fontId="4" fillId="0" borderId="0" xfId="1" applyAlignment="1">
      <alignment horizontal="right"/>
    </xf>
    <xf numFmtId="3" fontId="4" fillId="0" borderId="0" xfId="1" applyNumberFormat="1" applyAlignment="1">
      <alignment horizontal="right"/>
    </xf>
    <xf numFmtId="9" fontId="13" fillId="0" borderId="0" xfId="2" applyNumberFormat="1" applyFont="1"/>
    <xf numFmtId="9" fontId="3" fillId="0" borderId="0" xfId="2" applyFont="1"/>
    <xf numFmtId="9" fontId="15" fillId="0" borderId="0" xfId="3" applyFont="1"/>
    <xf numFmtId="3" fontId="16" fillId="0" borderId="0" xfId="0" applyNumberFormat="1" applyFont="1" applyFill="1"/>
    <xf numFmtId="3" fontId="16" fillId="0" borderId="0" xfId="0" applyNumberFormat="1" applyFont="1"/>
    <xf numFmtId="3" fontId="16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3" fontId="9" fillId="0" borderId="0" xfId="0" applyNumberFormat="1" applyFont="1" applyFill="1"/>
    <xf numFmtId="3" fontId="0" fillId="0" borderId="0" xfId="0" applyNumberFormat="1"/>
    <xf numFmtId="0" fontId="22" fillId="0" borderId="0" xfId="0" applyFont="1" applyFill="1" applyProtection="1"/>
    <xf numFmtId="0" fontId="23" fillId="0" borderId="0" xfId="0" applyFont="1"/>
    <xf numFmtId="167" fontId="4" fillId="0" borderId="0" xfId="1" applyNumberFormat="1"/>
    <xf numFmtId="9" fontId="0" fillId="0" borderId="0" xfId="74" applyFont="1"/>
  </cellXfs>
  <cellStyles count="75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Normal" xfId="0" builtinId="0"/>
    <cellStyle name="Normal 2" xfId="1"/>
    <cellStyle name="Percent" xfId="3" builtinId="5"/>
    <cellStyle name="Percent 2" xfId="2"/>
    <cellStyle name="Percent 3" xfId="7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8" Type="http://schemas.openxmlformats.org/officeDocument/2006/relationships/worksheet" Target="worksheets/sheet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7" Type="http://schemas.openxmlformats.org/officeDocument/2006/relationships/worksheet" Target="worksheets/sheet7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3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1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Relationship Id="rId2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zoomScale="125" zoomScaleNormal="125" zoomScalePageLayoutView="125" workbookViewId="0">
      <selection activeCell="A4" sqref="A4"/>
    </sheetView>
  </sheetViews>
  <sheetFormatPr baseColWidth="10" defaultRowHeight="15" x14ac:dyDescent="0"/>
  <cols>
    <col min="1" max="1" width="20.33203125" customWidth="1"/>
    <col min="13" max="13" width="12" customWidth="1"/>
    <col min="14" max="14" width="11.83203125" customWidth="1"/>
    <col min="19" max="19" width="11.83203125" customWidth="1"/>
  </cols>
  <sheetData>
    <row r="1" spans="1:14">
      <c r="A1" s="46" t="s">
        <v>0</v>
      </c>
    </row>
    <row r="2" spans="1:14">
      <c r="A2" s="46" t="s">
        <v>79</v>
      </c>
    </row>
    <row r="3" spans="1:14">
      <c r="A3">
        <v>2013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32</v>
      </c>
      <c r="H3" t="s">
        <v>7</v>
      </c>
      <c r="I3" t="s">
        <v>6</v>
      </c>
      <c r="J3" t="s">
        <v>8</v>
      </c>
      <c r="K3" t="s">
        <v>9</v>
      </c>
      <c r="L3" t="s">
        <v>10</v>
      </c>
      <c r="M3" t="s">
        <v>11</v>
      </c>
      <c r="N3" t="s">
        <v>12</v>
      </c>
    </row>
    <row r="5" spans="1:14">
      <c r="A5" t="s">
        <v>78</v>
      </c>
      <c r="B5">
        <v>250085</v>
      </c>
      <c r="C5">
        <v>0</v>
      </c>
      <c r="D5">
        <v>0</v>
      </c>
      <c r="E5">
        <v>0</v>
      </c>
      <c r="F5">
        <v>0</v>
      </c>
      <c r="G5">
        <v>188974</v>
      </c>
      <c r="H5">
        <v>0</v>
      </c>
      <c r="I5">
        <v>308276</v>
      </c>
      <c r="J5">
        <v>0</v>
      </c>
      <c r="K5">
        <v>0</v>
      </c>
      <c r="L5">
        <v>0</v>
      </c>
      <c r="M5">
        <v>0</v>
      </c>
      <c r="N5" s="44">
        <f>SUM(C5:M5)</f>
        <v>497250</v>
      </c>
    </row>
    <row r="6" spans="1:14">
      <c r="A6" t="s">
        <v>21</v>
      </c>
      <c r="B6" s="44">
        <v>145060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f>SUM(C6:M6)</f>
        <v>0</v>
      </c>
    </row>
    <row r="7" spans="1:14">
      <c r="A7" t="s">
        <v>14</v>
      </c>
      <c r="B7" s="44">
        <v>11885912</v>
      </c>
      <c r="C7" s="44">
        <v>10424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33687914</v>
      </c>
      <c r="M7" s="44">
        <v>0</v>
      </c>
      <c r="N7" s="44">
        <f>SUM(C7:M7)</f>
        <v>33698338</v>
      </c>
    </row>
    <row r="8" spans="1:14">
      <c r="A8" t="s">
        <v>15</v>
      </c>
      <c r="B8" s="44">
        <v>69759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</row>
    <row r="9" spans="1:14">
      <c r="A9" t="s">
        <v>16</v>
      </c>
      <c r="B9" s="44">
        <v>652892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</row>
    <row r="10" spans="1:14">
      <c r="A10" t="s">
        <v>17</v>
      </c>
      <c r="B10" s="44">
        <f>SUM(B5:B9)</f>
        <v>13003708</v>
      </c>
      <c r="C10" s="44">
        <f t="shared" ref="C10:N10" si="0">SUM(C5:C9)</f>
        <v>10424</v>
      </c>
      <c r="D10" s="44">
        <f t="shared" si="0"/>
        <v>0</v>
      </c>
      <c r="E10" s="44">
        <f t="shared" si="0"/>
        <v>0</v>
      </c>
      <c r="F10" s="44">
        <f t="shared" si="0"/>
        <v>0</v>
      </c>
      <c r="G10" s="44">
        <f t="shared" si="0"/>
        <v>188974</v>
      </c>
      <c r="H10" s="44">
        <f t="shared" si="0"/>
        <v>0</v>
      </c>
      <c r="I10" s="44">
        <f t="shared" si="0"/>
        <v>308276</v>
      </c>
      <c r="J10" s="44">
        <f t="shared" si="0"/>
        <v>0</v>
      </c>
      <c r="K10" s="44">
        <f t="shared" si="0"/>
        <v>0</v>
      </c>
      <c r="L10" s="44">
        <f t="shared" si="0"/>
        <v>33687914</v>
      </c>
      <c r="M10" s="44">
        <f t="shared" si="0"/>
        <v>0</v>
      </c>
      <c r="N10" s="44">
        <f t="shared" si="0"/>
        <v>34195588</v>
      </c>
    </row>
    <row r="11" spans="1:14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>
      <c r="A13" s="46" t="s">
        <v>18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>
      <c r="B15" s="44" t="s">
        <v>19</v>
      </c>
      <c r="C15" s="44" t="s">
        <v>3</v>
      </c>
      <c r="D15" s="44" t="s">
        <v>4</v>
      </c>
      <c r="E15" s="44" t="s">
        <v>5</v>
      </c>
      <c r="F15" s="44" t="s">
        <v>20</v>
      </c>
      <c r="G15" s="44" t="s">
        <v>32</v>
      </c>
      <c r="H15" s="44" t="s">
        <v>7</v>
      </c>
      <c r="I15" s="44" t="s">
        <v>6</v>
      </c>
      <c r="J15" s="44" t="s">
        <v>8</v>
      </c>
      <c r="K15" s="44" t="s">
        <v>9</v>
      </c>
      <c r="L15" s="44" t="s">
        <v>10</v>
      </c>
      <c r="M15" s="44" t="s">
        <v>11</v>
      </c>
      <c r="N15" s="44" t="s">
        <v>12</v>
      </c>
    </row>
    <row r="16" spans="1:14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20">
      <c r="A17" t="s">
        <v>21</v>
      </c>
      <c r="B17" s="44">
        <v>522196</v>
      </c>
      <c r="C17" s="44">
        <v>3493</v>
      </c>
      <c r="D17" s="44">
        <v>0</v>
      </c>
      <c r="E17" s="44">
        <v>0</v>
      </c>
      <c r="F17" s="44">
        <v>0</v>
      </c>
      <c r="G17" s="44">
        <v>698617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f>SUM(C17:M17)</f>
        <v>702110</v>
      </c>
    </row>
    <row r="18" spans="1:20">
      <c r="A18" t="s">
        <v>22</v>
      </c>
      <c r="B18" s="44">
        <v>718697.45</v>
      </c>
      <c r="C18" s="44">
        <v>36473.411764705881</v>
      </c>
      <c r="D18" s="44">
        <v>0</v>
      </c>
      <c r="E18" s="44">
        <v>0</v>
      </c>
      <c r="F18" s="44">
        <v>46709</v>
      </c>
      <c r="G18" s="44">
        <v>574071.4117647059</v>
      </c>
      <c r="H18" s="44">
        <v>2734</v>
      </c>
      <c r="I18" s="44">
        <v>0</v>
      </c>
      <c r="J18" s="44">
        <v>0</v>
      </c>
      <c r="K18" s="44">
        <v>115176</v>
      </c>
      <c r="L18" s="44">
        <v>0</v>
      </c>
      <c r="M18" s="44">
        <v>0</v>
      </c>
      <c r="N18" s="44">
        <f>SUM(C18:M18)</f>
        <v>775163.82352941181</v>
      </c>
    </row>
    <row r="19" spans="1:20">
      <c r="A19" t="s">
        <v>23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f t="shared" ref="N19:N20" si="1">SUM(C19:M19)</f>
        <v>0</v>
      </c>
    </row>
    <row r="20" spans="1:20">
      <c r="A20" t="s">
        <v>24</v>
      </c>
      <c r="B20" s="44">
        <v>6147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2028.51</v>
      </c>
      <c r="N20" s="44">
        <f t="shared" si="1"/>
        <v>2028.51</v>
      </c>
    </row>
    <row r="21" spans="1:20">
      <c r="A21" t="s">
        <v>25</v>
      </c>
      <c r="B21" s="44">
        <v>89944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</row>
    <row r="22" spans="1:20">
      <c r="A22" t="s">
        <v>80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</row>
    <row r="23" spans="1:20">
      <c r="A23" t="s">
        <v>17</v>
      </c>
      <c r="B23" s="44">
        <f>SUM(B17:B22)</f>
        <v>1336984.45</v>
      </c>
      <c r="C23" s="44">
        <f t="shared" ref="C23:N23" si="2">SUM(C17:C22)</f>
        <v>39966.411764705881</v>
      </c>
      <c r="D23" s="44">
        <f t="shared" si="2"/>
        <v>0</v>
      </c>
      <c r="E23" s="44">
        <f t="shared" si="2"/>
        <v>0</v>
      </c>
      <c r="F23" s="44">
        <f t="shared" si="2"/>
        <v>46709</v>
      </c>
      <c r="G23" s="44">
        <f t="shared" si="2"/>
        <v>1272688.411764706</v>
      </c>
      <c r="H23" s="44">
        <f t="shared" si="2"/>
        <v>2734</v>
      </c>
      <c r="I23" s="44">
        <f t="shared" si="2"/>
        <v>0</v>
      </c>
      <c r="J23" s="44">
        <f t="shared" si="2"/>
        <v>0</v>
      </c>
      <c r="K23" s="44">
        <f t="shared" si="2"/>
        <v>115176</v>
      </c>
      <c r="L23" s="44">
        <f t="shared" si="2"/>
        <v>0</v>
      </c>
      <c r="M23" s="44">
        <f t="shared" si="2"/>
        <v>2028.51</v>
      </c>
      <c r="N23" s="44">
        <f t="shared" si="2"/>
        <v>1479302.3335294118</v>
      </c>
      <c r="R23" s="3" t="s">
        <v>26</v>
      </c>
      <c r="S23" s="12">
        <f>N42/1000</f>
        <v>14701.809133529414</v>
      </c>
      <c r="T23" s="3"/>
    </row>
    <row r="24" spans="1:20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R24" s="3"/>
      <c r="S24" s="3"/>
      <c r="T24" s="3"/>
    </row>
    <row r="25" spans="1:20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R25" s="3"/>
      <c r="S25" s="3" t="s">
        <v>27</v>
      </c>
      <c r="T25" s="3" t="s">
        <v>28</v>
      </c>
    </row>
    <row r="26" spans="1:20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R26" s="3" t="s">
        <v>11</v>
      </c>
      <c r="S26" s="13">
        <f>M42/1000</f>
        <v>2815.0915499999996</v>
      </c>
      <c r="T26" s="47">
        <f>M43</f>
        <v>0.19147926111894709</v>
      </c>
    </row>
    <row r="27" spans="1:20">
      <c r="A27" s="46" t="s">
        <v>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R27" s="44" t="s">
        <v>32</v>
      </c>
      <c r="S27" s="13">
        <f>G42/1000</f>
        <v>3111.515921764706</v>
      </c>
      <c r="T27" s="15">
        <f>G43</f>
        <v>0.21164170297031568</v>
      </c>
    </row>
    <row r="28" spans="1:20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R28" s="3" t="s">
        <v>8</v>
      </c>
      <c r="S28" s="13">
        <f>J42/1000</f>
        <v>0</v>
      </c>
      <c r="T28" s="14">
        <f>J43</f>
        <v>0</v>
      </c>
    </row>
    <row r="29" spans="1:20">
      <c r="B29" s="44" t="s">
        <v>30</v>
      </c>
      <c r="C29" s="44" t="s">
        <v>3</v>
      </c>
      <c r="D29" s="44" t="s">
        <v>4</v>
      </c>
      <c r="E29" s="44" t="s">
        <v>5</v>
      </c>
      <c r="F29" s="44" t="s">
        <v>31</v>
      </c>
      <c r="G29" s="44" t="s">
        <v>32</v>
      </c>
      <c r="H29" s="44" t="s">
        <v>7</v>
      </c>
      <c r="I29" s="44" t="s">
        <v>6</v>
      </c>
      <c r="J29" s="44" t="s">
        <v>8</v>
      </c>
      <c r="K29" s="44" t="s">
        <v>9</v>
      </c>
      <c r="L29" s="44" t="s">
        <v>10</v>
      </c>
      <c r="M29" s="44" t="s">
        <v>11</v>
      </c>
      <c r="N29" s="44" t="s">
        <v>33</v>
      </c>
      <c r="R29" s="3" t="s">
        <v>9</v>
      </c>
      <c r="S29" s="13">
        <f>K42/1000</f>
        <v>145.899</v>
      </c>
      <c r="T29" s="14">
        <f>K43</f>
        <v>9.9238807057600888E-3</v>
      </c>
    </row>
    <row r="30" spans="1:20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R30" s="3" t="s">
        <v>31</v>
      </c>
      <c r="S30" s="13">
        <f>F42/1000</f>
        <v>328.43205999999998</v>
      </c>
      <c r="T30" s="14">
        <f>F43</f>
        <v>2.2339567669326314E-2</v>
      </c>
    </row>
    <row r="31" spans="1:20">
      <c r="A31" t="s">
        <v>35</v>
      </c>
      <c r="B31" s="44">
        <v>0</v>
      </c>
      <c r="C31" s="44">
        <v>162534.04999999999</v>
      </c>
      <c r="D31" s="44">
        <v>0</v>
      </c>
      <c r="E31" s="44">
        <v>0</v>
      </c>
      <c r="F31" s="44">
        <v>16106.95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170769</v>
      </c>
      <c r="N31" s="44">
        <f>SUM(B31:M31)</f>
        <v>349410</v>
      </c>
      <c r="O31" s="17">
        <f>N31/N$39</f>
        <v>2.4871284174943553E-2</v>
      </c>
      <c r="P31" s="18" t="s">
        <v>36</v>
      </c>
      <c r="Q31" s="3"/>
      <c r="R31" s="3" t="s">
        <v>34</v>
      </c>
      <c r="S31" s="12">
        <f>E42/1000</f>
        <v>63.786190000000005</v>
      </c>
      <c r="T31" s="14">
        <f>E43</f>
        <v>4.3386626380917427E-3</v>
      </c>
    </row>
    <row r="32" spans="1:20">
      <c r="A32" t="s">
        <v>38</v>
      </c>
      <c r="B32" s="44">
        <v>174077.144</v>
      </c>
      <c r="C32" s="44">
        <v>459939.95</v>
      </c>
      <c r="D32" s="44">
        <v>230000</v>
      </c>
      <c r="E32" s="44">
        <v>63786.19</v>
      </c>
      <c r="F32" s="44">
        <v>32564.11</v>
      </c>
      <c r="G32" s="44">
        <v>1089467.51</v>
      </c>
      <c r="H32" s="44">
        <v>0</v>
      </c>
      <c r="I32" s="44">
        <v>4353956</v>
      </c>
      <c r="J32" s="44">
        <v>0</v>
      </c>
      <c r="K32" s="44">
        <v>30723</v>
      </c>
      <c r="L32" s="44">
        <v>108181</v>
      </c>
      <c r="M32" s="44">
        <v>1113789</v>
      </c>
      <c r="N32" s="44">
        <f t="shared" ref="N32:N38" si="3">SUM(B32:M32)</f>
        <v>7656483.9040000001</v>
      </c>
      <c r="O32" s="17">
        <f>N32/N$39</f>
        <v>0.54499466803258423</v>
      </c>
      <c r="P32" s="18" t="s">
        <v>39</v>
      </c>
      <c r="Q32" s="3"/>
      <c r="R32" s="3" t="s">
        <v>81</v>
      </c>
      <c r="S32" s="12">
        <f>D42/1000</f>
        <v>230</v>
      </c>
      <c r="T32" s="14">
        <f>D43</f>
        <v>1.5644333150500143E-2</v>
      </c>
    </row>
    <row r="33" spans="1:20">
      <c r="A33" t="s">
        <v>41</v>
      </c>
      <c r="B33" s="44">
        <v>188441</v>
      </c>
      <c r="C33" s="44">
        <v>24164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265656</v>
      </c>
      <c r="N33" s="44">
        <f t="shared" si="3"/>
        <v>478261</v>
      </c>
      <c r="O33" s="17">
        <f>N33/N$39</f>
        <v>3.4043001748068687E-2</v>
      </c>
      <c r="P33" s="18" t="s">
        <v>42</v>
      </c>
      <c r="Q33" s="3"/>
      <c r="R33" s="3" t="s">
        <v>6</v>
      </c>
      <c r="S33" s="12">
        <f>I42/1000</f>
        <v>4662.232</v>
      </c>
      <c r="T33" s="14">
        <f>I43</f>
        <v>0.31711961144748951</v>
      </c>
    </row>
    <row r="34" spans="1:20">
      <c r="A34" t="s">
        <v>43</v>
      </c>
      <c r="B34" s="44">
        <v>0</v>
      </c>
      <c r="C34" s="44">
        <v>2442718</v>
      </c>
      <c r="D34" s="44">
        <v>0</v>
      </c>
      <c r="E34" s="44">
        <v>0</v>
      </c>
      <c r="F34" s="44">
        <v>233052</v>
      </c>
      <c r="G34" s="44">
        <v>0</v>
      </c>
      <c r="H34" s="44">
        <v>15724</v>
      </c>
      <c r="I34" s="44">
        <v>0</v>
      </c>
      <c r="J34" s="44">
        <v>0</v>
      </c>
      <c r="K34" s="44">
        <v>0</v>
      </c>
      <c r="L34" s="44">
        <v>0</v>
      </c>
      <c r="M34" s="44">
        <v>7576</v>
      </c>
      <c r="N34" s="44">
        <f t="shared" si="3"/>
        <v>2699070</v>
      </c>
      <c r="O34" s="17">
        <f>N34/N$39</f>
        <v>0.19212196839834264</v>
      </c>
      <c r="P34" s="18" t="s">
        <v>44</v>
      </c>
      <c r="Q34" s="3"/>
      <c r="R34" s="3" t="s">
        <v>37</v>
      </c>
      <c r="S34" s="13">
        <f>C42/1000</f>
        <v>3218.2134117647061</v>
      </c>
      <c r="T34" s="15">
        <f>C43</f>
        <v>0.21889914244806419</v>
      </c>
    </row>
    <row r="35" spans="1:20">
      <c r="A35" t="s">
        <v>45</v>
      </c>
      <c r="B35" s="44">
        <v>151013</v>
      </c>
      <c r="C35" s="44">
        <v>68880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523679</v>
      </c>
      <c r="N35" s="44">
        <f t="shared" si="3"/>
        <v>743572</v>
      </c>
      <c r="O35" s="17">
        <f>N35/N$39</f>
        <v>5.2928051619962592E-2</v>
      </c>
      <c r="P35" s="18" t="s">
        <v>46</v>
      </c>
      <c r="Q35" s="18"/>
      <c r="R35" s="3" t="s">
        <v>10</v>
      </c>
      <c r="S35" s="13">
        <f>L42/1000</f>
        <v>108.181</v>
      </c>
      <c r="T35" s="15">
        <f>L43</f>
        <v>7.3583461067576348E-3</v>
      </c>
    </row>
    <row r="36" spans="1:20">
      <c r="A36" t="s">
        <v>47</v>
      </c>
      <c r="B36" s="44">
        <v>178456</v>
      </c>
      <c r="C36" s="44">
        <v>15950</v>
      </c>
      <c r="D36" s="44">
        <v>0</v>
      </c>
      <c r="E36" s="44">
        <v>0</v>
      </c>
      <c r="F36" s="44">
        <v>0</v>
      </c>
      <c r="G36" s="44">
        <v>560386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653644</v>
      </c>
      <c r="N36" s="44">
        <f t="shared" si="3"/>
        <v>1408436</v>
      </c>
      <c r="O36" s="18"/>
      <c r="P36" s="18"/>
      <c r="Q36" s="3"/>
      <c r="R36" s="3" t="s">
        <v>7</v>
      </c>
      <c r="S36" s="13">
        <f>H42/1000</f>
        <v>18.457999999999998</v>
      </c>
      <c r="T36" s="14">
        <f>H43</f>
        <v>1.2554917447475289E-3</v>
      </c>
    </row>
    <row r="37" spans="1:20">
      <c r="A37" t="s">
        <v>48</v>
      </c>
      <c r="B37" s="44">
        <v>473987.86</v>
      </c>
      <c r="C37" s="44">
        <v>4061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123769</v>
      </c>
      <c r="N37" s="44">
        <f t="shared" si="3"/>
        <v>601817.86</v>
      </c>
      <c r="O37" s="18"/>
      <c r="P37" s="18"/>
      <c r="Q37" s="3"/>
      <c r="R37" s="3"/>
      <c r="S37" s="13">
        <f>SUM(S26:S36)</f>
        <v>14701.809133529412</v>
      </c>
      <c r="T37" s="14">
        <f>SUM(T26:T36)</f>
        <v>0.99999999999999989</v>
      </c>
    </row>
    <row r="38" spans="1:20">
      <c r="A38" t="s">
        <v>49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111681</v>
      </c>
      <c r="N38" s="44">
        <f t="shared" si="3"/>
        <v>111681</v>
      </c>
      <c r="O38" s="18">
        <f>SUM(O31:O35)</f>
        <v>0.84895897397390174</v>
      </c>
      <c r="P38" s="18"/>
      <c r="Q38" s="3"/>
      <c r="R38" s="2"/>
      <c r="S38" s="2"/>
      <c r="T38" s="2"/>
    </row>
    <row r="39" spans="1:20">
      <c r="A39" t="s">
        <v>17</v>
      </c>
      <c r="B39" s="44">
        <f>SUM(B31:B38)</f>
        <v>1165975.004</v>
      </c>
      <c r="C39" s="44">
        <f t="shared" ref="C39:N39" si="4">SUM(C31:C38)</f>
        <v>3178247</v>
      </c>
      <c r="D39" s="44">
        <f t="shared" si="4"/>
        <v>230000</v>
      </c>
      <c r="E39" s="44">
        <f t="shared" si="4"/>
        <v>63786.19</v>
      </c>
      <c r="F39" s="44">
        <f t="shared" si="4"/>
        <v>281723.06</v>
      </c>
      <c r="G39" s="44">
        <f t="shared" si="4"/>
        <v>1649853.51</v>
      </c>
      <c r="H39" s="44">
        <f t="shared" si="4"/>
        <v>15724</v>
      </c>
      <c r="I39" s="44">
        <f t="shared" si="4"/>
        <v>4353956</v>
      </c>
      <c r="J39" s="44">
        <f t="shared" si="4"/>
        <v>0</v>
      </c>
      <c r="K39" s="44">
        <f t="shared" si="4"/>
        <v>30723</v>
      </c>
      <c r="L39" s="44">
        <f t="shared" si="4"/>
        <v>108181</v>
      </c>
      <c r="M39" s="44">
        <f t="shared" si="4"/>
        <v>2970563</v>
      </c>
      <c r="N39" s="44">
        <f t="shared" si="4"/>
        <v>14048731.763999999</v>
      </c>
      <c r="R39" s="7"/>
      <c r="S39" s="7"/>
      <c r="T39" s="7"/>
    </row>
    <row r="40" spans="1:20">
      <c r="R40" s="7"/>
      <c r="S40" s="7" t="s">
        <v>27</v>
      </c>
      <c r="T40" s="7" t="s">
        <v>28</v>
      </c>
    </row>
    <row r="41" spans="1:20">
      <c r="A41" s="21" t="s">
        <v>53</v>
      </c>
      <c r="B41" s="22">
        <f>B38+B37+B36</f>
        <v>652443.86</v>
      </c>
      <c r="C41" s="22">
        <f t="shared" ref="C41:N41" si="5">C38+C37+C36</f>
        <v>20011</v>
      </c>
      <c r="D41" s="22">
        <f t="shared" si="5"/>
        <v>0</v>
      </c>
      <c r="E41" s="22">
        <f t="shared" si="5"/>
        <v>0</v>
      </c>
      <c r="F41" s="22">
        <f t="shared" si="5"/>
        <v>0</v>
      </c>
      <c r="G41" s="22">
        <f t="shared" si="5"/>
        <v>560386</v>
      </c>
      <c r="H41" s="22">
        <f t="shared" si="5"/>
        <v>0</v>
      </c>
      <c r="I41" s="22">
        <f t="shared" si="5"/>
        <v>0</v>
      </c>
      <c r="J41" s="22">
        <f t="shared" si="5"/>
        <v>0</v>
      </c>
      <c r="K41" s="22">
        <f t="shared" si="5"/>
        <v>0</v>
      </c>
      <c r="L41" s="22">
        <f t="shared" si="5"/>
        <v>0</v>
      </c>
      <c r="M41" s="22">
        <f t="shared" si="5"/>
        <v>889094</v>
      </c>
      <c r="N41" s="22">
        <f t="shared" si="5"/>
        <v>2121934.86</v>
      </c>
      <c r="O41" s="17">
        <f>N41/N$39</f>
        <v>0.15104102602609845</v>
      </c>
      <c r="P41" s="17" t="s">
        <v>54</v>
      </c>
      <c r="R41" s="7" t="s">
        <v>50</v>
      </c>
      <c r="S41" s="19">
        <f>N45/1000</f>
        <v>408.65448600000002</v>
      </c>
      <c r="T41" s="7"/>
    </row>
    <row r="42" spans="1:20">
      <c r="A42" s="23" t="s">
        <v>56</v>
      </c>
      <c r="B42" s="22"/>
      <c r="C42" s="24">
        <f>C39+C23</f>
        <v>3218213.411764706</v>
      </c>
      <c r="D42" s="24">
        <f t="shared" ref="D42:K42" si="6">D39+D23+D10</f>
        <v>230000</v>
      </c>
      <c r="E42" s="24">
        <f t="shared" si="6"/>
        <v>63786.19</v>
      </c>
      <c r="F42" s="24">
        <f t="shared" si="6"/>
        <v>328432.06</v>
      </c>
      <c r="G42" s="24">
        <f t="shared" si="6"/>
        <v>3111515.9217647063</v>
      </c>
      <c r="H42" s="24">
        <f t="shared" si="6"/>
        <v>18458</v>
      </c>
      <c r="I42" s="24">
        <f t="shared" si="6"/>
        <v>4662232</v>
      </c>
      <c r="J42" s="24">
        <f t="shared" si="6"/>
        <v>0</v>
      </c>
      <c r="K42" s="24">
        <f t="shared" si="6"/>
        <v>145899</v>
      </c>
      <c r="L42" s="24">
        <f>L39+L23</f>
        <v>108181</v>
      </c>
      <c r="M42" s="24">
        <f>M39+M23-B6+M45-B5</f>
        <v>2815091.55</v>
      </c>
      <c r="N42" s="25">
        <f>SUM(C42:M42)</f>
        <v>14701809.133529413</v>
      </c>
      <c r="O42" s="7"/>
      <c r="P42" s="7"/>
      <c r="R42" s="7" t="s">
        <v>51</v>
      </c>
      <c r="S42" s="20">
        <f>N41/1000</f>
        <v>2121.9348599999998</v>
      </c>
      <c r="T42" s="14">
        <f>O41</f>
        <v>0.15104102602609845</v>
      </c>
    </row>
    <row r="43" spans="1:20">
      <c r="A43" s="23" t="s">
        <v>57</v>
      </c>
      <c r="B43" s="22"/>
      <c r="C43" s="17">
        <f t="shared" ref="C43:M43" si="7">C42/$N42</f>
        <v>0.21889914244806419</v>
      </c>
      <c r="D43" s="17">
        <f t="shared" si="7"/>
        <v>1.5644333150500143E-2</v>
      </c>
      <c r="E43" s="17">
        <f t="shared" si="7"/>
        <v>4.3386626380917427E-3</v>
      </c>
      <c r="F43" s="17">
        <f t="shared" si="7"/>
        <v>2.2339567669326314E-2</v>
      </c>
      <c r="G43" s="17">
        <f t="shared" si="7"/>
        <v>0.21164170297031568</v>
      </c>
      <c r="H43" s="17">
        <f t="shared" si="7"/>
        <v>1.2554917447475289E-3</v>
      </c>
      <c r="I43" s="17">
        <f t="shared" si="7"/>
        <v>0.31711961144748951</v>
      </c>
      <c r="J43" s="17">
        <f t="shared" si="7"/>
        <v>0</v>
      </c>
      <c r="K43" s="17">
        <f t="shared" si="7"/>
        <v>9.9238807057600888E-3</v>
      </c>
      <c r="L43" s="17">
        <f t="shared" si="7"/>
        <v>7.3583461067576348E-3</v>
      </c>
      <c r="M43" s="17">
        <f t="shared" si="7"/>
        <v>0.19147926111894709</v>
      </c>
      <c r="N43" s="17">
        <f>SUM(C43:M43)</f>
        <v>1</v>
      </c>
      <c r="O43" s="7"/>
      <c r="P43" s="7"/>
      <c r="R43" s="7" t="s">
        <v>52</v>
      </c>
      <c r="S43" s="20">
        <f>N35/1000</f>
        <v>743.572</v>
      </c>
      <c r="T43" s="15">
        <f>O35</f>
        <v>5.2928051619962592E-2</v>
      </c>
    </row>
    <row r="44" spans="1:20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R44" s="7" t="s">
        <v>55</v>
      </c>
      <c r="S44" s="20">
        <f>N33/1000</f>
        <v>478.26100000000002</v>
      </c>
      <c r="T44" s="14">
        <f>O33</f>
        <v>3.4043001748068687E-2</v>
      </c>
    </row>
    <row r="45" spans="1:20">
      <c r="A45" s="6" t="s">
        <v>60</v>
      </c>
      <c r="B45" s="6">
        <f>B23-B39</f>
        <v>171009.446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237645.04</v>
      </c>
      <c r="N45" s="25">
        <f>B45+M45</f>
        <v>408654.48600000003</v>
      </c>
      <c r="O45" s="7"/>
      <c r="P45" s="7"/>
      <c r="R45" s="7" t="s">
        <v>36</v>
      </c>
      <c r="S45" s="20">
        <f>N31/1000</f>
        <v>349.41</v>
      </c>
      <c r="T45" s="14">
        <f>O31</f>
        <v>2.4871284174943553E-2</v>
      </c>
    </row>
    <row r="46" spans="1:20">
      <c r="B46" s="48">
        <f>B45/B23</f>
        <v>0.12790683242426643</v>
      </c>
      <c r="R46" s="7" t="s">
        <v>58</v>
      </c>
      <c r="S46" s="20">
        <f>N32/1000</f>
        <v>7656.4839039999997</v>
      </c>
      <c r="T46" s="14">
        <f>O32</f>
        <v>0.54499466803258423</v>
      </c>
    </row>
    <row r="47" spans="1:20">
      <c r="L47" t="s">
        <v>82</v>
      </c>
      <c r="M47" s="44">
        <f>M42-B8-B9</f>
        <v>2092440.5499999998</v>
      </c>
      <c r="R47" s="7" t="s">
        <v>59</v>
      </c>
      <c r="S47" s="20">
        <f>N34/1000</f>
        <v>2699.07</v>
      </c>
      <c r="T47" s="15">
        <f>O34</f>
        <v>0.19212196839834264</v>
      </c>
    </row>
    <row r="48" spans="1:20">
      <c r="D48" s="44"/>
      <c r="R48" s="7" t="s">
        <v>61</v>
      </c>
      <c r="S48" s="20">
        <f>SUM(S42:S47)</f>
        <v>14048.731764</v>
      </c>
      <c r="T48" s="14">
        <f>SUM(T42:T47)</f>
        <v>1.0000000000000002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1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22981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22981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5" t="s">
        <v>77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/>
      <c r="J23" s="9"/>
      <c r="K23" s="9"/>
      <c r="L23" s="9"/>
      <c r="M23" s="9"/>
      <c r="N23" s="9">
        <v>0</v>
      </c>
      <c r="O23" s="3"/>
      <c r="P23" s="3"/>
      <c r="Q23" s="3"/>
      <c r="R23" s="3" t="s">
        <v>26</v>
      </c>
      <c r="S23" s="12">
        <f>N42/1000</f>
        <v>153.33600000000001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59.966999999999999</v>
      </c>
      <c r="T26" s="14">
        <f>M43</f>
        <v>0.39108232900297385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40.823999999999998</v>
      </c>
      <c r="T27" s="15">
        <f>G43</f>
        <v>0.26623884802003445</v>
      </c>
    </row>
    <row r="28" spans="1:20" ht="15">
      <c r="A28" s="4" t="s">
        <v>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4.3079999999999998</v>
      </c>
      <c r="T29" s="14">
        <f>F43</f>
        <v>2.8095163562372828E-2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0</v>
      </c>
      <c r="T30" s="14">
        <f>E43</f>
        <v>0</v>
      </c>
    </row>
    <row r="31" spans="1:20" ht="15">
      <c r="A31" s="5" t="s">
        <v>35</v>
      </c>
      <c r="B31" s="9">
        <v>0</v>
      </c>
      <c r="C31" s="41">
        <f>(N31-M31)*0.91</f>
        <v>7299.1100000000006</v>
      </c>
      <c r="D31" s="9">
        <v>0</v>
      </c>
      <c r="E31" s="9">
        <v>0</v>
      </c>
      <c r="F31" s="41">
        <f>(N31-M31)*0.09</f>
        <v>721.89</v>
      </c>
      <c r="G31" s="9">
        <v>0</v>
      </c>
      <c r="H31" s="9">
        <v>0</v>
      </c>
      <c r="I31" s="9"/>
      <c r="J31" s="9"/>
      <c r="K31" s="9"/>
      <c r="L31" s="9"/>
      <c r="M31" s="9">
        <v>6892</v>
      </c>
      <c r="N31" s="9">
        <v>14913</v>
      </c>
      <c r="O31" s="17">
        <f>N31/N$39</f>
        <v>0.10015850202157239</v>
      </c>
      <c r="P31" s="18" t="s">
        <v>36</v>
      </c>
      <c r="Q31" s="3"/>
      <c r="R31" s="3" t="s">
        <v>37</v>
      </c>
      <c r="S31" s="13">
        <f>C42/1000</f>
        <v>48.237000000000002</v>
      </c>
      <c r="T31" s="15">
        <f>C43</f>
        <v>0.31458365941461885</v>
      </c>
    </row>
    <row r="32" spans="1:20" ht="15">
      <c r="A32" s="5" t="s">
        <v>38</v>
      </c>
      <c r="B32" s="9">
        <v>0</v>
      </c>
      <c r="C32" s="41">
        <f>N32-M32-G32-F32</f>
        <v>998.89</v>
      </c>
      <c r="D32" s="9">
        <v>0</v>
      </c>
      <c r="E32" s="9">
        <v>0</v>
      </c>
      <c r="F32" s="41">
        <f>F39-F34-F31</f>
        <v>61.110000000000014</v>
      </c>
      <c r="G32" s="41">
        <f>G39-G36</f>
        <v>10089</v>
      </c>
      <c r="H32" s="9">
        <v>0</v>
      </c>
      <c r="I32" s="9"/>
      <c r="J32" s="9"/>
      <c r="K32" s="9"/>
      <c r="L32" s="9"/>
      <c r="M32" s="9">
        <v>10741</v>
      </c>
      <c r="N32" s="9">
        <v>21890</v>
      </c>
      <c r="O32" s="17">
        <f>N32/N$39</f>
        <v>0.14701734119575</v>
      </c>
      <c r="P32" s="18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0</v>
      </c>
      <c r="C33" s="9">
        <v>248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6658</v>
      </c>
      <c r="N33" s="9">
        <v>6906</v>
      </c>
      <c r="O33" s="17">
        <f>N33/N$39</f>
        <v>4.6381989871989472E-2</v>
      </c>
      <c r="P33" s="18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38540</v>
      </c>
      <c r="D34" s="9">
        <v>0</v>
      </c>
      <c r="E34" s="9">
        <v>0</v>
      </c>
      <c r="F34" s="9">
        <v>3525</v>
      </c>
      <c r="G34" s="9">
        <v>0</v>
      </c>
      <c r="H34" s="9">
        <v>0</v>
      </c>
      <c r="I34" s="9"/>
      <c r="J34" s="9"/>
      <c r="K34" s="9"/>
      <c r="L34" s="9"/>
      <c r="M34" s="9">
        <v>234</v>
      </c>
      <c r="N34" s="9">
        <v>42298</v>
      </c>
      <c r="O34" s="17">
        <f>N34/N$39</f>
        <v>0.28408129273174204</v>
      </c>
      <c r="P34" s="18" t="s">
        <v>44</v>
      </c>
      <c r="Q34" s="3"/>
      <c r="R34" s="3"/>
      <c r="S34" s="13">
        <f>SUM(S26:S33)</f>
        <v>153.33599999999998</v>
      </c>
      <c r="T34" s="14">
        <f>SUM(T26:T33)</f>
        <v>1</v>
      </c>
    </row>
    <row r="35" spans="1:47" ht="15">
      <c r="A35" s="5" t="s">
        <v>45</v>
      </c>
      <c r="B35" s="9">
        <v>0</v>
      </c>
      <c r="C35" s="9">
        <v>329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7874</v>
      </c>
      <c r="N35" s="9">
        <v>8203</v>
      </c>
      <c r="O35" s="17">
        <f>N35/N$39</f>
        <v>5.5092884871116361E-2</v>
      </c>
      <c r="P35" s="18" t="s">
        <v>46</v>
      </c>
      <c r="Q35" s="18"/>
    </row>
    <row r="36" spans="1:47" ht="15">
      <c r="A36" s="5" t="s">
        <v>47</v>
      </c>
      <c r="B36" s="9">
        <v>0</v>
      </c>
      <c r="C36" s="41">
        <v>800</v>
      </c>
      <c r="D36" s="9">
        <v>0</v>
      </c>
      <c r="E36" s="9">
        <v>0</v>
      </c>
      <c r="F36" s="9">
        <v>0</v>
      </c>
      <c r="G36" s="41">
        <f>N36-M36-C36</f>
        <v>30735</v>
      </c>
      <c r="H36" s="9">
        <v>0</v>
      </c>
      <c r="I36" s="9"/>
      <c r="J36" s="9"/>
      <c r="K36" s="9"/>
      <c r="L36" s="9"/>
      <c r="M36" s="9">
        <v>18958</v>
      </c>
      <c r="N36" s="9">
        <v>50493</v>
      </c>
      <c r="O36" s="18"/>
      <c r="P36" s="18"/>
      <c r="Q36" s="3"/>
      <c r="R36" s="7"/>
      <c r="S36" s="7"/>
      <c r="T36" s="7"/>
    </row>
    <row r="37" spans="1:47" ht="15">
      <c r="A37" s="5" t="s">
        <v>48</v>
      </c>
      <c r="B37" s="9">
        <v>0</v>
      </c>
      <c r="C37" s="9">
        <v>23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1772</v>
      </c>
      <c r="N37" s="9">
        <v>1795</v>
      </c>
      <c r="O37" s="18"/>
      <c r="P37" s="18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2396</v>
      </c>
      <c r="N38" s="9">
        <v>2396</v>
      </c>
      <c r="O38" s="18">
        <f>SUM(O31:O35)</f>
        <v>0.63273201069217033</v>
      </c>
      <c r="P38" s="18"/>
      <c r="Q38" s="3"/>
      <c r="R38" s="7" t="s">
        <v>50</v>
      </c>
      <c r="S38" s="19">
        <f>N45/1000</f>
        <v>4.4420000000000002</v>
      </c>
      <c r="T38" s="7"/>
    </row>
    <row r="39" spans="1:47" ht="15">
      <c r="A39" s="5" t="s">
        <v>17</v>
      </c>
      <c r="B39" s="9">
        <v>0</v>
      </c>
      <c r="C39" s="9">
        <v>48237</v>
      </c>
      <c r="D39" s="9">
        <v>0</v>
      </c>
      <c r="E39" s="9">
        <v>0</v>
      </c>
      <c r="F39" s="9">
        <v>4308</v>
      </c>
      <c r="G39" s="9">
        <v>40824</v>
      </c>
      <c r="H39" s="9">
        <v>0</v>
      </c>
      <c r="I39" s="9"/>
      <c r="J39" s="9"/>
      <c r="K39" s="9"/>
      <c r="L39" s="9"/>
      <c r="M39" s="9">
        <v>55525</v>
      </c>
      <c r="N39" s="9">
        <v>148894</v>
      </c>
      <c r="O39" s="3"/>
      <c r="P39" s="3"/>
      <c r="Q39" s="3"/>
      <c r="R39" s="7" t="s">
        <v>51</v>
      </c>
      <c r="S39" s="20">
        <f>N41/1000</f>
        <v>54.683999999999997</v>
      </c>
      <c r="T39" s="14">
        <f>O41</f>
        <v>0.36726798930782972</v>
      </c>
    </row>
    <row r="40" spans="1:47">
      <c r="R40" s="7" t="s">
        <v>52</v>
      </c>
      <c r="S40" s="20">
        <f>N35/1000</f>
        <v>8.2029999999999994</v>
      </c>
      <c r="T40" s="15">
        <f>O35</f>
        <v>5.5092884871116361E-2</v>
      </c>
    </row>
    <row r="41" spans="1:47" ht="15">
      <c r="A41" s="21" t="s">
        <v>53</v>
      </c>
      <c r="B41" s="22">
        <f>B38+B37+B36</f>
        <v>0</v>
      </c>
      <c r="C41" s="22">
        <f t="shared" ref="C41:N41" si="0">C38+C37+C36</f>
        <v>823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30735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23126</v>
      </c>
      <c r="N41" s="22">
        <f t="shared" si="0"/>
        <v>54684</v>
      </c>
      <c r="O41" s="17">
        <f>N41/N$39</f>
        <v>0.36726798930782972</v>
      </c>
      <c r="P41" s="17" t="s">
        <v>54</v>
      </c>
      <c r="Q41" s="7"/>
      <c r="R41" s="7" t="s">
        <v>55</v>
      </c>
      <c r="S41" s="20">
        <f>N33/1000</f>
        <v>6.9059999999999997</v>
      </c>
      <c r="T41" s="14">
        <f>O33</f>
        <v>4.6381989871989472E-2</v>
      </c>
    </row>
    <row r="42" spans="1:47" ht="15">
      <c r="A42" s="23" t="s">
        <v>56</v>
      </c>
      <c r="B42" s="22"/>
      <c r="C42" s="24">
        <f>C39+C23+C10</f>
        <v>48237</v>
      </c>
      <c r="D42" s="24">
        <f t="shared" ref="D42:L42" si="1">D39+D23+D10</f>
        <v>0</v>
      </c>
      <c r="E42" s="24">
        <f t="shared" si="1"/>
        <v>0</v>
      </c>
      <c r="F42" s="24">
        <f t="shared" si="1"/>
        <v>4308</v>
      </c>
      <c r="G42" s="24">
        <f t="shared" si="1"/>
        <v>40824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59967</v>
      </c>
      <c r="N42" s="25">
        <f>SUM(C42:M42)</f>
        <v>153336</v>
      </c>
      <c r="O42" s="7"/>
      <c r="P42" s="7"/>
      <c r="Q42" s="7"/>
      <c r="R42" s="7" t="s">
        <v>36</v>
      </c>
      <c r="S42" s="20">
        <f>N31/1000</f>
        <v>14.913</v>
      </c>
      <c r="T42" s="14">
        <f>O31</f>
        <v>0.10015850202157239</v>
      </c>
    </row>
    <row r="43" spans="1:47" ht="15">
      <c r="A43" s="23" t="s">
        <v>57</v>
      </c>
      <c r="B43" s="22"/>
      <c r="C43" s="17">
        <f t="shared" ref="C43:M43" si="2">C42/$N42</f>
        <v>0.31458365941461885</v>
      </c>
      <c r="D43" s="17">
        <f t="shared" si="2"/>
        <v>0</v>
      </c>
      <c r="E43" s="17">
        <f t="shared" si="2"/>
        <v>0</v>
      </c>
      <c r="F43" s="17">
        <f t="shared" si="2"/>
        <v>2.8095163562372828E-2</v>
      </c>
      <c r="G43" s="17">
        <f t="shared" si="2"/>
        <v>0.26623884802003445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0.39108232900297385</v>
      </c>
      <c r="N43" s="17">
        <f>SUM(C43:M43)</f>
        <v>1</v>
      </c>
      <c r="O43" s="7"/>
      <c r="P43" s="7"/>
      <c r="Q43" s="7"/>
      <c r="R43" s="7" t="s">
        <v>58</v>
      </c>
      <c r="S43" s="20">
        <f>N32/1000</f>
        <v>21.89</v>
      </c>
      <c r="T43" s="15">
        <f>O32</f>
        <v>0.14701734119575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0">
        <f>N34/1000</f>
        <v>42.298000000000002</v>
      </c>
      <c r="T44" s="15">
        <f>O34</f>
        <v>0.28408129273174204</v>
      </c>
    </row>
    <row r="45" spans="1:47" ht="15">
      <c r="A45" s="6" t="s">
        <v>60</v>
      </c>
      <c r="B45" s="6">
        <f>B23-B39</f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4442</v>
      </c>
      <c r="N45" s="25">
        <f>B45+M45</f>
        <v>4442</v>
      </c>
      <c r="O45" s="7"/>
      <c r="P45" s="7"/>
      <c r="Q45" s="7"/>
      <c r="R45" s="7" t="s">
        <v>61</v>
      </c>
      <c r="S45" s="20">
        <f>SUM(S39:S44)</f>
        <v>148.89400000000001</v>
      </c>
      <c r="T45" s="14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73</v>
      </c>
      <c r="B47" s="4" t="e">
        <f>(B23-B39)/B23</f>
        <v>#DIV/0!</v>
      </c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9"/>
      <c r="F48" s="27"/>
      <c r="G48" s="28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9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62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248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45250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45498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15631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3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5" t="s">
        <v>77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15631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/>
      <c r="J23" s="9"/>
      <c r="K23" s="9"/>
      <c r="L23" s="9"/>
      <c r="M23" s="9"/>
      <c r="N23" s="9">
        <v>0</v>
      </c>
      <c r="O23" s="3"/>
      <c r="P23" s="3"/>
      <c r="Q23" s="3"/>
      <c r="R23" s="3" t="s">
        <v>26</v>
      </c>
      <c r="S23" s="12">
        <f>N42/1000</f>
        <v>248.56056000000001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102.60755999999999</v>
      </c>
      <c r="T26" s="14">
        <f>M43</f>
        <v>0.41280708411664346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76.114999999999995</v>
      </c>
      <c r="T27" s="15">
        <f>G43</f>
        <v>0.3062231594586044</v>
      </c>
    </row>
    <row r="28" spans="1:20" ht="15">
      <c r="A28" s="4" t="s">
        <v>62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4.9610000000000003</v>
      </c>
      <c r="T29" s="14">
        <f>F43</f>
        <v>1.9958918663524092E-2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0</v>
      </c>
      <c r="T30" s="14">
        <f>E43</f>
        <v>0</v>
      </c>
    </row>
    <row r="31" spans="1:20" ht="15">
      <c r="A31" s="5" t="s">
        <v>35</v>
      </c>
      <c r="B31" s="9">
        <v>0</v>
      </c>
      <c r="C31" s="41">
        <v>11034</v>
      </c>
      <c r="D31" s="9">
        <v>0</v>
      </c>
      <c r="E31" s="9">
        <v>0</v>
      </c>
      <c r="F31" s="41">
        <v>1130</v>
      </c>
      <c r="G31" s="9">
        <v>0</v>
      </c>
      <c r="H31" s="9">
        <v>0</v>
      </c>
      <c r="I31" s="9"/>
      <c r="J31" s="9"/>
      <c r="K31" s="9"/>
      <c r="L31" s="9"/>
      <c r="M31" s="9">
        <v>13501</v>
      </c>
      <c r="N31" s="41">
        <f>C31+F31+M31</f>
        <v>25665</v>
      </c>
      <c r="O31" s="17">
        <f>N31/N$39</f>
        <v>0.1009372038054486</v>
      </c>
      <c r="P31" s="18" t="s">
        <v>36</v>
      </c>
      <c r="Q31" s="3"/>
      <c r="R31" s="3" t="s">
        <v>37</v>
      </c>
      <c r="S31" s="13">
        <f>C42/1000</f>
        <v>64.876999999999995</v>
      </c>
      <c r="T31" s="15">
        <f>C43</f>
        <v>0.26101083776122808</v>
      </c>
    </row>
    <row r="32" spans="1:20" ht="15">
      <c r="A32" s="5" t="s">
        <v>38</v>
      </c>
      <c r="B32" s="9">
        <v>2852</v>
      </c>
      <c r="C32" s="41">
        <v>9621</v>
      </c>
      <c r="D32" s="9">
        <v>0</v>
      </c>
      <c r="E32" s="41">
        <v>0</v>
      </c>
      <c r="F32" s="41">
        <f>4961-1130-3556</f>
        <v>275</v>
      </c>
      <c r="G32" s="41">
        <v>41759</v>
      </c>
      <c r="H32" s="9">
        <v>0</v>
      </c>
      <c r="I32" s="9"/>
      <c r="J32" s="9"/>
      <c r="K32" s="9"/>
      <c r="L32" s="9"/>
      <c r="M32" s="9">
        <v>39095</v>
      </c>
      <c r="N32" s="41">
        <v>93602</v>
      </c>
      <c r="O32" s="17">
        <f>N32/N$39</f>
        <v>0.36812484514309762</v>
      </c>
      <c r="P32" s="18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3657</v>
      </c>
      <c r="C33" s="9">
        <v>100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3802</v>
      </c>
      <c r="N33" s="9">
        <v>7560</v>
      </c>
      <c r="O33" s="17">
        <f>N33/N$39</f>
        <v>2.9732525258881412E-2</v>
      </c>
      <c r="P33" s="18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43456</v>
      </c>
      <c r="D34" s="9">
        <v>0</v>
      </c>
      <c r="E34" s="9">
        <v>0</v>
      </c>
      <c r="F34" s="9">
        <v>3556</v>
      </c>
      <c r="G34" s="9">
        <v>0</v>
      </c>
      <c r="H34" s="9">
        <v>0</v>
      </c>
      <c r="I34" s="9"/>
      <c r="J34" s="9"/>
      <c r="K34" s="9"/>
      <c r="L34" s="9"/>
      <c r="M34" s="9">
        <v>0</v>
      </c>
      <c r="N34" s="9">
        <v>47011</v>
      </c>
      <c r="O34" s="17">
        <f>N34/N$39</f>
        <v>0.18488832605096217</v>
      </c>
      <c r="P34" s="18" t="s">
        <v>44</v>
      </c>
      <c r="Q34" s="3"/>
      <c r="R34" s="3"/>
      <c r="S34" s="13">
        <f>SUM(S26:S33)</f>
        <v>248.56056000000001</v>
      </c>
      <c r="T34" s="14">
        <f>SUM(T26:T33)</f>
        <v>1</v>
      </c>
    </row>
    <row r="35" spans="1:47" ht="15">
      <c r="A35" s="5" t="s">
        <v>45</v>
      </c>
      <c r="B35" s="9">
        <v>0</v>
      </c>
      <c r="C35" s="9">
        <v>21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7072</v>
      </c>
      <c r="N35" s="9">
        <v>7093</v>
      </c>
      <c r="O35" s="17">
        <f>N35/N$39</f>
        <v>2.7895873235614529E-2</v>
      </c>
      <c r="P35" s="18" t="s">
        <v>46</v>
      </c>
      <c r="Q35" s="18"/>
    </row>
    <row r="36" spans="1:47" ht="15">
      <c r="A36" s="5" t="s">
        <v>47</v>
      </c>
      <c r="B36" s="9">
        <v>2802</v>
      </c>
      <c r="C36" s="9">
        <v>639</v>
      </c>
      <c r="D36" s="9">
        <v>0</v>
      </c>
      <c r="E36" s="9">
        <v>0</v>
      </c>
      <c r="F36" s="9">
        <v>0</v>
      </c>
      <c r="G36" s="9">
        <v>34356</v>
      </c>
      <c r="H36" s="9">
        <v>0</v>
      </c>
      <c r="I36" s="9"/>
      <c r="J36" s="9"/>
      <c r="K36" s="9"/>
      <c r="L36" s="9"/>
      <c r="M36" s="9">
        <v>22161</v>
      </c>
      <c r="N36" s="9">
        <v>59957</v>
      </c>
      <c r="O36" s="18"/>
      <c r="P36" s="18"/>
      <c r="Q36" s="3"/>
      <c r="R36" s="7"/>
      <c r="S36" s="7"/>
      <c r="T36" s="7"/>
    </row>
    <row r="37" spans="1:47" ht="15">
      <c r="A37" s="5" t="s">
        <v>48</v>
      </c>
      <c r="B37" s="9">
        <v>3997</v>
      </c>
      <c r="C37" s="9">
        <v>6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5223</v>
      </c>
      <c r="N37" s="9">
        <v>9226</v>
      </c>
      <c r="O37" s="18"/>
      <c r="P37" s="18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4153</v>
      </c>
      <c r="N38" s="9">
        <v>4153</v>
      </c>
      <c r="O38" s="18">
        <f>SUM(O31:O35)</f>
        <v>0.71157877349400422</v>
      </c>
      <c r="P38" s="18"/>
      <c r="Q38" s="3"/>
      <c r="R38" s="7" t="s">
        <v>50</v>
      </c>
      <c r="S38" s="19">
        <f>N45/1000</f>
        <v>9.9235600000000019</v>
      </c>
      <c r="T38" s="7"/>
    </row>
    <row r="39" spans="1:47" ht="15">
      <c r="A39" s="5" t="s">
        <v>17</v>
      </c>
      <c r="B39" s="9">
        <v>13308</v>
      </c>
      <c r="C39" s="16">
        <f>11034+9621+100+43456+21+639+6</f>
        <v>64877</v>
      </c>
      <c r="D39" s="9">
        <v>0</v>
      </c>
      <c r="E39" s="41">
        <v>0</v>
      </c>
      <c r="F39" s="9">
        <v>4961</v>
      </c>
      <c r="G39" s="41">
        <f>34356+41759</f>
        <v>76115</v>
      </c>
      <c r="H39" s="9">
        <v>0</v>
      </c>
      <c r="I39" s="9"/>
      <c r="J39" s="9"/>
      <c r="K39" s="9"/>
      <c r="L39" s="9"/>
      <c r="M39" s="9">
        <v>95007</v>
      </c>
      <c r="N39" s="9">
        <v>254267</v>
      </c>
      <c r="O39" s="3"/>
      <c r="P39" s="3"/>
      <c r="Q39" s="3"/>
      <c r="R39" s="7" t="s">
        <v>51</v>
      </c>
      <c r="S39" s="20">
        <f>N41/1000</f>
        <v>73.335999999999999</v>
      </c>
      <c r="T39" s="14">
        <f>O41</f>
        <v>0.28842122650599566</v>
      </c>
    </row>
    <row r="40" spans="1:47">
      <c r="R40" s="7" t="s">
        <v>52</v>
      </c>
      <c r="S40" s="20">
        <f>N35/1000</f>
        <v>7.093</v>
      </c>
      <c r="T40" s="15">
        <f>O35</f>
        <v>2.7895873235614529E-2</v>
      </c>
    </row>
    <row r="41" spans="1:47" ht="15">
      <c r="A41" s="21" t="s">
        <v>53</v>
      </c>
      <c r="B41" s="22">
        <f>B38+B37+B36</f>
        <v>6799</v>
      </c>
      <c r="C41" s="22">
        <f t="shared" ref="C41:N41" si="0">C38+C37+C36</f>
        <v>645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34356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31537</v>
      </c>
      <c r="N41" s="22">
        <f t="shared" si="0"/>
        <v>73336</v>
      </c>
      <c r="O41" s="17">
        <f>N41/N$39</f>
        <v>0.28842122650599566</v>
      </c>
      <c r="P41" s="17" t="s">
        <v>54</v>
      </c>
      <c r="Q41" s="7"/>
      <c r="R41" s="7" t="s">
        <v>55</v>
      </c>
      <c r="S41" s="20">
        <f>N33/1000</f>
        <v>7.56</v>
      </c>
      <c r="T41" s="14">
        <f>O33</f>
        <v>2.9732525258881412E-2</v>
      </c>
    </row>
    <row r="42" spans="1:47" ht="15">
      <c r="A42" s="23" t="s">
        <v>56</v>
      </c>
      <c r="B42" s="22"/>
      <c r="C42" s="24">
        <f>C39+C23+C10</f>
        <v>64877</v>
      </c>
      <c r="D42" s="24">
        <f t="shared" ref="D42:L42" si="1">D39+D23+D10</f>
        <v>0</v>
      </c>
      <c r="E42" s="24">
        <f t="shared" si="1"/>
        <v>0</v>
      </c>
      <c r="F42" s="24">
        <f t="shared" si="1"/>
        <v>4961</v>
      </c>
      <c r="G42" s="24">
        <f t="shared" si="1"/>
        <v>76115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102607.56</v>
      </c>
      <c r="N42" s="25">
        <f>SUM(C42:M42)</f>
        <v>248560.56</v>
      </c>
      <c r="O42" s="7"/>
      <c r="P42" s="7"/>
      <c r="Q42" s="7"/>
      <c r="R42" s="7" t="s">
        <v>36</v>
      </c>
      <c r="S42" s="20">
        <f>N31/1000</f>
        <v>25.664999999999999</v>
      </c>
      <c r="T42" s="14">
        <f>O31</f>
        <v>0.1009372038054486</v>
      </c>
    </row>
    <row r="43" spans="1:47" ht="15">
      <c r="A43" s="23" t="s">
        <v>57</v>
      </c>
      <c r="B43" s="22"/>
      <c r="C43" s="17">
        <f t="shared" ref="C43:M43" si="2">C42/$N42</f>
        <v>0.26101083776122808</v>
      </c>
      <c r="D43" s="17">
        <f t="shared" si="2"/>
        <v>0</v>
      </c>
      <c r="E43" s="17">
        <f t="shared" si="2"/>
        <v>0</v>
      </c>
      <c r="F43" s="17">
        <f t="shared" si="2"/>
        <v>1.9958918663524092E-2</v>
      </c>
      <c r="G43" s="17">
        <f t="shared" si="2"/>
        <v>0.3062231594586044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0.41280708411664346</v>
      </c>
      <c r="N43" s="17">
        <f>SUM(C43:M43)</f>
        <v>1</v>
      </c>
      <c r="O43" s="7"/>
      <c r="P43" s="7"/>
      <c r="Q43" s="7"/>
      <c r="R43" s="7" t="s">
        <v>58</v>
      </c>
      <c r="S43" s="20">
        <f>N32/1000</f>
        <v>93.602000000000004</v>
      </c>
      <c r="T43" s="15">
        <f>O32</f>
        <v>0.36812484514309762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0">
        <f>N34/1000</f>
        <v>47.011000000000003</v>
      </c>
      <c r="T44" s="15">
        <f>O34</f>
        <v>0.18488832605096217</v>
      </c>
    </row>
    <row r="45" spans="1:47" ht="15">
      <c r="A45" s="6" t="s">
        <v>60</v>
      </c>
      <c r="B45" s="6">
        <f>B23-B39</f>
        <v>2323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7600.56</v>
      </c>
      <c r="N45" s="25">
        <f>B45+M45</f>
        <v>9923.5600000000013</v>
      </c>
      <c r="O45" s="7"/>
      <c r="P45" s="7"/>
      <c r="Q45" s="7"/>
      <c r="R45" s="7" t="s">
        <v>61</v>
      </c>
      <c r="S45" s="20">
        <f>SUM(S39:S44)</f>
        <v>254.267</v>
      </c>
      <c r="T45" s="14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73</v>
      </c>
      <c r="B47" s="38">
        <f>(B23-B39)/B23</f>
        <v>0.1486149318661634</v>
      </c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8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8"/>
      <c r="G48" s="28"/>
      <c r="H48" s="28"/>
      <c r="I48" s="27"/>
      <c r="J48" s="27"/>
      <c r="K48" s="27"/>
      <c r="L48" s="27"/>
      <c r="M48" s="27"/>
      <c r="N48" s="27"/>
      <c r="O48" s="28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9"/>
      <c r="H49" s="9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9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9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8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8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 enableFormatConditionsCalculation="0"/>
  <dimension ref="A1:AU70"/>
  <sheetViews>
    <sheetView zoomScale="125" zoomScaleNormal="125" zoomScalePageLayoutView="125" workbookViewId="0">
      <selection activeCell="L43" sqref="L43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63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68081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68081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0">
        <v>21300</v>
      </c>
      <c r="C18" s="40">
        <f>21300/0.85*0.5</f>
        <v>12529.411764705883</v>
      </c>
      <c r="D18" s="9">
        <v>0</v>
      </c>
      <c r="E18" s="9">
        <v>0</v>
      </c>
      <c r="F18" s="9">
        <v>0</v>
      </c>
      <c r="G18" s="40">
        <f>21300/0.85*0.5</f>
        <v>12529.411764705883</v>
      </c>
      <c r="H18" s="9">
        <v>0</v>
      </c>
      <c r="I18" s="9"/>
      <c r="J18" s="9"/>
      <c r="K18" s="9"/>
      <c r="L18" s="9"/>
      <c r="M18" s="9"/>
      <c r="N18" s="40">
        <f>SUM(C18:H18)</f>
        <v>25058.823529411766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5" t="s">
        <v>77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40">
        <f>11500+9800</f>
        <v>21300</v>
      </c>
      <c r="C23" s="40">
        <v>12529</v>
      </c>
      <c r="D23" s="9">
        <v>0</v>
      </c>
      <c r="E23" s="9">
        <v>0</v>
      </c>
      <c r="F23" s="9">
        <v>0</v>
      </c>
      <c r="G23" s="40">
        <v>12529</v>
      </c>
      <c r="H23" s="9">
        <v>0</v>
      </c>
      <c r="I23" s="9"/>
      <c r="J23" s="9"/>
      <c r="K23" s="9"/>
      <c r="L23" s="9"/>
      <c r="M23" s="9"/>
      <c r="N23" s="40">
        <v>25059</v>
      </c>
      <c r="O23" s="3"/>
      <c r="P23" s="3"/>
      <c r="Q23" s="3"/>
      <c r="R23" s="3" t="s">
        <v>26</v>
      </c>
      <c r="S23" s="12">
        <f>N42/1000</f>
        <v>715.93524000000002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217.48823999999999</v>
      </c>
      <c r="T26" s="14">
        <f>M43</f>
        <v>0.30378200128827293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42.527000000000001</v>
      </c>
      <c r="T27" s="15">
        <f>G43</f>
        <v>5.9400624000573013E-2</v>
      </c>
    </row>
    <row r="28" spans="1:20" ht="15">
      <c r="A28" s="4" t="s">
        <v>63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9.9410000000000007</v>
      </c>
      <c r="T29" s="14">
        <f>F43</f>
        <v>1.3885334098095241E-2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2</v>
      </c>
      <c r="T30" s="14">
        <f>E43</f>
        <v>2.793548757287042E-3</v>
      </c>
    </row>
    <row r="31" spans="1:20" ht="15">
      <c r="A31" s="5" t="s">
        <v>35</v>
      </c>
      <c r="B31" s="9">
        <v>0</v>
      </c>
      <c r="C31" s="41">
        <f>(N31-M31)*0.91</f>
        <v>17047.940000000002</v>
      </c>
      <c r="D31" s="9">
        <v>0</v>
      </c>
      <c r="E31" s="9">
        <v>0</v>
      </c>
      <c r="F31" s="41">
        <f>(N31-M31)*0.09</f>
        <v>1686.06</v>
      </c>
      <c r="G31" s="9">
        <v>0</v>
      </c>
      <c r="H31" s="9">
        <v>0</v>
      </c>
      <c r="I31" s="9"/>
      <c r="J31" s="9"/>
      <c r="K31" s="9"/>
      <c r="L31" s="9"/>
      <c r="M31" s="9">
        <v>22540</v>
      </c>
      <c r="N31" s="9">
        <v>41274</v>
      </c>
      <c r="O31" s="17">
        <f>N31/N$39</f>
        <v>5.9647353125221292E-2</v>
      </c>
      <c r="P31" s="18" t="s">
        <v>36</v>
      </c>
      <c r="Q31" s="3"/>
      <c r="R31" s="3" t="s">
        <v>37</v>
      </c>
      <c r="S31" s="13">
        <f>C42/1000</f>
        <v>183.256</v>
      </c>
      <c r="T31" s="15">
        <f>C43</f>
        <v>0.25596728553269704</v>
      </c>
    </row>
    <row r="32" spans="1:20" ht="15">
      <c r="A32" s="5" t="s">
        <v>38</v>
      </c>
      <c r="B32" s="9">
        <v>0</v>
      </c>
      <c r="C32" s="41">
        <f>C39-C31-C33-C34-C35-C36-C37</f>
        <v>56632.06</v>
      </c>
      <c r="D32" s="41">
        <v>230000</v>
      </c>
      <c r="E32" s="41">
        <v>2000</v>
      </c>
      <c r="F32" s="41">
        <v>0</v>
      </c>
      <c r="G32" s="41">
        <f>G39-G36</f>
        <v>161</v>
      </c>
      <c r="H32" s="9">
        <v>0</v>
      </c>
      <c r="I32" s="9"/>
      <c r="J32" s="9"/>
      <c r="K32" s="40">
        <f>378372-345649-2000</f>
        <v>30723</v>
      </c>
      <c r="M32" s="9">
        <v>58856</v>
      </c>
      <c r="N32" s="9">
        <v>378372</v>
      </c>
      <c r="O32" s="17">
        <f>N32/N$39</f>
        <v>0.54680642284964454</v>
      </c>
      <c r="P32" s="18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40">
        <v>2700</v>
      </c>
      <c r="C33" s="9">
        <v>220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15018</v>
      </c>
      <c r="N33" s="9">
        <f>SUM(B33:M33)</f>
        <v>17938</v>
      </c>
      <c r="O33" s="17">
        <f>N33/N$39</f>
        <v>2.5923201539957832E-2</v>
      </c>
      <c r="P33" s="18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95442</v>
      </c>
      <c r="D34" s="9">
        <v>0</v>
      </c>
      <c r="E34" s="9">
        <v>0</v>
      </c>
      <c r="F34" s="9">
        <v>8255</v>
      </c>
      <c r="G34" s="9">
        <v>0</v>
      </c>
      <c r="H34" s="9">
        <v>0</v>
      </c>
      <c r="I34" s="9"/>
      <c r="J34" s="9"/>
      <c r="K34" s="9"/>
      <c r="L34" s="9"/>
      <c r="M34" s="9">
        <v>55</v>
      </c>
      <c r="N34" s="9">
        <v>103753</v>
      </c>
      <c r="O34" s="17">
        <f>N34/N$39</f>
        <v>0.14993923120611244</v>
      </c>
      <c r="P34" s="18" t="s">
        <v>44</v>
      </c>
      <c r="Q34" s="3"/>
      <c r="R34" s="3"/>
      <c r="S34" s="13">
        <f>SUM(S26:S33)</f>
        <v>455.21223999999995</v>
      </c>
      <c r="T34" s="14">
        <f>SUM(T26:T33)</f>
        <v>0.63582879367692524</v>
      </c>
    </row>
    <row r="35" spans="1:47" ht="15">
      <c r="A35" s="5" t="s">
        <v>45</v>
      </c>
      <c r="B35" s="40">
        <f>(3100+2300)/2</f>
        <v>2700</v>
      </c>
      <c r="C35" s="9">
        <v>373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23856</v>
      </c>
      <c r="N35" s="9">
        <f>SUM(B35:M35)</f>
        <v>26929</v>
      </c>
      <c r="O35" s="17">
        <f>N35/N$39</f>
        <v>3.8916595733611573E-2</v>
      </c>
      <c r="P35" s="18" t="s">
        <v>46</v>
      </c>
      <c r="Q35" s="18"/>
    </row>
    <row r="36" spans="1:47" ht="15">
      <c r="A36" s="5" t="s">
        <v>47</v>
      </c>
      <c r="B36" s="40">
        <f>1400+1600</f>
        <v>3000</v>
      </c>
      <c r="C36" s="41">
        <v>1000</v>
      </c>
      <c r="D36" s="9">
        <v>0</v>
      </c>
      <c r="E36" s="9">
        <v>0</v>
      </c>
      <c r="F36" s="9">
        <v>0</v>
      </c>
      <c r="G36" s="41">
        <f>90521-M36-C36</f>
        <v>29837</v>
      </c>
      <c r="H36" s="9">
        <v>0</v>
      </c>
      <c r="I36" s="9"/>
      <c r="J36" s="9"/>
      <c r="K36" s="9"/>
      <c r="L36" s="9"/>
      <c r="M36" s="9">
        <v>59684</v>
      </c>
      <c r="N36" s="9">
        <f>SUM(B36:M36)</f>
        <v>93521</v>
      </c>
      <c r="O36" s="18"/>
      <c r="P36" s="18"/>
      <c r="Q36" s="3"/>
      <c r="R36" s="7"/>
      <c r="S36" s="7"/>
      <c r="T36" s="7"/>
    </row>
    <row r="37" spans="1:47" ht="15">
      <c r="A37" s="5" t="s">
        <v>48</v>
      </c>
      <c r="B37" s="40">
        <f>4700+4100</f>
        <v>8800</v>
      </c>
      <c r="C37" s="9">
        <v>12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3350</v>
      </c>
      <c r="N37" s="9">
        <f>SUM(B37:M37)</f>
        <v>12162</v>
      </c>
      <c r="O37" s="18"/>
      <c r="P37" s="18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18019</v>
      </c>
      <c r="N38" s="9">
        <v>18019</v>
      </c>
      <c r="O38" s="18">
        <f>SUM(O31:O35)</f>
        <v>0.82123280445454772</v>
      </c>
      <c r="P38" s="18"/>
      <c r="Q38" s="3"/>
      <c r="R38" s="7" t="s">
        <v>50</v>
      </c>
      <c r="S38" s="19">
        <f>N45/1000</f>
        <v>20.210239999999999</v>
      </c>
      <c r="T38" s="7"/>
    </row>
    <row r="39" spans="1:47" ht="15">
      <c r="A39" s="5" t="s">
        <v>17</v>
      </c>
      <c r="B39" s="40">
        <f>SUM(B33:B37)</f>
        <v>17200</v>
      </c>
      <c r="C39" s="9">
        <v>170727</v>
      </c>
      <c r="D39" s="41">
        <v>230000</v>
      </c>
      <c r="E39" s="41">
        <v>2000</v>
      </c>
      <c r="F39" s="41">
        <f>8255+1686</f>
        <v>9941</v>
      </c>
      <c r="G39" s="40">
        <v>29998</v>
      </c>
      <c r="H39" s="9">
        <v>0</v>
      </c>
      <c r="I39" s="9"/>
      <c r="J39" s="9"/>
      <c r="K39" s="40">
        <f>32723-2000</f>
        <v>30723</v>
      </c>
      <c r="M39" s="9">
        <v>201378</v>
      </c>
      <c r="N39" s="9">
        <f>SUM(B39:M39)</f>
        <v>691967</v>
      </c>
      <c r="O39" s="3"/>
      <c r="P39" s="3"/>
      <c r="Q39" s="3"/>
      <c r="R39" s="7" t="s">
        <v>51</v>
      </c>
      <c r="S39" s="20">
        <f>N41/1000</f>
        <v>123.702</v>
      </c>
      <c r="T39" s="14">
        <f>O41</f>
        <v>0.1787686407010739</v>
      </c>
    </row>
    <row r="40" spans="1:47">
      <c r="R40" s="7" t="s">
        <v>52</v>
      </c>
      <c r="S40" s="20">
        <f>N35/1000</f>
        <v>26.928999999999998</v>
      </c>
      <c r="T40" s="15">
        <f>O35</f>
        <v>3.8916595733611573E-2</v>
      </c>
    </row>
    <row r="41" spans="1:47" ht="15">
      <c r="A41" s="21" t="s">
        <v>53</v>
      </c>
      <c r="B41" s="22">
        <f>B38+B37+B36</f>
        <v>11800</v>
      </c>
      <c r="C41" s="22">
        <f t="shared" ref="C41:N41" si="0">C38+C37+C36</f>
        <v>1012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29837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81053</v>
      </c>
      <c r="N41" s="22">
        <f t="shared" si="0"/>
        <v>123702</v>
      </c>
      <c r="O41" s="17">
        <f>N41/N$39</f>
        <v>0.1787686407010739</v>
      </c>
      <c r="P41" s="17" t="s">
        <v>54</v>
      </c>
      <c r="Q41" s="7"/>
      <c r="R41" s="7" t="s">
        <v>55</v>
      </c>
      <c r="S41" s="20">
        <f>N33/1000</f>
        <v>17.937999999999999</v>
      </c>
      <c r="T41" s="14">
        <f>O33</f>
        <v>2.5923201539957832E-2</v>
      </c>
    </row>
    <row r="42" spans="1:47" ht="15">
      <c r="A42" s="23" t="s">
        <v>56</v>
      </c>
      <c r="B42" s="22"/>
      <c r="C42" s="24">
        <f>C39+C23+C10</f>
        <v>183256</v>
      </c>
      <c r="D42" s="24">
        <f t="shared" ref="D42:J42" si="1">D39+D23+D10</f>
        <v>230000</v>
      </c>
      <c r="E42" s="24">
        <f t="shared" si="1"/>
        <v>2000</v>
      </c>
      <c r="F42" s="24">
        <f t="shared" si="1"/>
        <v>9941</v>
      </c>
      <c r="G42" s="24">
        <f t="shared" si="1"/>
        <v>42527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>K39+K23</f>
        <v>30723</v>
      </c>
      <c r="L42" s="24">
        <f>L39+L23</f>
        <v>0</v>
      </c>
      <c r="M42" s="24">
        <f>M39+M23-B6+M45</f>
        <v>217488.24</v>
      </c>
      <c r="N42" s="25">
        <f>SUM(C42:M42)</f>
        <v>715935.24</v>
      </c>
      <c r="O42" s="7"/>
      <c r="P42" s="7"/>
      <c r="Q42" s="7"/>
      <c r="R42" s="7" t="s">
        <v>36</v>
      </c>
      <c r="S42" s="20">
        <f>N31/1000</f>
        <v>41.274000000000001</v>
      </c>
      <c r="T42" s="14">
        <f>O31</f>
        <v>5.9647353125221292E-2</v>
      </c>
    </row>
    <row r="43" spans="1:47" ht="15">
      <c r="A43" s="23" t="s">
        <v>57</v>
      </c>
      <c r="B43" s="22"/>
      <c r="C43" s="17">
        <f t="shared" ref="C43:M43" si="2">C42/$N42</f>
        <v>0.25596728553269704</v>
      </c>
      <c r="D43" s="17">
        <f t="shared" si="2"/>
        <v>0.32125810708800978</v>
      </c>
      <c r="E43" s="17">
        <f t="shared" si="2"/>
        <v>2.793548757287042E-3</v>
      </c>
      <c r="F43" s="17">
        <f t="shared" si="2"/>
        <v>1.3885334098095241E-2</v>
      </c>
      <c r="G43" s="17">
        <f t="shared" si="2"/>
        <v>5.9400624000573013E-2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4.2913099235064894E-2</v>
      </c>
      <c r="L43" s="17">
        <f t="shared" si="2"/>
        <v>0</v>
      </c>
      <c r="M43" s="17">
        <f t="shared" si="2"/>
        <v>0.30378200128827293</v>
      </c>
      <c r="N43" s="17">
        <f>SUM(C43:M43)</f>
        <v>0.99999999999999989</v>
      </c>
      <c r="O43" s="7"/>
      <c r="P43" s="7"/>
      <c r="Q43" s="7"/>
      <c r="R43" s="7" t="s">
        <v>58</v>
      </c>
      <c r="S43" s="20">
        <f>N32/1000</f>
        <v>378.37200000000001</v>
      </c>
      <c r="T43" s="15">
        <f>O32</f>
        <v>0.54680642284964454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0">
        <f>N34/1000</f>
        <v>103.753</v>
      </c>
      <c r="T44" s="15">
        <f>O34</f>
        <v>0.14993923120611244</v>
      </c>
    </row>
    <row r="45" spans="1:47" ht="15">
      <c r="A45" s="6" t="s">
        <v>60</v>
      </c>
      <c r="B45" s="6">
        <f>B23-B39</f>
        <v>4100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16110.24</v>
      </c>
      <c r="N45" s="25">
        <f>B45+M45</f>
        <v>20210.239999999998</v>
      </c>
      <c r="O45" s="7"/>
      <c r="P45" s="7"/>
      <c r="Q45" s="7"/>
      <c r="R45" s="7" t="s">
        <v>61</v>
      </c>
      <c r="S45" s="20">
        <f>SUM(S39:S44)</f>
        <v>691.96800000000007</v>
      </c>
      <c r="T45" s="14">
        <f>SUM(T39:T44)</f>
        <v>1.0000014451556216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73</v>
      </c>
      <c r="B47" s="38">
        <f>(B23-B39)/B23</f>
        <v>0.19248826291079812</v>
      </c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8"/>
      <c r="F48" s="16"/>
      <c r="G48" s="28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9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8"/>
      <c r="F55" s="28"/>
      <c r="G55" s="28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8"/>
      <c r="F56" s="28"/>
      <c r="G56" s="28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8" width="8.83203125" style="2"/>
    <col min="9" max="9" width="9.5" style="2" bestFit="1" customWidth="1"/>
    <col min="10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64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41">
        <v>3445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41">
        <v>7838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11283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 t="s">
        <v>75</v>
      </c>
      <c r="G11" s="10">
        <v>12967</v>
      </c>
      <c r="H11" s="10">
        <f>12967/(12967+5700)</f>
        <v>0.69464830985160975</v>
      </c>
      <c r="I11" s="10">
        <f>B10*H11</f>
        <v>7837.7168800557129</v>
      </c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 t="s">
        <v>76</v>
      </c>
      <c r="G12" s="10">
        <v>5700</v>
      </c>
      <c r="H12" s="10">
        <f>5700/(5700+12967)</f>
        <v>0.3053516901483902</v>
      </c>
      <c r="I12" s="10">
        <f>B10*H12</f>
        <v>3445.2831199442867</v>
      </c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39442</v>
      </c>
      <c r="C18" s="9">
        <v>657</v>
      </c>
      <c r="D18" s="9">
        <v>0</v>
      </c>
      <c r="E18" s="9">
        <v>0</v>
      </c>
      <c r="F18" s="9">
        <v>0</v>
      </c>
      <c r="G18" s="9">
        <v>40229</v>
      </c>
      <c r="H18" s="9">
        <v>0</v>
      </c>
      <c r="I18" s="9"/>
      <c r="J18" s="9"/>
      <c r="K18" s="9"/>
      <c r="L18" s="9"/>
      <c r="M18" s="9"/>
      <c r="N18" s="9">
        <v>40885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5" t="s">
        <v>77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39442</v>
      </c>
      <c r="C23" s="9">
        <v>657</v>
      </c>
      <c r="D23" s="9">
        <v>0</v>
      </c>
      <c r="E23" s="9">
        <v>0</v>
      </c>
      <c r="F23" s="9">
        <v>0</v>
      </c>
      <c r="G23" s="9">
        <v>40229</v>
      </c>
      <c r="H23" s="9">
        <v>0</v>
      </c>
      <c r="I23" s="9"/>
      <c r="J23" s="9"/>
      <c r="K23" s="9"/>
      <c r="L23" s="9"/>
      <c r="M23" s="9"/>
      <c r="N23" s="9">
        <v>40885</v>
      </c>
      <c r="O23" s="3"/>
      <c r="P23" s="3"/>
      <c r="Q23" s="3"/>
      <c r="R23" s="3" t="s">
        <v>26</v>
      </c>
      <c r="S23" s="12">
        <f>N42/1000</f>
        <v>610.22523999999999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226.69523999999998</v>
      </c>
      <c r="T26" s="14">
        <f>M43</f>
        <v>0.37149436821066267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186.31100000000001</v>
      </c>
      <c r="T27" s="15">
        <f>G43</f>
        <v>0.30531513249107822</v>
      </c>
    </row>
    <row r="28" spans="1:20" ht="15">
      <c r="A28" s="4" t="s">
        <v>64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15.093999999999999</v>
      </c>
      <c r="T29" s="14">
        <f>F43</f>
        <v>2.4735128950090626E-2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2</v>
      </c>
      <c r="T30" s="14">
        <f>E43</f>
        <v>3.2774783291494138E-3</v>
      </c>
    </row>
    <row r="31" spans="1:20" ht="15">
      <c r="A31" s="5" t="s">
        <v>35</v>
      </c>
      <c r="B31" s="9">
        <v>0</v>
      </c>
      <c r="C31" s="9">
        <v>16989</v>
      </c>
      <c r="D31" s="9">
        <v>0</v>
      </c>
      <c r="E31" s="9">
        <v>0</v>
      </c>
      <c r="F31" s="9">
        <v>1684</v>
      </c>
      <c r="G31" s="9">
        <v>0</v>
      </c>
      <c r="H31" s="9">
        <v>0</v>
      </c>
      <c r="I31" s="9"/>
      <c r="J31" s="9"/>
      <c r="K31" s="9"/>
      <c r="L31" s="9"/>
      <c r="M31" s="9">
        <v>10571</v>
      </c>
      <c r="N31" s="9">
        <v>29244</v>
      </c>
      <c r="O31" s="17">
        <f>N31/N$39</f>
        <v>4.9651687739714047E-2</v>
      </c>
      <c r="P31" s="18" t="s">
        <v>36</v>
      </c>
      <c r="Q31" s="3"/>
      <c r="R31" s="3" t="s">
        <v>37</v>
      </c>
      <c r="S31" s="13">
        <f>C42/1000</f>
        <v>180.125</v>
      </c>
      <c r="T31" s="15">
        <f>C43</f>
        <v>0.29517789201901906</v>
      </c>
    </row>
    <row r="32" spans="1:20" ht="15">
      <c r="A32" s="5" t="s">
        <v>38</v>
      </c>
      <c r="B32" s="9">
        <v>4288</v>
      </c>
      <c r="C32" s="9">
        <v>18969</v>
      </c>
      <c r="D32" s="9">
        <v>0</v>
      </c>
      <c r="E32" s="41">
        <v>2000</v>
      </c>
      <c r="F32" s="9">
        <v>660</v>
      </c>
      <c r="G32" s="41">
        <f>86785-2000</f>
        <v>84785</v>
      </c>
      <c r="H32" s="9">
        <v>0</v>
      </c>
      <c r="I32" s="9"/>
      <c r="J32" s="9"/>
      <c r="K32" s="9"/>
      <c r="L32" s="9"/>
      <c r="M32" s="9">
        <v>94548</v>
      </c>
      <c r="N32" s="9">
        <v>205250</v>
      </c>
      <c r="O32" s="17">
        <f>N32/N$39</f>
        <v>0.34848204447327003</v>
      </c>
      <c r="P32" s="18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7726</v>
      </c>
      <c r="C33" s="9">
        <v>1911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14855</v>
      </c>
      <c r="N33" s="9">
        <v>24492</v>
      </c>
      <c r="O33" s="17">
        <f>N33/N$39</f>
        <v>4.1583543158291499E-2</v>
      </c>
      <c r="P33" s="18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134238</v>
      </c>
      <c r="D34" s="9">
        <v>0</v>
      </c>
      <c r="E34" s="9">
        <v>0</v>
      </c>
      <c r="F34" s="9">
        <v>12749</v>
      </c>
      <c r="G34" s="9">
        <v>0</v>
      </c>
      <c r="H34" s="9">
        <v>0</v>
      </c>
      <c r="I34" s="9"/>
      <c r="J34" s="9"/>
      <c r="K34" s="9"/>
      <c r="L34" s="9"/>
      <c r="M34" s="9">
        <v>386</v>
      </c>
      <c r="N34" s="9">
        <v>147373</v>
      </c>
      <c r="O34" s="17">
        <f>N34/N$39</f>
        <v>0.25021605037836409</v>
      </c>
      <c r="P34" s="18" t="s">
        <v>44</v>
      </c>
      <c r="Q34" s="3"/>
      <c r="R34" s="3"/>
      <c r="S34" s="13">
        <f>SUM(S26:S33)</f>
        <v>610.22523999999999</v>
      </c>
      <c r="T34" s="14">
        <f>SUM(T26:T33)</f>
        <v>1</v>
      </c>
    </row>
    <row r="35" spans="1:47" ht="15">
      <c r="A35" s="5" t="s">
        <v>45</v>
      </c>
      <c r="B35" s="9">
        <v>6767</v>
      </c>
      <c r="C35" s="9">
        <v>3881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33916</v>
      </c>
      <c r="N35" s="9">
        <v>44564</v>
      </c>
      <c r="O35" s="17">
        <f>N35/N$39</f>
        <v>7.5662625237061173E-2</v>
      </c>
      <c r="P35" s="18" t="s">
        <v>46</v>
      </c>
      <c r="Q35" s="18"/>
    </row>
    <row r="36" spans="1:47" ht="15">
      <c r="A36" s="5" t="s">
        <v>47</v>
      </c>
      <c r="B36" s="9">
        <v>1718</v>
      </c>
      <c r="C36" s="9">
        <v>2956</v>
      </c>
      <c r="D36" s="9">
        <v>0</v>
      </c>
      <c r="E36" s="9">
        <v>0</v>
      </c>
      <c r="F36" s="9">
        <v>0</v>
      </c>
      <c r="G36" s="9">
        <v>61297</v>
      </c>
      <c r="H36" s="9">
        <v>0</v>
      </c>
      <c r="I36" s="9"/>
      <c r="J36" s="9"/>
      <c r="K36" s="9"/>
      <c r="L36" s="9"/>
      <c r="M36" s="9">
        <v>46549</v>
      </c>
      <c r="N36" s="9">
        <v>112520</v>
      </c>
      <c r="O36" s="18"/>
      <c r="P36" s="18"/>
      <c r="Q36" s="3"/>
      <c r="R36" s="7"/>
      <c r="S36" s="7"/>
      <c r="T36" s="7"/>
    </row>
    <row r="37" spans="1:47" ht="15">
      <c r="A37" s="5" t="s">
        <v>48</v>
      </c>
      <c r="B37" s="9">
        <v>15938</v>
      </c>
      <c r="C37" s="9">
        <v>524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6827</v>
      </c>
      <c r="N37" s="9">
        <v>23289</v>
      </c>
      <c r="O37" s="18"/>
      <c r="P37" s="18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2251</v>
      </c>
      <c r="N38" s="9">
        <v>2251</v>
      </c>
      <c r="O38" s="18">
        <f>SUM(O31:O35)</f>
        <v>0.76559595098670075</v>
      </c>
      <c r="P38" s="18"/>
      <c r="Q38" s="3"/>
      <c r="R38" s="7" t="s">
        <v>50</v>
      </c>
      <c r="S38" s="19">
        <f>N45/1000</f>
        <v>19.797240000000002</v>
      </c>
      <c r="T38" s="7"/>
    </row>
    <row r="39" spans="1:47" ht="15">
      <c r="A39" s="5" t="s">
        <v>17</v>
      </c>
      <c r="B39" s="9">
        <v>36437</v>
      </c>
      <c r="C39" s="9">
        <v>179468</v>
      </c>
      <c r="D39" s="9">
        <v>0</v>
      </c>
      <c r="E39" s="41">
        <v>2000</v>
      </c>
      <c r="F39" s="9">
        <v>15094</v>
      </c>
      <c r="G39" s="41">
        <f>61297+86785-2000</f>
        <v>146082</v>
      </c>
      <c r="H39" s="9">
        <v>0</v>
      </c>
      <c r="I39" s="9"/>
      <c r="J39" s="9"/>
      <c r="K39" s="9"/>
      <c r="L39" s="9"/>
      <c r="M39" s="9">
        <v>209903</v>
      </c>
      <c r="N39" s="9">
        <v>588983</v>
      </c>
      <c r="O39" s="3"/>
      <c r="P39" s="3"/>
      <c r="Q39" s="3"/>
      <c r="R39" s="7" t="s">
        <v>51</v>
      </c>
      <c r="S39" s="20">
        <f>N41/1000</f>
        <v>138.06</v>
      </c>
      <c r="T39" s="14">
        <f>O41</f>
        <v>0.2344040490132992</v>
      </c>
    </row>
    <row r="40" spans="1:47">
      <c r="R40" s="7" t="s">
        <v>52</v>
      </c>
      <c r="S40" s="20">
        <f>N35/1000</f>
        <v>44.564</v>
      </c>
      <c r="T40" s="15">
        <f>O35</f>
        <v>7.5662625237061173E-2</v>
      </c>
    </row>
    <row r="41" spans="1:47" ht="15">
      <c r="A41" s="21" t="s">
        <v>53</v>
      </c>
      <c r="B41" s="22">
        <f>B38+B37+B36</f>
        <v>17656</v>
      </c>
      <c r="C41" s="22">
        <f t="shared" ref="C41:N41" si="0">C38+C37+C36</f>
        <v>3480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61297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55627</v>
      </c>
      <c r="N41" s="22">
        <f t="shared" si="0"/>
        <v>138060</v>
      </c>
      <c r="O41" s="17">
        <f>N41/N$39</f>
        <v>0.2344040490132992</v>
      </c>
      <c r="P41" s="17" t="s">
        <v>54</v>
      </c>
      <c r="Q41" s="7"/>
      <c r="R41" s="7" t="s">
        <v>55</v>
      </c>
      <c r="S41" s="20">
        <f>N33/1000</f>
        <v>24.492000000000001</v>
      </c>
      <c r="T41" s="14">
        <f>O33</f>
        <v>4.1583543158291499E-2</v>
      </c>
    </row>
    <row r="42" spans="1:47" ht="15">
      <c r="A42" s="23" t="s">
        <v>56</v>
      </c>
      <c r="B42" s="22"/>
      <c r="C42" s="24">
        <f>C39+C23+C10</f>
        <v>180125</v>
      </c>
      <c r="D42" s="24">
        <f t="shared" ref="D42:L42" si="1">D39+D23+D10</f>
        <v>0</v>
      </c>
      <c r="E42" s="24">
        <f t="shared" si="1"/>
        <v>2000</v>
      </c>
      <c r="F42" s="24">
        <f t="shared" si="1"/>
        <v>15094</v>
      </c>
      <c r="G42" s="24">
        <f t="shared" si="1"/>
        <v>186311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226695.24</v>
      </c>
      <c r="N42" s="25">
        <f>SUM(C42:M42)</f>
        <v>610225.24</v>
      </c>
      <c r="O42" s="7"/>
      <c r="P42" s="7"/>
      <c r="Q42" s="7"/>
      <c r="R42" s="7" t="s">
        <v>36</v>
      </c>
      <c r="S42" s="20">
        <f>N31/1000</f>
        <v>29.244</v>
      </c>
      <c r="T42" s="14">
        <f>O31</f>
        <v>4.9651687739714047E-2</v>
      </c>
    </row>
    <row r="43" spans="1:47" ht="15">
      <c r="A43" s="23" t="s">
        <v>57</v>
      </c>
      <c r="B43" s="22"/>
      <c r="C43" s="17">
        <f t="shared" ref="C43:M43" si="2">C42/$N42</f>
        <v>0.29517789201901906</v>
      </c>
      <c r="D43" s="17">
        <f t="shared" si="2"/>
        <v>0</v>
      </c>
      <c r="E43" s="17">
        <f t="shared" si="2"/>
        <v>3.2774783291494138E-3</v>
      </c>
      <c r="F43" s="17">
        <f t="shared" si="2"/>
        <v>2.4735128950090626E-2</v>
      </c>
      <c r="G43" s="17">
        <f t="shared" si="2"/>
        <v>0.30531513249107822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0.37149436821066267</v>
      </c>
      <c r="N43" s="17">
        <f>SUM(C43:M43)</f>
        <v>1</v>
      </c>
      <c r="O43" s="7"/>
      <c r="P43" s="7"/>
      <c r="Q43" s="7"/>
      <c r="R43" s="7" t="s">
        <v>58</v>
      </c>
      <c r="S43" s="20">
        <f>N32/1000</f>
        <v>205.25</v>
      </c>
      <c r="T43" s="15">
        <f>O32</f>
        <v>0.34848204447327003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0">
        <f>N34/1000</f>
        <v>147.37299999999999</v>
      </c>
      <c r="T44" s="15">
        <f>O34</f>
        <v>0.25021605037836409</v>
      </c>
    </row>
    <row r="45" spans="1:47" ht="15">
      <c r="A45" s="6" t="s">
        <v>60</v>
      </c>
      <c r="B45" s="6">
        <f>B23-B39</f>
        <v>3005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16792.240000000002</v>
      </c>
      <c r="N45" s="25">
        <f>B45+M45</f>
        <v>19797.240000000002</v>
      </c>
      <c r="O45" s="7"/>
      <c r="P45" s="7"/>
      <c r="Q45" s="7"/>
      <c r="R45" s="7" t="s">
        <v>61</v>
      </c>
      <c r="S45" s="20">
        <f>SUM(S39:S44)</f>
        <v>588.98299999999995</v>
      </c>
      <c r="T45" s="14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73</v>
      </c>
      <c r="B47" s="38">
        <f>(B23-B39)/B23</f>
        <v>7.6187820090259109E-2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9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8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/>
  <dimension ref="A1:AU70"/>
  <sheetViews>
    <sheetView zoomScale="125" zoomScaleNormal="125" zoomScalePageLayoutView="125" workbookViewId="0">
      <selection activeCell="B47" sqref="B47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8" width="8.83203125" style="2"/>
    <col min="9" max="9" width="9.1640625" style="2" bestFit="1" customWidth="1"/>
    <col min="10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65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20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 t="s">
        <v>78</v>
      </c>
      <c r="B5" s="40">
        <v>250085</v>
      </c>
      <c r="G5" s="40">
        <v>188974</v>
      </c>
      <c r="I5" s="40">
        <v>308276</v>
      </c>
      <c r="N5" s="41">
        <f>SUM(F5:I5)</f>
        <v>497250</v>
      </c>
      <c r="O5" s="3"/>
      <c r="P5" s="3"/>
      <c r="Q5" s="3"/>
      <c r="R5" s="3"/>
      <c r="S5" s="3"/>
      <c r="T5" s="3"/>
    </row>
    <row r="6" spans="1:20" ht="15">
      <c r="A6" s="8" t="s">
        <v>21</v>
      </c>
      <c r="B6" s="2">
        <v>0</v>
      </c>
      <c r="C6" s="41">
        <v>0</v>
      </c>
      <c r="D6" s="9">
        <v>0</v>
      </c>
      <c r="E6" s="9">
        <v>0</v>
      </c>
      <c r="F6" s="2">
        <v>0</v>
      </c>
      <c r="G6" s="2">
        <v>0</v>
      </c>
      <c r="H6" s="9">
        <v>0</v>
      </c>
      <c r="I6" s="2">
        <v>0</v>
      </c>
      <c r="J6" s="9"/>
      <c r="K6" s="9"/>
      <c r="L6" s="9"/>
      <c r="M6" s="9"/>
      <c r="N6" s="41">
        <f>SUM(F6:I6)</f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19272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93377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f>SUM(B5:B9)</f>
        <v>362734</v>
      </c>
      <c r="C10" s="41">
        <v>0</v>
      </c>
      <c r="D10" s="9">
        <v>0</v>
      </c>
      <c r="E10" s="9">
        <v>0</v>
      </c>
      <c r="F10" s="2">
        <v>0</v>
      </c>
      <c r="G10" s="40">
        <v>188974</v>
      </c>
      <c r="H10" s="9">
        <v>0</v>
      </c>
      <c r="I10" s="40">
        <v>308276</v>
      </c>
      <c r="J10" s="9"/>
      <c r="K10" s="9"/>
      <c r="L10" s="9"/>
      <c r="M10" s="9"/>
      <c r="N10" s="41">
        <v>497250</v>
      </c>
      <c r="O10" s="3"/>
      <c r="P10" s="3"/>
      <c r="Q10" s="3"/>
      <c r="R10" s="3"/>
      <c r="S10" s="3"/>
      <c r="T10" s="3"/>
    </row>
    <row r="11" spans="1:20" ht="15">
      <c r="B11" s="10"/>
      <c r="C11" s="10">
        <f>250085/786088</f>
        <v>0.31813868167431636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1">
        <f>0.85*557</f>
        <v>473.45</v>
      </c>
      <c r="C18" s="9">
        <v>557</v>
      </c>
      <c r="D18" s="9">
        <v>0</v>
      </c>
      <c r="E18" s="9">
        <v>0</v>
      </c>
      <c r="F18" s="9">
        <v>0</v>
      </c>
      <c r="G18" s="41">
        <v>0</v>
      </c>
      <c r="H18" s="9">
        <v>0</v>
      </c>
      <c r="I18" s="9"/>
      <c r="J18" s="9"/>
      <c r="K18" s="9"/>
      <c r="L18" s="9"/>
      <c r="M18" s="9"/>
      <c r="N18" s="41">
        <v>557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68602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5" t="s">
        <v>77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41">
        <f>68602+473</f>
        <v>69075</v>
      </c>
      <c r="C23" s="9">
        <v>557</v>
      </c>
      <c r="D23" s="9">
        <v>0</v>
      </c>
      <c r="E23" s="9">
        <v>0</v>
      </c>
      <c r="F23" s="9">
        <v>0</v>
      </c>
      <c r="G23" s="41">
        <v>0</v>
      </c>
      <c r="H23" s="9">
        <v>0</v>
      </c>
      <c r="I23" s="9"/>
      <c r="J23" s="9"/>
      <c r="K23" s="9"/>
      <c r="L23" s="9"/>
      <c r="M23" s="9"/>
      <c r="N23" s="41">
        <v>557</v>
      </c>
      <c r="O23" s="3"/>
      <c r="P23" s="3"/>
      <c r="Q23" s="3"/>
      <c r="R23" s="3" t="s">
        <v>26</v>
      </c>
      <c r="S23" s="12">
        <f>N42/1000</f>
        <v>6484.9965199999997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118.05352000000001</v>
      </c>
      <c r="T26" s="14">
        <f>M43</f>
        <v>1.8204099205900579E-2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894.077</v>
      </c>
      <c r="T27" s="15">
        <f>G43</f>
        <v>0.13786853967348006</v>
      </c>
    </row>
    <row r="28" spans="1:20" ht="15">
      <c r="A28" s="4" t="s">
        <v>65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352.01799999999997</v>
      </c>
      <c r="T29" s="14">
        <f>F43</f>
        <v>5.4281910393376744E-2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2</v>
      </c>
      <c r="T30" s="14">
        <f>E43</f>
        <v>3.0840417474888639E-4</v>
      </c>
    </row>
    <row r="31" spans="1:20" ht="15">
      <c r="A31" s="5" t="s">
        <v>35</v>
      </c>
      <c r="B31" s="9">
        <v>0</v>
      </c>
      <c r="C31" s="9">
        <v>7741</v>
      </c>
      <c r="D31" s="9">
        <v>0</v>
      </c>
      <c r="E31" s="9">
        <v>0</v>
      </c>
      <c r="F31" s="9">
        <v>817</v>
      </c>
      <c r="G31" s="9">
        <v>0</v>
      </c>
      <c r="H31" s="9">
        <v>0</v>
      </c>
      <c r="I31" s="9"/>
      <c r="J31" s="9"/>
      <c r="K31" s="9"/>
      <c r="L31" s="9"/>
      <c r="M31" s="9">
        <v>7346</v>
      </c>
      <c r="N31" s="9">
        <v>15904</v>
      </c>
      <c r="O31" s="17">
        <f>N31/N$39</f>
        <v>2.6737298126262585E-3</v>
      </c>
      <c r="P31" s="18" t="s">
        <v>36</v>
      </c>
      <c r="Q31" s="3"/>
      <c r="R31" s="3" t="s">
        <v>37</v>
      </c>
      <c r="S31" s="13">
        <f>C42/1000</f>
        <v>348.435</v>
      </c>
      <c r="T31" s="15">
        <f>C43</f>
        <v>5.3729404314314118E-2</v>
      </c>
    </row>
    <row r="32" spans="1:20" ht="15">
      <c r="A32" s="5" t="s">
        <v>38</v>
      </c>
      <c r="B32" s="41">
        <v>4672.1440000000002</v>
      </c>
      <c r="C32" s="41">
        <v>178992</v>
      </c>
      <c r="D32" s="9">
        <v>0</v>
      </c>
      <c r="E32" s="41">
        <v>2000</v>
      </c>
      <c r="F32" s="41">
        <f>26098+986</f>
        <v>27084</v>
      </c>
      <c r="G32" s="41">
        <f>861763-188974</f>
        <v>672789</v>
      </c>
      <c r="H32" s="9">
        <v>0</v>
      </c>
      <c r="I32" s="40">
        <f>4662232-308276</f>
        <v>4353956</v>
      </c>
      <c r="J32" s="9"/>
      <c r="K32" s="9"/>
      <c r="L32" s="40">
        <f>5257+8987+19643+713+32959+40622</f>
        <v>108181</v>
      </c>
      <c r="M32" s="9">
        <f>832387-(810400-250085)</f>
        <v>272072</v>
      </c>
      <c r="N32" s="40">
        <f>SUM(B32:M32)</f>
        <v>5619746.1440000003</v>
      </c>
      <c r="O32" s="17">
        <f>N32/N$39</f>
        <v>0.94477381819694795</v>
      </c>
      <c r="P32" s="18" t="s">
        <v>39</v>
      </c>
      <c r="Q32" s="3"/>
      <c r="R32" s="3" t="s">
        <v>40</v>
      </c>
      <c r="S32" s="13">
        <f>I42/1000</f>
        <v>4662.232</v>
      </c>
      <c r="T32" s="14">
        <f>I43</f>
        <v>0.71892590622392505</v>
      </c>
    </row>
    <row r="33" spans="1:47" ht="15">
      <c r="A33" s="5" t="s">
        <v>41</v>
      </c>
      <c r="B33" s="9">
        <v>6478</v>
      </c>
      <c r="C33" s="9">
        <v>181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41">
        <f>N33-C33-B33</f>
        <v>11232</v>
      </c>
      <c r="N33" s="41">
        <v>17891</v>
      </c>
      <c r="O33" s="17">
        <f>N33/N$39</f>
        <v>3.0077779223903665E-3</v>
      </c>
      <c r="P33" s="18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160492</v>
      </c>
      <c r="D34" s="9">
        <v>0</v>
      </c>
      <c r="E34" s="9">
        <v>0</v>
      </c>
      <c r="F34" s="9">
        <v>15841</v>
      </c>
      <c r="G34" s="9">
        <v>0</v>
      </c>
      <c r="H34" s="9">
        <v>0</v>
      </c>
      <c r="I34" s="9"/>
      <c r="J34" s="9"/>
      <c r="K34" s="9"/>
      <c r="L34" s="9"/>
      <c r="M34" s="9">
        <v>85</v>
      </c>
      <c r="N34" s="9">
        <v>176418</v>
      </c>
      <c r="O34" s="17">
        <f>N34/N$39</f>
        <v>2.9658832122981593E-2</v>
      </c>
      <c r="P34" s="18" t="s">
        <v>44</v>
      </c>
      <c r="Q34" s="3"/>
      <c r="R34" s="3"/>
      <c r="S34" s="13">
        <f>SUM(S26:S33)</f>
        <v>6376.8155200000001</v>
      </c>
      <c r="T34" s="14">
        <f>SUM(T26:T33)</f>
        <v>0.9833182639857454</v>
      </c>
    </row>
    <row r="35" spans="1:47" ht="15">
      <c r="A35" s="5" t="s">
        <v>45</v>
      </c>
      <c r="B35" s="9">
        <v>8143</v>
      </c>
      <c r="C35" s="9">
        <v>58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9145</v>
      </c>
      <c r="N35" s="9">
        <v>17345</v>
      </c>
      <c r="O35" s="17">
        <f>N35/N$39</f>
        <v>2.915986141851261E-3</v>
      </c>
      <c r="P35" s="18" t="s">
        <v>46</v>
      </c>
      <c r="Q35" s="18"/>
    </row>
    <row r="36" spans="1:47" ht="15">
      <c r="A36" s="5" t="s">
        <v>47</v>
      </c>
      <c r="B36" s="9">
        <v>14719</v>
      </c>
      <c r="C36" s="9">
        <v>387</v>
      </c>
      <c r="D36" s="9">
        <v>0</v>
      </c>
      <c r="E36" s="9">
        <v>0</v>
      </c>
      <c r="F36" s="9">
        <v>0</v>
      </c>
      <c r="G36" s="41">
        <v>32314</v>
      </c>
      <c r="H36" s="9">
        <v>0</v>
      </c>
      <c r="I36" s="9"/>
      <c r="J36" s="9"/>
      <c r="K36" s="9"/>
      <c r="L36" s="9"/>
      <c r="M36" s="41">
        <f>N36-G36-C36-B36</f>
        <v>32147</v>
      </c>
      <c r="N36" s="9">
        <v>79567</v>
      </c>
      <c r="O36" s="18"/>
      <c r="P36" s="18"/>
      <c r="Q36" s="3"/>
      <c r="R36" s="7"/>
      <c r="S36" s="7"/>
      <c r="T36" s="7"/>
    </row>
    <row r="37" spans="1:47" ht="15">
      <c r="A37" s="5" t="s">
        <v>48</v>
      </c>
      <c r="B37" s="41">
        <v>12504.86</v>
      </c>
      <c r="C37" s="9">
        <v>27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3088</v>
      </c>
      <c r="N37" s="41">
        <f>SUM(B37:M37)</f>
        <v>15619.86</v>
      </c>
      <c r="O37" s="18"/>
      <c r="P37" s="18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5754</v>
      </c>
      <c r="N38" s="9">
        <v>5754</v>
      </c>
      <c r="O38" s="18">
        <f>SUM(O31:O35)</f>
        <v>0.98303014419679746</v>
      </c>
      <c r="P38" s="18"/>
      <c r="Q38" s="3"/>
      <c r="R38" s="7" t="s">
        <v>50</v>
      </c>
      <c r="S38" s="19">
        <f>N45/1000</f>
        <v>49.827520000000007</v>
      </c>
      <c r="T38" s="7"/>
    </row>
    <row r="39" spans="1:47" ht="15">
      <c r="A39" s="5" t="s">
        <v>17</v>
      </c>
      <c r="B39" s="9">
        <v>46517</v>
      </c>
      <c r="C39" s="41">
        <f>7741+178992+181+160492+58+387+27</f>
        <v>347878</v>
      </c>
      <c r="D39" s="9">
        <v>0</v>
      </c>
      <c r="E39" s="41">
        <v>2000</v>
      </c>
      <c r="F39" s="41">
        <f>817+27084+15841</f>
        <v>43742</v>
      </c>
      <c r="G39" s="41">
        <f>G36+G32</f>
        <v>705103</v>
      </c>
      <c r="H39" s="9">
        <v>0</v>
      </c>
      <c r="I39" s="40">
        <f>SUM(I31:I38)</f>
        <v>4353956</v>
      </c>
      <c r="J39" s="9"/>
      <c r="K39" s="9"/>
      <c r="L39" s="40">
        <f>67559+40622</f>
        <v>108181</v>
      </c>
      <c r="M39" s="9">
        <f>SUM(M31:M38)</f>
        <v>340869</v>
      </c>
      <c r="N39" s="40">
        <f>SUM(N31:N38)</f>
        <v>5948245.0040000007</v>
      </c>
      <c r="O39" s="3"/>
      <c r="P39" s="3"/>
      <c r="Q39" s="3"/>
      <c r="R39" s="7" t="s">
        <v>51</v>
      </c>
      <c r="S39" s="20">
        <f>N41/1000</f>
        <v>100.94086</v>
      </c>
      <c r="T39" s="14">
        <f>O41</f>
        <v>1.6969855803202552E-2</v>
      </c>
    </row>
    <row r="40" spans="1:47">
      <c r="R40" s="7" t="s">
        <v>52</v>
      </c>
      <c r="S40" s="20">
        <f>N35/1000</f>
        <v>17.344999999999999</v>
      </c>
      <c r="T40" s="15">
        <f>O35</f>
        <v>2.915986141851261E-3</v>
      </c>
    </row>
    <row r="41" spans="1:47" ht="15">
      <c r="A41" s="21" t="s">
        <v>53</v>
      </c>
      <c r="B41" s="22">
        <f>B38+B37+B36</f>
        <v>27223.86</v>
      </c>
      <c r="C41" s="22">
        <f t="shared" ref="C41:N41" si="0">C38+C37+C36</f>
        <v>414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32314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40989</v>
      </c>
      <c r="N41" s="22">
        <f t="shared" si="0"/>
        <v>100940.86</v>
      </c>
      <c r="O41" s="17">
        <f>N41/N$39</f>
        <v>1.6969855803202552E-2</v>
      </c>
      <c r="P41" s="17" t="s">
        <v>54</v>
      </c>
      <c r="Q41" s="7"/>
      <c r="R41" s="7" t="s">
        <v>55</v>
      </c>
      <c r="S41" s="20">
        <f>N33/1000</f>
        <v>17.890999999999998</v>
      </c>
      <c r="T41" s="14">
        <f>O33</f>
        <v>3.0077779223903665E-3</v>
      </c>
    </row>
    <row r="42" spans="1:47" ht="15">
      <c r="A42" s="23" t="s">
        <v>56</v>
      </c>
      <c r="B42" s="22"/>
      <c r="C42" s="24">
        <f>C39+C23+C10</f>
        <v>348435</v>
      </c>
      <c r="D42" s="24">
        <f t="shared" ref="D42:L42" si="1">D39+D23+D10</f>
        <v>0</v>
      </c>
      <c r="E42" s="24">
        <f t="shared" si="1"/>
        <v>2000</v>
      </c>
      <c r="F42" s="24">
        <f>F39+F23+I10</f>
        <v>352018</v>
      </c>
      <c r="G42" s="24">
        <f t="shared" si="1"/>
        <v>894077</v>
      </c>
      <c r="H42" s="24">
        <f t="shared" si="1"/>
        <v>0</v>
      </c>
      <c r="I42" s="24">
        <f>I39+I23+I10</f>
        <v>4662232</v>
      </c>
      <c r="J42" s="24">
        <f t="shared" si="1"/>
        <v>0</v>
      </c>
      <c r="K42" s="24">
        <f t="shared" si="1"/>
        <v>0</v>
      </c>
      <c r="L42" s="24">
        <f t="shared" si="1"/>
        <v>108181</v>
      </c>
      <c r="M42" s="24">
        <f>M39+M23-B5+M45</f>
        <v>118053.52</v>
      </c>
      <c r="N42" s="25">
        <f>SUM(C42:M42)</f>
        <v>6484996.5199999996</v>
      </c>
      <c r="O42" s="7"/>
      <c r="P42" s="7"/>
      <c r="Q42" s="7"/>
      <c r="R42" s="7" t="s">
        <v>36</v>
      </c>
      <c r="S42" s="20">
        <f>N31/1000</f>
        <v>15.904</v>
      </c>
      <c r="T42" s="14">
        <f>O31</f>
        <v>2.6737298126262585E-3</v>
      </c>
    </row>
    <row r="43" spans="1:47" ht="15">
      <c r="A43" s="23" t="s">
        <v>57</v>
      </c>
      <c r="B43" s="22"/>
      <c r="C43" s="17">
        <f t="shared" ref="C43:M43" si="2">C42/$N42</f>
        <v>5.3729404314314118E-2</v>
      </c>
      <c r="D43" s="17">
        <f t="shared" si="2"/>
        <v>0</v>
      </c>
      <c r="E43" s="17">
        <f t="shared" si="2"/>
        <v>3.0840417474888639E-4</v>
      </c>
      <c r="F43" s="17">
        <f t="shared" si="2"/>
        <v>5.4281910393376744E-2</v>
      </c>
      <c r="G43" s="17">
        <f t="shared" si="2"/>
        <v>0.13786853967348006</v>
      </c>
      <c r="H43" s="17">
        <f t="shared" si="2"/>
        <v>0</v>
      </c>
      <c r="I43" s="17">
        <f t="shared" si="2"/>
        <v>0.71892590622392505</v>
      </c>
      <c r="J43" s="17">
        <f t="shared" si="2"/>
        <v>0</v>
      </c>
      <c r="K43" s="17">
        <f t="shared" si="2"/>
        <v>0</v>
      </c>
      <c r="L43" s="17">
        <f t="shared" si="2"/>
        <v>1.6681736014254638E-2</v>
      </c>
      <c r="M43" s="17">
        <f t="shared" si="2"/>
        <v>1.8204099205900579E-2</v>
      </c>
      <c r="N43" s="17">
        <f>SUM(C43:M43)</f>
        <v>1</v>
      </c>
      <c r="O43" s="7"/>
      <c r="P43" s="7"/>
      <c r="Q43" s="7"/>
      <c r="R43" s="7" t="s">
        <v>58</v>
      </c>
      <c r="S43" s="20">
        <f>N32/1000</f>
        <v>5619.7461440000006</v>
      </c>
      <c r="T43" s="15">
        <f>O32</f>
        <v>0.94477381819694795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0">
        <f>N34/1000</f>
        <v>176.41800000000001</v>
      </c>
      <c r="T44" s="15">
        <f>O34</f>
        <v>2.9658832122981593E-2</v>
      </c>
    </row>
    <row r="45" spans="1:47" ht="15">
      <c r="A45" s="6" t="s">
        <v>60</v>
      </c>
      <c r="B45" s="6">
        <f>B23-B39</f>
        <v>22558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27269.52</v>
      </c>
      <c r="N45" s="25">
        <f>B45+M45</f>
        <v>49827.520000000004</v>
      </c>
      <c r="O45" s="7"/>
      <c r="P45" s="7"/>
      <c r="Q45" s="7"/>
      <c r="R45" s="7" t="s">
        <v>61</v>
      </c>
      <c r="S45" s="20">
        <f>SUM(S39:S44)</f>
        <v>5948.2450040000003</v>
      </c>
      <c r="T45" s="14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 ht="15">
      <c r="A47" s="4" t="s">
        <v>73</v>
      </c>
      <c r="B47" s="17">
        <f>(B23-B39)/B23</f>
        <v>0.3265725660513934</v>
      </c>
      <c r="C47" s="27"/>
      <c r="D47" s="27"/>
      <c r="E47" s="9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8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8"/>
    </row>
    <row r="48" spans="1:47">
      <c r="A48" s="27"/>
      <c r="B48" s="4"/>
      <c r="C48" s="28"/>
      <c r="D48" s="28"/>
      <c r="E48" s="27"/>
      <c r="F48" s="28"/>
      <c r="G48" s="28"/>
      <c r="H48" s="28"/>
      <c r="I48" s="27"/>
      <c r="J48" s="27"/>
      <c r="K48" s="27"/>
      <c r="L48" s="27"/>
      <c r="M48" s="27"/>
      <c r="N48" s="9"/>
      <c r="O48" s="27"/>
      <c r="P48" s="27"/>
      <c r="Q48" s="27"/>
      <c r="R48" s="4"/>
      <c r="S48" s="28"/>
      <c r="T48" s="27"/>
      <c r="U48" s="27"/>
      <c r="V48" s="27"/>
      <c r="W48" s="27"/>
      <c r="X48" s="28"/>
      <c r="Y48" s="27"/>
      <c r="Z48" s="27"/>
      <c r="AA48" s="27"/>
      <c r="AB48" s="27"/>
      <c r="AC48" s="27"/>
      <c r="AD48" s="27"/>
      <c r="AE48" s="28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8"/>
      <c r="O49" s="28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8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8"/>
    </row>
    <row r="52" spans="1:47">
      <c r="A52" s="27"/>
      <c r="B52" s="4"/>
      <c r="C52" s="27"/>
      <c r="D52" s="27"/>
      <c r="E52" s="27"/>
      <c r="F52" s="27"/>
      <c r="G52" s="27"/>
      <c r="H52" s="28"/>
      <c r="I52" s="27"/>
      <c r="J52" s="27"/>
      <c r="K52" s="27"/>
      <c r="L52" s="27"/>
      <c r="M52" s="27"/>
      <c r="N52" s="28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8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8"/>
    </row>
    <row r="53" spans="1:47">
      <c r="A53" s="27"/>
      <c r="B53" s="4"/>
      <c r="C53" s="28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27"/>
      <c r="Q53" s="27"/>
      <c r="R53" s="4"/>
      <c r="S53" s="28"/>
      <c r="T53" s="27"/>
      <c r="U53" s="27"/>
      <c r="V53" s="27"/>
      <c r="W53" s="27"/>
      <c r="X53" s="28"/>
      <c r="Y53" s="27"/>
      <c r="Z53" s="27"/>
      <c r="AA53" s="27"/>
      <c r="AB53" s="27"/>
      <c r="AC53" s="27"/>
      <c r="AD53" s="27"/>
      <c r="AE53" s="28"/>
      <c r="AF53" s="27"/>
      <c r="AG53" s="27"/>
      <c r="AH53" s="4"/>
      <c r="AI53" s="27"/>
      <c r="AJ53" s="28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8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8"/>
      <c r="T54" s="27"/>
      <c r="U54" s="27"/>
      <c r="V54" s="27"/>
      <c r="W54" s="27"/>
      <c r="X54" s="28"/>
      <c r="Y54" s="27"/>
      <c r="Z54" s="27"/>
      <c r="AA54" s="27"/>
      <c r="AB54" s="27"/>
      <c r="AC54" s="27"/>
      <c r="AD54" s="27"/>
      <c r="AE54" s="28"/>
      <c r="AF54" s="27"/>
      <c r="AG54" s="27"/>
      <c r="AH54" s="4"/>
      <c r="AI54" s="27"/>
      <c r="AJ54" s="28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8"/>
    </row>
    <row r="55" spans="1:47">
      <c r="A55" s="27"/>
      <c r="B55" s="4"/>
      <c r="C55" s="27"/>
      <c r="D55" s="28"/>
      <c r="E55" s="27"/>
      <c r="F55" s="28"/>
      <c r="G55" s="28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8"/>
      <c r="T55" s="27"/>
      <c r="U55" s="27"/>
      <c r="V55" s="27"/>
      <c r="W55" s="27"/>
      <c r="X55" s="28"/>
      <c r="Y55" s="27"/>
      <c r="Z55" s="27"/>
      <c r="AA55" s="27"/>
      <c r="AB55" s="27"/>
      <c r="AC55" s="27"/>
      <c r="AD55" s="27"/>
      <c r="AE55" s="28"/>
      <c r="AF55" s="27"/>
      <c r="AG55" s="27"/>
      <c r="AH55" s="4"/>
      <c r="AI55" s="27"/>
      <c r="AJ55" s="28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8"/>
    </row>
    <row r="56" spans="1:47">
      <c r="A56" s="27"/>
      <c r="B56" s="4"/>
      <c r="C56" s="27"/>
      <c r="D56" s="28"/>
      <c r="E56" s="27"/>
      <c r="F56" s="28"/>
      <c r="G56" s="28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8"/>
      <c r="T56" s="27"/>
      <c r="U56" s="27"/>
      <c r="V56" s="27"/>
      <c r="W56" s="27"/>
      <c r="X56" s="28"/>
      <c r="Y56" s="27"/>
      <c r="Z56" s="27"/>
      <c r="AA56" s="27"/>
      <c r="AB56" s="27"/>
      <c r="AC56" s="27"/>
      <c r="AD56" s="27"/>
      <c r="AE56" s="28"/>
      <c r="AF56" s="27"/>
      <c r="AG56" s="27"/>
      <c r="AH56" s="4"/>
      <c r="AI56" s="27"/>
      <c r="AJ56" s="28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8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66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0">
        <f>41800+12000</f>
        <v>53800</v>
      </c>
      <c r="C18" s="9">
        <v>1114</v>
      </c>
      <c r="D18" s="9">
        <v>0</v>
      </c>
      <c r="E18" s="9">
        <v>0</v>
      </c>
      <c r="F18" s="9">
        <v>0</v>
      </c>
      <c r="G18" s="9">
        <v>59245</v>
      </c>
      <c r="H18" s="9">
        <v>0</v>
      </c>
      <c r="I18" s="9"/>
      <c r="J18" s="9"/>
      <c r="K18" s="9"/>
      <c r="L18" s="9"/>
      <c r="M18" s="9"/>
      <c r="N18" s="9">
        <v>60360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5" t="s">
        <v>77</v>
      </c>
      <c r="B22" s="40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53800</v>
      </c>
      <c r="C23" s="9">
        <v>1114</v>
      </c>
      <c r="D23" s="9">
        <v>0</v>
      </c>
      <c r="E23" s="9">
        <v>0</v>
      </c>
      <c r="F23" s="9">
        <v>0</v>
      </c>
      <c r="G23" s="9">
        <v>59245</v>
      </c>
      <c r="H23" s="9">
        <v>0</v>
      </c>
      <c r="I23" s="9"/>
      <c r="J23" s="9"/>
      <c r="K23" s="9"/>
      <c r="L23" s="9"/>
      <c r="M23" s="9"/>
      <c r="N23" s="9">
        <v>60360</v>
      </c>
      <c r="O23" s="3"/>
      <c r="P23" s="3"/>
      <c r="Q23" s="3"/>
      <c r="R23" s="3" t="s">
        <v>26</v>
      </c>
      <c r="S23" s="12">
        <f>N42/1000</f>
        <v>641.94672000000003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145.59371999999999</v>
      </c>
      <c r="T26" s="14">
        <f>M43</f>
        <v>0.22680031763383729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241.33799999999999</v>
      </c>
      <c r="T27" s="15">
        <f>G43</f>
        <v>0.37594708794524256</v>
      </c>
    </row>
    <row r="28" spans="1:20" ht="15">
      <c r="A28" s="4" t="s">
        <v>66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21.42</v>
      </c>
      <c r="T29" s="14">
        <f>F43</f>
        <v>3.3367255151642496E-2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10.683999999999999</v>
      </c>
      <c r="T30" s="14">
        <f>E43</f>
        <v>1.6643125772182465E-2</v>
      </c>
    </row>
    <row r="31" spans="1:20" ht="15">
      <c r="A31" s="5" t="s">
        <v>35</v>
      </c>
      <c r="B31" s="9">
        <v>0</v>
      </c>
      <c r="C31" s="9">
        <v>2223</v>
      </c>
      <c r="D31" s="9">
        <v>0</v>
      </c>
      <c r="E31" s="9">
        <v>0</v>
      </c>
      <c r="F31" s="9">
        <v>224</v>
      </c>
      <c r="G31" s="9">
        <v>0</v>
      </c>
      <c r="H31" s="9">
        <v>0</v>
      </c>
      <c r="I31" s="9"/>
      <c r="J31" s="9"/>
      <c r="K31" s="9"/>
      <c r="L31" s="9"/>
      <c r="M31" s="9">
        <v>6551</v>
      </c>
      <c r="N31" s="9">
        <v>8997</v>
      </c>
      <c r="O31" s="17">
        <f>N31/N$39</f>
        <v>1.4552177246392283E-2</v>
      </c>
      <c r="P31" s="18" t="s">
        <v>36</v>
      </c>
      <c r="Q31" s="3"/>
      <c r="R31" s="3" t="s">
        <v>37</v>
      </c>
      <c r="S31" s="13">
        <f>C42/1000</f>
        <v>222.911</v>
      </c>
      <c r="T31" s="15">
        <f>C43</f>
        <v>0.34724221349709522</v>
      </c>
    </row>
    <row r="32" spans="1:20" ht="15">
      <c r="A32" s="5" t="s">
        <v>38</v>
      </c>
      <c r="B32" s="9">
        <v>9754</v>
      </c>
      <c r="C32" s="9">
        <v>9647</v>
      </c>
      <c r="D32" s="9">
        <v>0</v>
      </c>
      <c r="E32" s="41">
        <f>12.9*53+10000</f>
        <v>10683.7</v>
      </c>
      <c r="F32" s="9">
        <v>971</v>
      </c>
      <c r="G32" s="41">
        <f>157441-684-10000</f>
        <v>146757</v>
      </c>
      <c r="H32" s="9">
        <v>0</v>
      </c>
      <c r="I32" s="9"/>
      <c r="J32" s="9"/>
      <c r="K32" s="9"/>
      <c r="L32" s="9"/>
      <c r="M32" s="9">
        <v>79054</v>
      </c>
      <c r="N32" s="9">
        <v>256867</v>
      </c>
      <c r="O32" s="17">
        <f>N32/N$39</f>
        <v>0.41546894662098993</v>
      </c>
      <c r="P32" s="18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8338</v>
      </c>
      <c r="C33" s="9">
        <v>62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5802</v>
      </c>
      <c r="N33" s="9">
        <v>14201</v>
      </c>
      <c r="O33" s="17">
        <f>N33/N$39</f>
        <v>2.2969375244638969E-2</v>
      </c>
      <c r="P33" s="18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186749</v>
      </c>
      <c r="D34" s="9">
        <v>0</v>
      </c>
      <c r="E34" s="9">
        <v>0</v>
      </c>
      <c r="F34" s="9">
        <v>20225</v>
      </c>
      <c r="G34" s="9">
        <v>0</v>
      </c>
      <c r="H34" s="9">
        <v>0</v>
      </c>
      <c r="I34" s="9"/>
      <c r="J34" s="9"/>
      <c r="K34" s="9"/>
      <c r="L34" s="9"/>
      <c r="M34" s="9">
        <v>39</v>
      </c>
      <c r="N34" s="9">
        <v>207013</v>
      </c>
      <c r="O34" s="17">
        <f>N34/N$39</f>
        <v>0.33483270738106097</v>
      </c>
      <c r="P34" s="18" t="s">
        <v>44</v>
      </c>
      <c r="Q34" s="3"/>
      <c r="R34" s="3"/>
      <c r="S34" s="13">
        <f>SUM(S26:S33)</f>
        <v>641.94672000000003</v>
      </c>
      <c r="T34" s="14">
        <f>SUM(T26:T33)</f>
        <v>1</v>
      </c>
    </row>
    <row r="35" spans="1:47" ht="15">
      <c r="A35" s="5" t="s">
        <v>45</v>
      </c>
      <c r="B35" s="9">
        <v>5044</v>
      </c>
      <c r="C35" s="9">
        <v>22713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13402</v>
      </c>
      <c r="N35" s="9">
        <v>41159</v>
      </c>
      <c r="O35" s="17">
        <f>N35/N$39</f>
        <v>6.6572531208653987E-2</v>
      </c>
      <c r="P35" s="18" t="s">
        <v>46</v>
      </c>
      <c r="Q35" s="18"/>
    </row>
    <row r="36" spans="1:47" ht="15">
      <c r="A36" s="5" t="s">
        <v>47</v>
      </c>
      <c r="B36" s="9">
        <v>12957</v>
      </c>
      <c r="C36" s="9">
        <v>225</v>
      </c>
      <c r="D36" s="9">
        <v>0</v>
      </c>
      <c r="E36" s="9">
        <v>0</v>
      </c>
      <c r="F36" s="9">
        <v>0</v>
      </c>
      <c r="G36" s="9">
        <v>35336</v>
      </c>
      <c r="H36" s="9">
        <v>0</v>
      </c>
      <c r="I36" s="9"/>
      <c r="J36" s="9"/>
      <c r="K36" s="9"/>
      <c r="L36" s="9"/>
      <c r="M36" s="9">
        <v>26201</v>
      </c>
      <c r="N36" s="9">
        <v>74719</v>
      </c>
      <c r="O36" s="18"/>
      <c r="P36" s="18"/>
      <c r="Q36" s="3"/>
      <c r="R36" s="7"/>
      <c r="S36" s="7"/>
      <c r="T36" s="7"/>
    </row>
    <row r="37" spans="1:47" ht="15">
      <c r="A37" s="5" t="s">
        <v>48</v>
      </c>
      <c r="B37" s="9">
        <v>11362</v>
      </c>
      <c r="C37" s="9">
        <v>179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1480</v>
      </c>
      <c r="N37" s="9">
        <v>13021</v>
      </c>
      <c r="O37" s="18"/>
      <c r="P37" s="18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2281</v>
      </c>
      <c r="N38" s="9">
        <v>2281</v>
      </c>
      <c r="O38" s="18">
        <f>SUM(O31:O35)</f>
        <v>0.85439573770173616</v>
      </c>
      <c r="P38" s="18"/>
      <c r="Q38" s="3"/>
      <c r="R38" s="7" t="s">
        <v>50</v>
      </c>
      <c r="S38" s="19">
        <f>N45/1000</f>
        <v>17.129720000000002</v>
      </c>
      <c r="T38" s="7"/>
    </row>
    <row r="39" spans="1:47" ht="15">
      <c r="A39" s="5" t="s">
        <v>17</v>
      </c>
      <c r="B39" s="9">
        <v>47455</v>
      </c>
      <c r="C39" s="9">
        <v>221797</v>
      </c>
      <c r="D39" s="9">
        <v>0</v>
      </c>
      <c r="E39" s="41">
        <v>10684</v>
      </c>
      <c r="F39" s="9">
        <v>21420</v>
      </c>
      <c r="G39" s="41">
        <f>156757+35336-10000</f>
        <v>182093</v>
      </c>
      <c r="H39" s="9">
        <v>0</v>
      </c>
      <c r="I39" s="9"/>
      <c r="J39" s="9"/>
      <c r="K39" s="9"/>
      <c r="L39" s="9"/>
      <c r="M39" s="9">
        <v>134809</v>
      </c>
      <c r="N39" s="9">
        <v>618258</v>
      </c>
      <c r="O39" s="3"/>
      <c r="P39" s="3"/>
      <c r="Q39" s="3"/>
      <c r="R39" s="7" t="s">
        <v>51</v>
      </c>
      <c r="S39" s="20">
        <f>N41/1000</f>
        <v>90.021000000000001</v>
      </c>
      <c r="T39" s="14">
        <f>O41</f>
        <v>0.14560426229826384</v>
      </c>
    </row>
    <row r="40" spans="1:47">
      <c r="R40" s="7" t="s">
        <v>52</v>
      </c>
      <c r="S40" s="20">
        <f>N35/1000</f>
        <v>41.158999999999999</v>
      </c>
      <c r="T40" s="15">
        <f>O35</f>
        <v>6.6572531208653987E-2</v>
      </c>
    </row>
    <row r="41" spans="1:47" ht="15">
      <c r="A41" s="21" t="s">
        <v>53</v>
      </c>
      <c r="B41" s="22">
        <f>B38+B37+B36</f>
        <v>24319</v>
      </c>
      <c r="C41" s="22">
        <f t="shared" ref="C41:N41" si="0">C38+C37+C36</f>
        <v>404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35336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29962</v>
      </c>
      <c r="N41" s="22">
        <f t="shared" si="0"/>
        <v>90021</v>
      </c>
      <c r="O41" s="17">
        <f>N41/N$39</f>
        <v>0.14560426229826384</v>
      </c>
      <c r="P41" s="17" t="s">
        <v>54</v>
      </c>
      <c r="Q41" s="7"/>
      <c r="R41" s="7" t="s">
        <v>55</v>
      </c>
      <c r="S41" s="20">
        <f>N33/1000</f>
        <v>14.201000000000001</v>
      </c>
      <c r="T41" s="14">
        <f>O33</f>
        <v>2.2969375244638969E-2</v>
      </c>
    </row>
    <row r="42" spans="1:47" ht="15">
      <c r="A42" s="23" t="s">
        <v>56</v>
      </c>
      <c r="B42" s="22"/>
      <c r="C42" s="24">
        <f>C39+C23+C10</f>
        <v>222911</v>
      </c>
      <c r="D42" s="24">
        <f t="shared" ref="D42:L42" si="1">D39+D23+D10</f>
        <v>0</v>
      </c>
      <c r="E42" s="24">
        <f t="shared" si="1"/>
        <v>10684</v>
      </c>
      <c r="F42" s="24">
        <f t="shared" si="1"/>
        <v>21420</v>
      </c>
      <c r="G42" s="24">
        <f t="shared" si="1"/>
        <v>241338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145593.72</v>
      </c>
      <c r="N42" s="25">
        <f>SUM(C42:M42)</f>
        <v>641946.72</v>
      </c>
      <c r="O42" s="7"/>
      <c r="P42" s="7"/>
      <c r="Q42" s="7"/>
      <c r="R42" s="7" t="s">
        <v>36</v>
      </c>
      <c r="S42" s="20">
        <f>N31/1000</f>
        <v>8.9969999999999999</v>
      </c>
      <c r="T42" s="14">
        <f>O31</f>
        <v>1.4552177246392283E-2</v>
      </c>
    </row>
    <row r="43" spans="1:47" ht="15">
      <c r="A43" s="23" t="s">
        <v>57</v>
      </c>
      <c r="B43" s="22"/>
      <c r="C43" s="17">
        <f t="shared" ref="C43:M43" si="2">C42/$N42</f>
        <v>0.34724221349709522</v>
      </c>
      <c r="D43" s="17">
        <f t="shared" si="2"/>
        <v>0</v>
      </c>
      <c r="E43" s="17">
        <f t="shared" si="2"/>
        <v>1.6643125772182465E-2</v>
      </c>
      <c r="F43" s="17">
        <f t="shared" si="2"/>
        <v>3.3367255151642496E-2</v>
      </c>
      <c r="G43" s="17">
        <f t="shared" si="2"/>
        <v>0.37594708794524256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0.22680031763383729</v>
      </c>
      <c r="N43" s="17">
        <f>SUM(C43:M43)</f>
        <v>1</v>
      </c>
      <c r="O43" s="7"/>
      <c r="P43" s="7"/>
      <c r="Q43" s="7"/>
      <c r="R43" s="7" t="s">
        <v>58</v>
      </c>
      <c r="S43" s="20">
        <f>N32/1000</f>
        <v>256.86700000000002</v>
      </c>
      <c r="T43" s="15">
        <f>O32</f>
        <v>0.41546894662098993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0">
        <f>N34/1000</f>
        <v>207.01300000000001</v>
      </c>
      <c r="T44" s="15">
        <f>O34</f>
        <v>0.33483270738106097</v>
      </c>
    </row>
    <row r="45" spans="1:47" ht="15">
      <c r="A45" s="6" t="s">
        <v>60</v>
      </c>
      <c r="B45" s="6">
        <f>B23-B39</f>
        <v>6345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10784.72</v>
      </c>
      <c r="N45" s="25">
        <f>B45+M45</f>
        <v>17129.72</v>
      </c>
      <c r="O45" s="7"/>
      <c r="P45" s="7"/>
      <c r="Q45" s="7"/>
      <c r="R45" s="7" t="s">
        <v>61</v>
      </c>
      <c r="S45" s="20">
        <f>SUM(S39:S44)</f>
        <v>618.25800000000004</v>
      </c>
      <c r="T45" s="14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73</v>
      </c>
      <c r="B47" s="38">
        <f>(B23-B39)/B23</f>
        <v>0.1179368029739777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9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67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126155</v>
      </c>
      <c r="C6" s="9">
        <v>0</v>
      </c>
      <c r="D6" s="9">
        <v>0</v>
      </c>
      <c r="E6" s="9">
        <v>0</v>
      </c>
      <c r="F6" s="9">
        <v>0</v>
      </c>
      <c r="G6" s="40">
        <v>0</v>
      </c>
      <c r="H6" s="9">
        <v>0</v>
      </c>
      <c r="I6" s="9"/>
      <c r="J6" s="9"/>
      <c r="K6" s="9"/>
      <c r="L6" s="9"/>
      <c r="M6" s="9"/>
      <c r="N6" s="40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58821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184976</v>
      </c>
      <c r="C10" s="9">
        <v>0</v>
      </c>
      <c r="D10" s="9">
        <v>0</v>
      </c>
      <c r="E10" s="9">
        <v>0</v>
      </c>
      <c r="F10" s="9">
        <v>0</v>
      </c>
      <c r="G10" s="40">
        <v>0</v>
      </c>
      <c r="H10" s="9">
        <v>0</v>
      </c>
      <c r="I10" s="9"/>
      <c r="J10" s="9"/>
      <c r="K10" s="9"/>
      <c r="L10" s="9"/>
      <c r="M10" s="9"/>
      <c r="N10" s="40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40">
        <f>99201+281577</f>
        <v>380778</v>
      </c>
      <c r="C17" s="9">
        <v>876</v>
      </c>
      <c r="D17" s="9">
        <v>0</v>
      </c>
      <c r="E17" s="9">
        <v>0</v>
      </c>
      <c r="F17" s="9">
        <v>0</v>
      </c>
      <c r="G17" s="40">
        <v>478140</v>
      </c>
      <c r="H17" s="9">
        <v>0</v>
      </c>
      <c r="I17" s="9"/>
      <c r="J17" s="9"/>
      <c r="K17" s="9"/>
      <c r="L17" s="9"/>
      <c r="M17" s="9"/>
      <c r="N17" s="9">
        <f>SUM(C17:M17)</f>
        <v>479016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53911</v>
      </c>
      <c r="C18" s="9">
        <v>2129</v>
      </c>
      <c r="D18" s="9">
        <v>0</v>
      </c>
      <c r="E18" s="9">
        <v>0</v>
      </c>
      <c r="F18" s="9">
        <v>0</v>
      </c>
      <c r="G18" s="9">
        <v>61224</v>
      </c>
      <c r="H18" s="9">
        <v>0</v>
      </c>
      <c r="I18" s="9"/>
      <c r="J18" s="9"/>
      <c r="K18" s="9"/>
      <c r="L18" s="9"/>
      <c r="M18" s="9"/>
      <c r="N18" s="9">
        <v>63353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5" t="s">
        <v>77</v>
      </c>
      <c r="B22" s="40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434689</v>
      </c>
      <c r="C23" s="9">
        <v>3005</v>
      </c>
      <c r="D23" s="9">
        <v>0</v>
      </c>
      <c r="E23" s="9">
        <v>0</v>
      </c>
      <c r="F23" s="9">
        <v>0</v>
      </c>
      <c r="G23" s="9">
        <f>SUM(G17:G22)</f>
        <v>539364</v>
      </c>
      <c r="H23" s="9">
        <v>0</v>
      </c>
      <c r="I23" s="9"/>
      <c r="J23" s="9"/>
      <c r="K23" s="9"/>
      <c r="L23" s="9"/>
      <c r="M23" s="9"/>
      <c r="N23" s="9">
        <f>SUM(N17:N22)</f>
        <v>542369</v>
      </c>
      <c r="O23" s="3"/>
      <c r="P23" s="3"/>
      <c r="Q23" s="3"/>
      <c r="R23" s="3" t="s">
        <v>26</v>
      </c>
      <c r="S23" s="12">
        <f>N42/1000</f>
        <v>2230.6004800000001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503.62647999999996</v>
      </c>
      <c r="T26" s="14">
        <f>M43</f>
        <v>0.22578067409005489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645.39400000000001</v>
      </c>
      <c r="T27" s="15">
        <f>G43</f>
        <v>0.28933643912781726</v>
      </c>
    </row>
    <row r="28" spans="1:20" ht="15">
      <c r="A28" s="4" t="s">
        <v>67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89.76</v>
      </c>
      <c r="T29" s="14">
        <f>F43</f>
        <v>4.0240285432019636E-2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3.09</v>
      </c>
      <c r="T30" s="14">
        <f>E43</f>
        <v>1.3852772057145796E-3</v>
      </c>
    </row>
    <row r="31" spans="1:20" ht="15">
      <c r="A31" s="5" t="s">
        <v>35</v>
      </c>
      <c r="B31" s="9">
        <v>0</v>
      </c>
      <c r="C31" s="9">
        <v>21713</v>
      </c>
      <c r="D31" s="9">
        <v>0</v>
      </c>
      <c r="E31" s="9">
        <v>0</v>
      </c>
      <c r="F31" s="9">
        <v>2251</v>
      </c>
      <c r="G31" s="9">
        <v>0</v>
      </c>
      <c r="H31" s="9">
        <v>0</v>
      </c>
      <c r="I31" s="9"/>
      <c r="J31" s="9"/>
      <c r="K31" s="9"/>
      <c r="L31" s="9"/>
      <c r="M31" s="9">
        <v>26601</v>
      </c>
      <c r="N31" s="9">
        <v>50565</v>
      </c>
      <c r="O31" s="17">
        <f>N31/N$39</f>
        <v>2.3533392378187409E-2</v>
      </c>
      <c r="P31" s="18" t="s">
        <v>36</v>
      </c>
      <c r="Q31" s="3"/>
      <c r="R31" s="3" t="s">
        <v>37</v>
      </c>
      <c r="S31" s="13">
        <f>C42/1000</f>
        <v>988.73</v>
      </c>
      <c r="T31" s="15">
        <f>C43</f>
        <v>0.44325732414439362</v>
      </c>
    </row>
    <row r="32" spans="1:20" ht="15">
      <c r="A32" s="5" t="s">
        <v>38</v>
      </c>
      <c r="B32" s="9">
        <v>22534</v>
      </c>
      <c r="C32" s="9">
        <v>48721</v>
      </c>
      <c r="D32" s="9">
        <v>0</v>
      </c>
      <c r="E32" s="41">
        <f>590+2500</f>
        <v>3090</v>
      </c>
      <c r="F32" s="9">
        <v>777</v>
      </c>
      <c r="G32" s="41">
        <f>41560-2500</f>
        <v>39060</v>
      </c>
      <c r="H32" s="9">
        <v>0</v>
      </c>
      <c r="I32" s="9"/>
      <c r="J32" s="9"/>
      <c r="K32" s="9"/>
      <c r="L32" s="9"/>
      <c r="M32" s="9">
        <v>104888</v>
      </c>
      <c r="N32" s="9">
        <v>219070</v>
      </c>
      <c r="O32" s="17">
        <f>N32/N$39</f>
        <v>0.10195709024601041</v>
      </c>
      <c r="P32" s="18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79306</v>
      </c>
      <c r="C33" s="9">
        <v>6826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75416</v>
      </c>
      <c r="N33" s="9">
        <v>161548</v>
      </c>
      <c r="O33" s="17">
        <f>N33/N$39</f>
        <v>7.518584934067872E-2</v>
      </c>
      <c r="P33" s="18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875387</v>
      </c>
      <c r="D34" s="9">
        <v>0</v>
      </c>
      <c r="E34" s="9">
        <v>0</v>
      </c>
      <c r="F34" s="9">
        <v>86731</v>
      </c>
      <c r="G34" s="9">
        <v>0</v>
      </c>
      <c r="H34" s="9">
        <v>0</v>
      </c>
      <c r="I34" s="9"/>
      <c r="J34" s="9"/>
      <c r="K34" s="9"/>
      <c r="L34" s="9"/>
      <c r="M34" s="9">
        <v>1818</v>
      </c>
      <c r="N34" s="9">
        <v>963935</v>
      </c>
      <c r="O34" s="17">
        <f>N34/N$39</f>
        <v>0.44862376311812679</v>
      </c>
      <c r="P34" s="18" t="s">
        <v>44</v>
      </c>
      <c r="Q34" s="3"/>
      <c r="R34" s="3"/>
      <c r="S34" s="13">
        <f>SUM(S26:S33)</f>
        <v>2230.6004800000001</v>
      </c>
      <c r="T34" s="14">
        <f>SUM(T26:T33)</f>
        <v>1</v>
      </c>
    </row>
    <row r="35" spans="1:47" ht="15">
      <c r="A35" s="5" t="s">
        <v>45</v>
      </c>
      <c r="B35" s="9">
        <v>56168</v>
      </c>
      <c r="C35" s="9">
        <v>29870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181295</v>
      </c>
      <c r="N35" s="9">
        <v>267333</v>
      </c>
      <c r="O35" s="17">
        <f>N35/N$39</f>
        <v>0.12441911173020814</v>
      </c>
      <c r="P35" s="18" t="s">
        <v>46</v>
      </c>
      <c r="Q35" s="18"/>
    </row>
    <row r="36" spans="1:47" ht="15">
      <c r="A36" s="5" t="s">
        <v>47</v>
      </c>
      <c r="B36" s="9">
        <v>28891</v>
      </c>
      <c r="C36" s="9">
        <v>2066</v>
      </c>
      <c r="D36" s="9">
        <v>0</v>
      </c>
      <c r="E36" s="9">
        <v>0</v>
      </c>
      <c r="F36" s="9">
        <v>0</v>
      </c>
      <c r="G36" s="9">
        <v>66970</v>
      </c>
      <c r="H36" s="9">
        <v>0</v>
      </c>
      <c r="I36" s="9"/>
      <c r="J36" s="9"/>
      <c r="K36" s="9"/>
      <c r="L36" s="9"/>
      <c r="M36" s="9">
        <v>136391</v>
      </c>
      <c r="N36" s="9">
        <v>234319</v>
      </c>
      <c r="O36" s="18"/>
      <c r="P36" s="18"/>
      <c r="Q36" s="3"/>
      <c r="R36" s="7"/>
      <c r="S36" s="7"/>
      <c r="T36" s="7"/>
    </row>
    <row r="37" spans="1:47" ht="15">
      <c r="A37" s="5" t="s">
        <v>48</v>
      </c>
      <c r="B37" s="9">
        <v>194014</v>
      </c>
      <c r="C37" s="9">
        <v>1142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44047</v>
      </c>
      <c r="N37" s="9">
        <v>239203</v>
      </c>
      <c r="O37" s="18"/>
      <c r="P37" s="18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12675</v>
      </c>
      <c r="N38" s="9">
        <v>12675</v>
      </c>
      <c r="O38" s="18">
        <f>SUM(O31:O35)</f>
        <v>0.77371920681321149</v>
      </c>
      <c r="P38" s="18"/>
      <c r="Q38" s="3"/>
      <c r="R38" s="7" t="s">
        <v>50</v>
      </c>
      <c r="S38" s="19">
        <f>N45/1000</f>
        <v>100.42648000000001</v>
      </c>
      <c r="T38" s="7"/>
    </row>
    <row r="39" spans="1:47" ht="15">
      <c r="A39" s="5" t="s">
        <v>17</v>
      </c>
      <c r="B39" s="9">
        <v>380913</v>
      </c>
      <c r="C39" s="9">
        <v>985725</v>
      </c>
      <c r="D39" s="9">
        <v>0</v>
      </c>
      <c r="E39" s="41">
        <f>590+2500</f>
        <v>3090</v>
      </c>
      <c r="F39" s="9">
        <v>89760</v>
      </c>
      <c r="G39" s="41">
        <f>66970+41560-2500</f>
        <v>106030</v>
      </c>
      <c r="H39" s="9">
        <v>0</v>
      </c>
      <c r="I39" s="9"/>
      <c r="J39" s="9"/>
      <c r="K39" s="9"/>
      <c r="L39" s="9"/>
      <c r="M39" s="9">
        <v>583131</v>
      </c>
      <c r="N39" s="9">
        <v>2148649</v>
      </c>
      <c r="O39" s="3"/>
      <c r="P39" s="3"/>
      <c r="Q39" s="3"/>
      <c r="R39" s="7" t="s">
        <v>51</v>
      </c>
      <c r="S39" s="20">
        <f>N41/1000</f>
        <v>486.197</v>
      </c>
      <c r="T39" s="14">
        <f>O41</f>
        <v>0.22628032777805962</v>
      </c>
    </row>
    <row r="40" spans="1:47">
      <c r="R40" s="7" t="s">
        <v>52</v>
      </c>
      <c r="S40" s="20">
        <f>N35/1000</f>
        <v>267.33300000000003</v>
      </c>
      <c r="T40" s="15">
        <f>O35</f>
        <v>0.12441911173020814</v>
      </c>
    </row>
    <row r="41" spans="1:47" ht="15">
      <c r="A41" s="21" t="s">
        <v>53</v>
      </c>
      <c r="B41" s="22">
        <f>B38+B37+B36</f>
        <v>222905</v>
      </c>
      <c r="C41" s="22">
        <f t="shared" ref="C41:N41" si="0">C38+C37+C36</f>
        <v>3208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66970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193113</v>
      </c>
      <c r="N41" s="22">
        <f t="shared" si="0"/>
        <v>486197</v>
      </c>
      <c r="O41" s="17">
        <f>N41/N$39</f>
        <v>0.22628032777805962</v>
      </c>
      <c r="P41" s="17" t="s">
        <v>54</v>
      </c>
      <c r="Q41" s="7"/>
      <c r="R41" s="7" t="s">
        <v>55</v>
      </c>
      <c r="S41" s="20">
        <f>N33/1000</f>
        <v>161.548</v>
      </c>
      <c r="T41" s="14">
        <f>O33</f>
        <v>7.518584934067872E-2</v>
      </c>
    </row>
    <row r="42" spans="1:47" ht="15">
      <c r="A42" s="23" t="s">
        <v>56</v>
      </c>
      <c r="B42" s="22"/>
      <c r="C42" s="24">
        <f>C39+C23+C10</f>
        <v>988730</v>
      </c>
      <c r="D42" s="24">
        <f t="shared" ref="D42:L42" si="1">D39+D23+D10</f>
        <v>0</v>
      </c>
      <c r="E42" s="24">
        <f t="shared" si="1"/>
        <v>3090</v>
      </c>
      <c r="F42" s="24">
        <f t="shared" si="1"/>
        <v>89760</v>
      </c>
      <c r="G42" s="24">
        <f t="shared" si="1"/>
        <v>645394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503626.48</v>
      </c>
      <c r="N42" s="25">
        <f>SUM(C42:M42)</f>
        <v>2230600.48</v>
      </c>
      <c r="O42" s="7"/>
      <c r="P42" s="7"/>
      <c r="Q42" s="7"/>
      <c r="R42" s="7" t="s">
        <v>36</v>
      </c>
      <c r="S42" s="20">
        <f>N31/1000</f>
        <v>50.564999999999998</v>
      </c>
      <c r="T42" s="14">
        <f>O31</f>
        <v>2.3533392378187409E-2</v>
      </c>
    </row>
    <row r="43" spans="1:47" ht="15">
      <c r="A43" s="23" t="s">
        <v>57</v>
      </c>
      <c r="B43" s="22"/>
      <c r="C43" s="17">
        <f t="shared" ref="C43:M43" si="2">C42/$N42</f>
        <v>0.44325732414439362</v>
      </c>
      <c r="D43" s="17">
        <f t="shared" si="2"/>
        <v>0</v>
      </c>
      <c r="E43" s="17">
        <f t="shared" si="2"/>
        <v>1.3852772057145796E-3</v>
      </c>
      <c r="F43" s="17">
        <f t="shared" si="2"/>
        <v>4.0240285432019636E-2</v>
      </c>
      <c r="G43" s="17">
        <f t="shared" si="2"/>
        <v>0.28933643912781726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0.22578067409005489</v>
      </c>
      <c r="N43" s="17">
        <f>SUM(C43:M43)</f>
        <v>0.99999999999999989</v>
      </c>
      <c r="O43" s="7"/>
      <c r="P43" s="7"/>
      <c r="Q43" s="7"/>
      <c r="R43" s="7" t="s">
        <v>58</v>
      </c>
      <c r="S43" s="20">
        <f>N32/1000</f>
        <v>219.07</v>
      </c>
      <c r="T43" s="15">
        <f>O32</f>
        <v>0.10195709024601041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0">
        <f>N34/1000</f>
        <v>963.93499999999995</v>
      </c>
      <c r="T44" s="15">
        <f>O34</f>
        <v>0.44862376311812679</v>
      </c>
    </row>
    <row r="45" spans="1:47" ht="15">
      <c r="A45" s="6" t="s">
        <v>60</v>
      </c>
      <c r="B45" s="6">
        <f>B23-B39</f>
        <v>53776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46650.48</v>
      </c>
      <c r="N45" s="25">
        <f>B45+M45</f>
        <v>100426.48000000001</v>
      </c>
      <c r="O45" s="7"/>
      <c r="P45" s="7"/>
      <c r="Q45" s="7"/>
      <c r="R45" s="7" t="s">
        <v>61</v>
      </c>
      <c r="S45" s="20">
        <f>SUM(S39:S44)</f>
        <v>2148.6480000000001</v>
      </c>
      <c r="T45" s="14">
        <f>SUM(T39:T44)</f>
        <v>0.99999953459127111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73</v>
      </c>
      <c r="B47" s="38">
        <f>(B23-B39)/B23</f>
        <v>0.12371143507197099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8"/>
      <c r="G48" s="9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68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18673</v>
      </c>
      <c r="C6" s="9">
        <v>0</v>
      </c>
      <c r="D6" s="9">
        <v>0</v>
      </c>
      <c r="E6" s="9">
        <v>0</v>
      </c>
      <c r="F6" s="9">
        <v>0</v>
      </c>
      <c r="G6" s="40">
        <v>0</v>
      </c>
      <c r="H6" s="9">
        <v>0</v>
      </c>
      <c r="I6" s="9"/>
      <c r="J6" s="9"/>
      <c r="K6" s="9"/>
      <c r="L6" s="9"/>
      <c r="M6" s="9"/>
      <c r="N6" s="40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4398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41">
        <v>106727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41">
        <f>SUM(B6:B9)</f>
        <v>129798</v>
      </c>
      <c r="C10" s="9">
        <v>0</v>
      </c>
      <c r="D10" s="9">
        <v>0</v>
      </c>
      <c r="E10" s="9">
        <v>0</v>
      </c>
      <c r="F10" s="9">
        <v>0</v>
      </c>
      <c r="G10" s="40">
        <v>0</v>
      </c>
      <c r="H10" s="9">
        <v>0</v>
      </c>
      <c r="I10" s="9"/>
      <c r="J10" s="9"/>
      <c r="K10" s="9"/>
      <c r="L10" s="9"/>
      <c r="M10" s="9"/>
      <c r="N10" s="40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141418</v>
      </c>
      <c r="C17" s="9">
        <v>2617</v>
      </c>
      <c r="D17" s="9">
        <v>0</v>
      </c>
      <c r="E17" s="9">
        <v>0</v>
      </c>
      <c r="F17" s="9">
        <v>0</v>
      </c>
      <c r="G17" s="40">
        <v>220477</v>
      </c>
      <c r="H17" s="9">
        <v>0</v>
      </c>
      <c r="I17" s="9"/>
      <c r="J17" s="9"/>
      <c r="K17" s="9"/>
      <c r="L17" s="9"/>
      <c r="M17" s="9"/>
      <c r="N17" s="9">
        <f>SUM(C17:M17)</f>
        <v>223094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5088</v>
      </c>
      <c r="C18" s="9">
        <v>129</v>
      </c>
      <c r="D18" s="9">
        <v>0</v>
      </c>
      <c r="E18" s="9">
        <v>0</v>
      </c>
      <c r="F18" s="9">
        <v>0</v>
      </c>
      <c r="G18" s="9">
        <v>6730</v>
      </c>
      <c r="H18" s="9">
        <v>0</v>
      </c>
      <c r="I18" s="9"/>
      <c r="J18" s="9"/>
      <c r="K18" s="9"/>
      <c r="L18" s="9"/>
      <c r="M18" s="9"/>
      <c r="N18" s="9">
        <v>6859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5" t="s">
        <v>77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146506</v>
      </c>
      <c r="C23" s="9">
        <v>2746</v>
      </c>
      <c r="D23" s="9">
        <v>0</v>
      </c>
      <c r="E23" s="9">
        <v>0</v>
      </c>
      <c r="F23" s="9">
        <v>0</v>
      </c>
      <c r="G23" s="9">
        <f>SUM(G17:G22)</f>
        <v>227207</v>
      </c>
      <c r="H23" s="9">
        <v>0</v>
      </c>
      <c r="I23" s="9"/>
      <c r="J23" s="9"/>
      <c r="K23" s="9"/>
      <c r="L23" s="9"/>
      <c r="M23" s="9"/>
      <c r="N23" s="9">
        <f>SUM(N17:N22)</f>
        <v>229953</v>
      </c>
      <c r="O23" s="3"/>
      <c r="P23" s="3"/>
      <c r="Q23" s="3"/>
      <c r="R23" s="3" t="s">
        <v>26</v>
      </c>
      <c r="S23" s="12">
        <f>N42/1000</f>
        <v>789.95359999999994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229.99160000000001</v>
      </c>
      <c r="T26" s="14">
        <f>M43</f>
        <v>0.29114570779853399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349.81400000000002</v>
      </c>
      <c r="T27" s="15">
        <f>G43</f>
        <v>0.44282854081556183</v>
      </c>
    </row>
    <row r="28" spans="1:20" ht="15">
      <c r="A28" s="4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15.061999999999999</v>
      </c>
      <c r="T29" s="14">
        <f>F43</f>
        <v>1.9066942665999623E-2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11.225</v>
      </c>
      <c r="T30" s="14">
        <f>E43</f>
        <v>1.4209695354258782E-2</v>
      </c>
    </row>
    <row r="31" spans="1:20" ht="15">
      <c r="A31" s="5" t="s">
        <v>35</v>
      </c>
      <c r="B31" s="9">
        <v>0</v>
      </c>
      <c r="C31" s="9">
        <v>9927</v>
      </c>
      <c r="D31" s="9">
        <v>0</v>
      </c>
      <c r="E31" s="9">
        <v>0</v>
      </c>
      <c r="F31" s="9">
        <v>1056</v>
      </c>
      <c r="G31" s="9">
        <v>0</v>
      </c>
      <c r="H31" s="9">
        <v>0</v>
      </c>
      <c r="I31" s="9"/>
      <c r="J31" s="9"/>
      <c r="K31" s="9"/>
      <c r="L31" s="9"/>
      <c r="M31" s="9">
        <v>10104</v>
      </c>
      <c r="N31" s="9">
        <v>21087</v>
      </c>
      <c r="O31" s="17">
        <f>N31/N$39</f>
        <v>3.0398830581336009E-2</v>
      </c>
      <c r="P31" s="18" t="s">
        <v>36</v>
      </c>
      <c r="Q31" s="3"/>
      <c r="R31" s="3" t="s">
        <v>37</v>
      </c>
      <c r="S31" s="13">
        <f>C42/1000</f>
        <v>183.86099999999999</v>
      </c>
      <c r="T31" s="15">
        <f>C43</f>
        <v>0.2327491133656458</v>
      </c>
    </row>
    <row r="32" spans="1:20" ht="15">
      <c r="A32" s="5" t="s">
        <v>38</v>
      </c>
      <c r="B32" s="9">
        <v>54784</v>
      </c>
      <c r="C32" s="9">
        <v>21942</v>
      </c>
      <c r="D32" s="9">
        <v>0</v>
      </c>
      <c r="E32" s="41">
        <f>2000+9225</f>
        <v>11225</v>
      </c>
      <c r="F32" s="9">
        <v>768</v>
      </c>
      <c r="G32" s="41">
        <f>64411-2000</f>
        <v>62411</v>
      </c>
      <c r="H32" s="9">
        <v>0</v>
      </c>
      <c r="I32" s="9"/>
      <c r="J32" s="9"/>
      <c r="K32" s="9"/>
      <c r="L32" s="9"/>
      <c r="M32" s="9">
        <v>103973</v>
      </c>
      <c r="N32" s="9">
        <v>255103</v>
      </c>
      <c r="O32" s="17">
        <f>N32/N$39</f>
        <v>0.36775420295872147</v>
      </c>
      <c r="P32" s="18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11039</v>
      </c>
      <c r="C33" s="9">
        <v>226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17638</v>
      </c>
      <c r="N33" s="9">
        <v>28903</v>
      </c>
      <c r="O33" s="17">
        <f>N33/N$39</f>
        <v>4.1666306268902865E-2</v>
      </c>
      <c r="P33" s="18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147659</v>
      </c>
      <c r="D34" s="9">
        <v>0</v>
      </c>
      <c r="E34" s="9">
        <v>0</v>
      </c>
      <c r="F34" s="9">
        <v>13238</v>
      </c>
      <c r="G34" s="9">
        <v>0</v>
      </c>
      <c r="H34" s="9">
        <v>0</v>
      </c>
      <c r="I34" s="9"/>
      <c r="J34" s="9"/>
      <c r="K34" s="9"/>
      <c r="L34" s="9"/>
      <c r="M34" s="9">
        <v>2811</v>
      </c>
      <c r="N34" s="9">
        <v>163709</v>
      </c>
      <c r="O34" s="17">
        <f>N34/N$39</f>
        <v>0.23600143005832677</v>
      </c>
      <c r="P34" s="18" t="s">
        <v>44</v>
      </c>
      <c r="Q34" s="3"/>
      <c r="R34" s="3"/>
      <c r="S34" s="13">
        <f>SUM(S26:S33)</f>
        <v>789.95360000000005</v>
      </c>
      <c r="T34" s="14">
        <f>SUM(T26:T33)</f>
        <v>1</v>
      </c>
    </row>
    <row r="35" spans="1:47" ht="15">
      <c r="A35" s="5" t="s">
        <v>45</v>
      </c>
      <c r="B35" s="9">
        <v>0</v>
      </c>
      <c r="C35" s="9">
        <v>477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26621</v>
      </c>
      <c r="N35" s="9">
        <v>27098</v>
      </c>
      <c r="O35" s="17">
        <f>N35/N$39</f>
        <v>3.9064234414238307E-2</v>
      </c>
      <c r="P35" s="18" t="s">
        <v>46</v>
      </c>
      <c r="Q35" s="18"/>
    </row>
    <row r="36" spans="1:47" ht="15">
      <c r="A36" s="5" t="s">
        <v>47</v>
      </c>
      <c r="B36" s="9">
        <v>16980</v>
      </c>
      <c r="C36" s="9">
        <v>747</v>
      </c>
      <c r="D36" s="9">
        <v>0</v>
      </c>
      <c r="E36" s="9">
        <v>0</v>
      </c>
      <c r="F36" s="9">
        <v>0</v>
      </c>
      <c r="G36" s="9">
        <v>60196</v>
      </c>
      <c r="H36" s="9">
        <v>0</v>
      </c>
      <c r="I36" s="9"/>
      <c r="J36" s="9"/>
      <c r="K36" s="9"/>
      <c r="L36" s="9"/>
      <c r="M36" s="9">
        <v>56462</v>
      </c>
      <c r="N36" s="9">
        <v>134385</v>
      </c>
      <c r="O36" s="18"/>
      <c r="P36" s="18"/>
      <c r="Q36" s="3"/>
      <c r="R36" s="7"/>
      <c r="S36" s="7"/>
      <c r="T36" s="7"/>
    </row>
    <row r="37" spans="1:47" ht="15">
      <c r="A37" s="5" t="s">
        <v>48</v>
      </c>
      <c r="B37" s="9">
        <v>50620</v>
      </c>
      <c r="C37" s="9">
        <v>137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9546</v>
      </c>
      <c r="N37" s="9">
        <v>60303</v>
      </c>
      <c r="O37" s="18"/>
      <c r="P37" s="18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3090</v>
      </c>
      <c r="N38" s="9">
        <v>3090</v>
      </c>
      <c r="O38" s="18">
        <f>SUM(O31:O35)</f>
        <v>0.71488500428152546</v>
      </c>
      <c r="P38" s="18"/>
      <c r="Q38" s="3"/>
      <c r="R38" s="7" t="s">
        <v>50</v>
      </c>
      <c r="S38" s="19">
        <f>N45/1000</f>
        <v>31.502600000000001</v>
      </c>
      <c r="T38" s="7"/>
    </row>
    <row r="39" spans="1:47" ht="15">
      <c r="A39" s="5" t="s">
        <v>17</v>
      </c>
      <c r="B39" s="9">
        <v>133423</v>
      </c>
      <c r="C39" s="9">
        <v>181115</v>
      </c>
      <c r="D39" s="9">
        <v>0</v>
      </c>
      <c r="E39" s="41">
        <f>9225+2000</f>
        <v>11225</v>
      </c>
      <c r="F39" s="9">
        <v>15062</v>
      </c>
      <c r="G39" s="41">
        <f>G36+G32</f>
        <v>122607</v>
      </c>
      <c r="H39" s="9">
        <v>0</v>
      </c>
      <c r="I39" s="9"/>
      <c r="J39" s="9"/>
      <c r="K39" s="9"/>
      <c r="L39" s="9"/>
      <c r="M39" s="9">
        <v>230245</v>
      </c>
      <c r="N39" s="9">
        <v>693678</v>
      </c>
      <c r="O39" s="3"/>
      <c r="P39" s="3"/>
      <c r="Q39" s="3"/>
      <c r="R39" s="7" t="s">
        <v>51</v>
      </c>
      <c r="S39" s="20">
        <f>N41/1000</f>
        <v>197.77799999999999</v>
      </c>
      <c r="T39" s="14">
        <f>O41</f>
        <v>0.28511499571847454</v>
      </c>
    </row>
    <row r="40" spans="1:47">
      <c r="R40" s="7" t="s">
        <v>52</v>
      </c>
      <c r="S40" s="20">
        <f>N35/1000</f>
        <v>27.097999999999999</v>
      </c>
      <c r="T40" s="15">
        <f>O35</f>
        <v>3.9064234414238307E-2</v>
      </c>
    </row>
    <row r="41" spans="1:47" ht="15">
      <c r="A41" s="21" t="s">
        <v>53</v>
      </c>
      <c r="B41" s="22">
        <f>B38+B37+B36</f>
        <v>67600</v>
      </c>
      <c r="C41" s="22">
        <f t="shared" ref="C41:N41" si="0">C38+C37+C36</f>
        <v>884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60196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69098</v>
      </c>
      <c r="N41" s="22">
        <f t="shared" si="0"/>
        <v>197778</v>
      </c>
      <c r="O41" s="17">
        <f>N41/N$39</f>
        <v>0.28511499571847454</v>
      </c>
      <c r="P41" s="17" t="s">
        <v>54</v>
      </c>
      <c r="Q41" s="7"/>
      <c r="R41" s="7" t="s">
        <v>55</v>
      </c>
      <c r="S41" s="20">
        <f>N33/1000</f>
        <v>28.902999999999999</v>
      </c>
      <c r="T41" s="14">
        <f>O33</f>
        <v>4.1666306268902865E-2</v>
      </c>
    </row>
    <row r="42" spans="1:47" ht="15">
      <c r="A42" s="23" t="s">
        <v>56</v>
      </c>
      <c r="B42" s="22"/>
      <c r="C42" s="24">
        <f>C39+C23+C10</f>
        <v>183861</v>
      </c>
      <c r="D42" s="24">
        <f t="shared" ref="D42:L42" si="1">D39+D23+D10</f>
        <v>0</v>
      </c>
      <c r="E42" s="24">
        <f t="shared" si="1"/>
        <v>11225</v>
      </c>
      <c r="F42" s="24">
        <f t="shared" si="1"/>
        <v>15062</v>
      </c>
      <c r="G42" s="24">
        <f t="shared" si="1"/>
        <v>349814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229991.6</v>
      </c>
      <c r="N42" s="25">
        <f>SUM(C42:M42)</f>
        <v>789953.6</v>
      </c>
      <c r="O42" s="7"/>
      <c r="P42" s="7"/>
      <c r="Q42" s="7"/>
      <c r="R42" s="7" t="s">
        <v>36</v>
      </c>
      <c r="S42" s="20">
        <f>N31/1000</f>
        <v>21.087</v>
      </c>
      <c r="T42" s="14">
        <f>O31</f>
        <v>3.0398830581336009E-2</v>
      </c>
    </row>
    <row r="43" spans="1:47" ht="15">
      <c r="A43" s="23" t="s">
        <v>57</v>
      </c>
      <c r="B43" s="22"/>
      <c r="C43" s="17">
        <f t="shared" ref="C43:M43" si="2">C42/$N42</f>
        <v>0.2327491133656458</v>
      </c>
      <c r="D43" s="17">
        <f t="shared" si="2"/>
        <v>0</v>
      </c>
      <c r="E43" s="17">
        <f t="shared" si="2"/>
        <v>1.4209695354258782E-2</v>
      </c>
      <c r="F43" s="17">
        <f t="shared" si="2"/>
        <v>1.9066942665999623E-2</v>
      </c>
      <c r="G43" s="17">
        <f t="shared" si="2"/>
        <v>0.44282854081556183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0.29114570779853399</v>
      </c>
      <c r="N43" s="17">
        <f>SUM(C43:M43)</f>
        <v>1</v>
      </c>
      <c r="O43" s="7"/>
      <c r="P43" s="7"/>
      <c r="Q43" s="7"/>
      <c r="R43" s="7" t="s">
        <v>58</v>
      </c>
      <c r="S43" s="20">
        <f>N32/1000</f>
        <v>255.10300000000001</v>
      </c>
      <c r="T43" s="15">
        <f>O32</f>
        <v>0.36775420295872147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0">
        <f>N34/1000</f>
        <v>163.709</v>
      </c>
      <c r="T44" s="15">
        <f>O34</f>
        <v>0.23600143005832677</v>
      </c>
    </row>
    <row r="45" spans="1:47" ht="15">
      <c r="A45" s="6" t="s">
        <v>60</v>
      </c>
      <c r="B45" s="6">
        <f>B23-B39</f>
        <v>13083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18419.600000000002</v>
      </c>
      <c r="N45" s="25">
        <f>B45+M45</f>
        <v>31502.600000000002</v>
      </c>
      <c r="O45" s="7"/>
      <c r="P45" s="7"/>
      <c r="Q45" s="7"/>
      <c r="R45" s="7" t="s">
        <v>61</v>
      </c>
      <c r="S45" s="20">
        <f>SUM(S39:S44)</f>
        <v>693.67800000000011</v>
      </c>
      <c r="T45" s="14">
        <f>SUM(T39:T44)</f>
        <v>0.99999999999999989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73</v>
      </c>
      <c r="B47" s="38">
        <f>(B23-B39)/B23</f>
        <v>8.9300096924358044E-2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9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9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8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8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70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16402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41">
        <v>27758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41">
        <f>SUM(B8:B9)</f>
        <v>44160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70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0">
        <f>233155+15692</f>
        <v>248847</v>
      </c>
      <c r="C18" s="9">
        <v>12467</v>
      </c>
      <c r="D18" s="43">
        <v>0</v>
      </c>
      <c r="E18" s="9">
        <v>0</v>
      </c>
      <c r="F18" s="9">
        <v>0</v>
      </c>
      <c r="G18" s="39">
        <f>187714-57588</f>
        <v>130126</v>
      </c>
      <c r="H18" s="9">
        <v>0</v>
      </c>
      <c r="I18" s="9"/>
      <c r="J18" s="9"/>
      <c r="K18" s="43">
        <f>57588*2</f>
        <v>115176</v>
      </c>
      <c r="L18" s="9"/>
      <c r="M18" s="9"/>
      <c r="N18" s="9">
        <v>257769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5" t="s">
        <v>77</v>
      </c>
      <c r="B22" s="40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248847</v>
      </c>
      <c r="C23" s="9">
        <v>12467</v>
      </c>
      <c r="D23" s="9">
        <v>0</v>
      </c>
      <c r="E23" s="9">
        <v>0</v>
      </c>
      <c r="F23" s="9">
        <v>0</v>
      </c>
      <c r="G23" s="40">
        <v>130126</v>
      </c>
      <c r="H23" s="9">
        <v>0</v>
      </c>
      <c r="I23" s="9"/>
      <c r="J23" s="9"/>
      <c r="K23" s="9">
        <v>115176</v>
      </c>
      <c r="L23" s="9"/>
      <c r="M23" s="9"/>
      <c r="N23" s="9">
        <v>257769</v>
      </c>
      <c r="O23" s="3"/>
      <c r="P23" s="3"/>
      <c r="Q23" s="3"/>
      <c r="R23" s="3" t="s">
        <v>26</v>
      </c>
      <c r="S23" s="12">
        <f>N42/1000</f>
        <v>1165.30556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420.15456</v>
      </c>
      <c r="T26" s="14">
        <f>M43</f>
        <v>0.36055312393772493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202.387</v>
      </c>
      <c r="T27" s="15">
        <f>G43</f>
        <v>0.17367719416013083</v>
      </c>
    </row>
    <row r="28" spans="1:20" ht="15">
      <c r="A28" s="4" t="s">
        <v>70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30.626000000000001</v>
      </c>
      <c r="T29" s="14">
        <f>F43</f>
        <v>2.628151881468754E-2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3.1749999999999998</v>
      </c>
      <c r="T30" s="14">
        <f>E43</f>
        <v>2.7246072695302336E-3</v>
      </c>
    </row>
    <row r="31" spans="1:20" ht="15">
      <c r="A31" s="5" t="s">
        <v>35</v>
      </c>
      <c r="B31" s="9">
        <v>0</v>
      </c>
      <c r="C31" s="9">
        <v>26670</v>
      </c>
      <c r="D31" s="9">
        <v>0</v>
      </c>
      <c r="E31" s="9">
        <v>0</v>
      </c>
      <c r="F31" s="9">
        <v>2136</v>
      </c>
      <c r="G31" s="9">
        <v>0</v>
      </c>
      <c r="H31" s="9">
        <v>0</v>
      </c>
      <c r="I31" s="9"/>
      <c r="J31" s="9"/>
      <c r="K31" s="9"/>
      <c r="L31" s="9"/>
      <c r="M31" s="9">
        <v>22332</v>
      </c>
      <c r="N31" s="9">
        <v>51138</v>
      </c>
      <c r="O31" s="17">
        <f>N31/N$39</f>
        <v>4.6763464911398329E-2</v>
      </c>
      <c r="P31" s="18" t="s">
        <v>36</v>
      </c>
      <c r="Q31" s="3"/>
      <c r="R31" s="3" t="s">
        <v>37</v>
      </c>
      <c r="S31" s="13">
        <f>C42/1000</f>
        <v>393.78699999999998</v>
      </c>
      <c r="T31" s="15">
        <f>C43</f>
        <v>0.3379259599516542</v>
      </c>
    </row>
    <row r="32" spans="1:20" ht="15">
      <c r="A32" s="5" t="s">
        <v>38</v>
      </c>
      <c r="B32" s="9">
        <v>13610</v>
      </c>
      <c r="C32" s="9">
        <v>27077</v>
      </c>
      <c r="D32" s="9">
        <v>0</v>
      </c>
      <c r="E32" s="9">
        <v>3175</v>
      </c>
      <c r="F32" s="9">
        <v>650</v>
      </c>
      <c r="G32" s="9">
        <v>775</v>
      </c>
      <c r="H32" s="9">
        <v>0</v>
      </c>
      <c r="I32" s="9"/>
      <c r="J32" s="9"/>
      <c r="K32" s="9"/>
      <c r="L32" s="9"/>
      <c r="M32" s="9">
        <v>101330</v>
      </c>
      <c r="N32" s="9">
        <v>146617</v>
      </c>
      <c r="O32" s="17">
        <f>N32/N$39</f>
        <v>0.13407483544359358</v>
      </c>
      <c r="P32" s="18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32265</v>
      </c>
      <c r="C33" s="9">
        <v>6057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36498</v>
      </c>
      <c r="N33" s="9">
        <v>74820</v>
      </c>
      <c r="O33" s="17">
        <f>N33/N$39</f>
        <v>6.8419618379107969E-2</v>
      </c>
      <c r="P33" s="18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309936</v>
      </c>
      <c r="D34" s="9">
        <v>0</v>
      </c>
      <c r="E34" s="9">
        <v>0</v>
      </c>
      <c r="F34" s="9">
        <v>27840</v>
      </c>
      <c r="G34" s="9">
        <v>0</v>
      </c>
      <c r="H34" s="9">
        <v>0</v>
      </c>
      <c r="I34" s="9"/>
      <c r="J34" s="9"/>
      <c r="K34" s="9"/>
      <c r="L34" s="9"/>
      <c r="M34" s="9">
        <v>674</v>
      </c>
      <c r="N34" s="9">
        <v>338451</v>
      </c>
      <c r="O34" s="17">
        <f>N34/N$39</f>
        <v>0.30949864020352141</v>
      </c>
      <c r="P34" s="18" t="s">
        <v>44</v>
      </c>
      <c r="Q34" s="3"/>
      <c r="R34" s="3"/>
      <c r="S34" s="13">
        <f>SUM(S26:S33)</f>
        <v>1050.1295599999999</v>
      </c>
      <c r="T34" s="14">
        <f>SUM(T26:T33)</f>
        <v>0.90116240413372783</v>
      </c>
    </row>
    <row r="35" spans="1:47" ht="15">
      <c r="A35" s="5" t="s">
        <v>45</v>
      </c>
      <c r="B35" s="9">
        <v>34347</v>
      </c>
      <c r="C35" s="9">
        <v>5649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90485</v>
      </c>
      <c r="N35" s="9">
        <v>130481</v>
      </c>
      <c r="O35" s="17">
        <f>N35/N$39</f>
        <v>0.1193191690152952</v>
      </c>
      <c r="P35" s="18" t="s">
        <v>46</v>
      </c>
      <c r="Q35" s="18"/>
    </row>
    <row r="36" spans="1:47" ht="15">
      <c r="A36" s="5" t="s">
        <v>47</v>
      </c>
      <c r="B36" s="9">
        <v>51245</v>
      </c>
      <c r="C36" s="9">
        <v>4381</v>
      </c>
      <c r="D36" s="9">
        <v>0</v>
      </c>
      <c r="E36" s="9">
        <v>0</v>
      </c>
      <c r="F36" s="9">
        <v>0</v>
      </c>
      <c r="G36" s="9">
        <v>71486</v>
      </c>
      <c r="H36" s="9">
        <v>0</v>
      </c>
      <c r="I36" s="9"/>
      <c r="J36" s="9"/>
      <c r="K36" s="9"/>
      <c r="L36" s="9"/>
      <c r="M36" s="9">
        <v>95751</v>
      </c>
      <c r="N36" s="9">
        <v>222863</v>
      </c>
      <c r="O36" s="18"/>
      <c r="P36" s="18"/>
      <c r="Q36" s="3"/>
      <c r="R36" s="7"/>
      <c r="S36" s="7"/>
      <c r="T36" s="7"/>
    </row>
    <row r="37" spans="1:47" ht="15">
      <c r="A37" s="5" t="s">
        <v>48</v>
      </c>
      <c r="B37" s="9">
        <v>85665</v>
      </c>
      <c r="C37" s="9">
        <v>1551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22875</v>
      </c>
      <c r="N37" s="9">
        <v>110091</v>
      </c>
      <c r="O37" s="18"/>
      <c r="P37" s="18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19087</v>
      </c>
      <c r="N38" s="9">
        <v>19087</v>
      </c>
      <c r="O38" s="18">
        <f>SUM(O31:O35)</f>
        <v>0.67807572795291648</v>
      </c>
      <c r="P38" s="18"/>
      <c r="Q38" s="3"/>
      <c r="R38" s="7" t="s">
        <v>50</v>
      </c>
      <c r="S38" s="19">
        <f>N45/1000</f>
        <v>62.837559999999996</v>
      </c>
      <c r="T38" s="7"/>
    </row>
    <row r="39" spans="1:47" ht="15">
      <c r="A39" s="5" t="s">
        <v>17</v>
      </c>
      <c r="B39" s="9">
        <v>217132</v>
      </c>
      <c r="C39" s="9">
        <v>381320</v>
      </c>
      <c r="D39" s="9">
        <v>0</v>
      </c>
      <c r="E39" s="9">
        <v>3175</v>
      </c>
      <c r="F39" s="9">
        <v>30626</v>
      </c>
      <c r="G39" s="9">
        <v>72261</v>
      </c>
      <c r="H39" s="9">
        <v>0</v>
      </c>
      <c r="I39" s="9"/>
      <c r="J39" s="9"/>
      <c r="K39" s="9"/>
      <c r="L39" s="9"/>
      <c r="M39" s="9">
        <v>389032</v>
      </c>
      <c r="N39" s="9">
        <v>1093546</v>
      </c>
      <c r="O39" s="3"/>
      <c r="P39" s="3"/>
      <c r="Q39" s="3"/>
      <c r="R39" s="7" t="s">
        <v>51</v>
      </c>
      <c r="S39" s="20">
        <f>N41/1000</f>
        <v>352.041</v>
      </c>
      <c r="T39" s="14">
        <f>O41</f>
        <v>0.32192610095963042</v>
      </c>
    </row>
    <row r="40" spans="1:47">
      <c r="R40" s="7" t="s">
        <v>52</v>
      </c>
      <c r="S40" s="20">
        <f>N35/1000</f>
        <v>130.48099999999999</v>
      </c>
      <c r="T40" s="15">
        <f>O35</f>
        <v>0.1193191690152952</v>
      </c>
    </row>
    <row r="41" spans="1:47" ht="15">
      <c r="A41" s="21" t="s">
        <v>53</v>
      </c>
      <c r="B41" s="22">
        <f>B38+B37+B36</f>
        <v>136910</v>
      </c>
      <c r="C41" s="22">
        <f t="shared" ref="C41:N41" si="0">C38+C37+C36</f>
        <v>5932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71486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137713</v>
      </c>
      <c r="N41" s="22">
        <f t="shared" si="0"/>
        <v>352041</v>
      </c>
      <c r="O41" s="17">
        <f>N41/N$39</f>
        <v>0.32192610095963042</v>
      </c>
      <c r="P41" s="17" t="s">
        <v>54</v>
      </c>
      <c r="Q41" s="7"/>
      <c r="R41" s="7" t="s">
        <v>55</v>
      </c>
      <c r="S41" s="20">
        <f>N33/1000</f>
        <v>74.819999999999993</v>
      </c>
      <c r="T41" s="14">
        <f>O33</f>
        <v>6.8419618379107969E-2</v>
      </c>
    </row>
    <row r="42" spans="1:47" ht="15">
      <c r="A42" s="23" t="s">
        <v>56</v>
      </c>
      <c r="B42" s="22"/>
      <c r="C42" s="24">
        <f>C39+C23+C10</f>
        <v>393787</v>
      </c>
      <c r="D42" s="24">
        <f t="shared" ref="D42:L42" si="1">D39+D23+D10</f>
        <v>0</v>
      </c>
      <c r="E42" s="24">
        <f t="shared" si="1"/>
        <v>3175</v>
      </c>
      <c r="F42" s="24">
        <f t="shared" si="1"/>
        <v>30626</v>
      </c>
      <c r="G42" s="24">
        <f t="shared" si="1"/>
        <v>202387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115176</v>
      </c>
      <c r="L42" s="24">
        <f t="shared" si="1"/>
        <v>0</v>
      </c>
      <c r="M42" s="24">
        <f>M39+M23-B6+M45</f>
        <v>420154.56</v>
      </c>
      <c r="N42" s="25">
        <f>SUM(C42:M42)</f>
        <v>1165305.56</v>
      </c>
      <c r="O42" s="7"/>
      <c r="P42" s="7"/>
      <c r="Q42" s="7"/>
      <c r="R42" s="7" t="s">
        <v>36</v>
      </c>
      <c r="S42" s="20">
        <f>N31/1000</f>
        <v>51.137999999999998</v>
      </c>
      <c r="T42" s="14">
        <f>O31</f>
        <v>4.6763464911398329E-2</v>
      </c>
    </row>
    <row r="43" spans="1:47" ht="15">
      <c r="A43" s="23" t="s">
        <v>57</v>
      </c>
      <c r="B43" s="22"/>
      <c r="C43" s="17">
        <f t="shared" ref="C43:M43" si="2">C42/$N42</f>
        <v>0.3379259599516542</v>
      </c>
      <c r="D43" s="17">
        <f t="shared" si="2"/>
        <v>0</v>
      </c>
      <c r="E43" s="17">
        <f t="shared" si="2"/>
        <v>2.7246072695302336E-3</v>
      </c>
      <c r="F43" s="17">
        <f t="shared" si="2"/>
        <v>2.628151881468754E-2</v>
      </c>
      <c r="G43" s="17">
        <f t="shared" si="2"/>
        <v>0.17367719416013083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9.8837595866272179E-2</v>
      </c>
      <c r="L43" s="17">
        <f t="shared" si="2"/>
        <v>0</v>
      </c>
      <c r="M43" s="17">
        <f t="shared" si="2"/>
        <v>0.36055312393772493</v>
      </c>
      <c r="N43" s="17">
        <f>SUM(C43:M43)</f>
        <v>0.99999999999999978</v>
      </c>
      <c r="O43" s="7"/>
      <c r="P43" s="7"/>
      <c r="Q43" s="7"/>
      <c r="R43" s="7" t="s">
        <v>58</v>
      </c>
      <c r="S43" s="20">
        <f>N32/1000</f>
        <v>146.61699999999999</v>
      </c>
      <c r="T43" s="15">
        <f>O32</f>
        <v>0.13407483544359358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0">
        <f>N34/1000</f>
        <v>338.45100000000002</v>
      </c>
      <c r="T44" s="15">
        <f>O34</f>
        <v>0.30949864020352141</v>
      </c>
    </row>
    <row r="45" spans="1:47" ht="15">
      <c r="A45" s="6" t="s">
        <v>60</v>
      </c>
      <c r="B45" s="6">
        <f>B23-B39</f>
        <v>31715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31122.560000000001</v>
      </c>
      <c r="N45" s="25">
        <f>B45+M45</f>
        <v>62837.56</v>
      </c>
      <c r="O45" s="7"/>
      <c r="P45" s="7"/>
      <c r="Q45" s="7"/>
      <c r="R45" s="7" t="s">
        <v>61</v>
      </c>
      <c r="S45" s="20">
        <f>SUM(S39:S44)</f>
        <v>1093.548</v>
      </c>
      <c r="T45" s="14">
        <f>SUM(T39:T44)</f>
        <v>1.000001828912547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73</v>
      </c>
      <c r="B47" s="38">
        <f>(B23-B39)/B23</f>
        <v>0.12744778920380795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8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8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/>
  <dimension ref="A1:AU70"/>
  <sheetViews>
    <sheetView zoomScale="125" zoomScaleNormal="125" zoomScalePageLayoutView="125" workbookViewId="0">
      <selection activeCell="O17" sqref="O17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4" width="9.5" style="2" bestFit="1" customWidth="1"/>
    <col min="5" max="8" width="9.1640625" style="2" bestFit="1" customWidth="1"/>
    <col min="9" max="11" width="8.83203125" style="2"/>
    <col min="12" max="12" width="9.5" style="2" bestFit="1" customWidth="1"/>
    <col min="13" max="13" width="9.1640625" style="2" bestFit="1" customWidth="1"/>
    <col min="14" max="14" width="9.5" style="2" bestFit="1" customWidth="1"/>
    <col min="15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69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74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232</v>
      </c>
      <c r="C6" s="40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40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11885912</v>
      </c>
      <c r="C7" s="9">
        <v>10424</v>
      </c>
      <c r="D7" s="3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43">
        <v>33687914</v>
      </c>
      <c r="M7" s="9"/>
      <c r="N7" s="9">
        <v>33698338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41">
        <v>3013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16">
        <f>SUM(B6:B9)</f>
        <v>11889157</v>
      </c>
      <c r="C10" s="40">
        <v>10424</v>
      </c>
      <c r="D10" s="3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43">
        <v>33687914</v>
      </c>
      <c r="M10" s="9"/>
      <c r="N10" s="9">
        <v>33698338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9">
        <v>0</v>
      </c>
      <c r="I17" s="9"/>
      <c r="J17" s="9"/>
      <c r="K17" s="9"/>
      <c r="L17" s="9"/>
      <c r="M17" s="9"/>
      <c r="N17" s="2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0">
        <f>123975+9311</f>
        <v>133286</v>
      </c>
      <c r="C18" s="40">
        <f>2406+560</f>
        <v>2966</v>
      </c>
      <c r="D18" s="9">
        <v>0</v>
      </c>
      <c r="E18" s="9">
        <v>0</v>
      </c>
      <c r="F18" s="9">
        <v>39374</v>
      </c>
      <c r="G18" s="9">
        <v>101421</v>
      </c>
      <c r="H18" s="9">
        <v>0</v>
      </c>
      <c r="I18" s="9"/>
      <c r="J18" s="9"/>
      <c r="K18" s="9"/>
      <c r="L18" s="9"/>
      <c r="M18" s="9"/>
      <c r="N18" s="40">
        <f>143201+560</f>
        <v>143761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6147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39">
        <f>0.33*B20</f>
        <v>2028.51</v>
      </c>
      <c r="N20" s="40">
        <v>2029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432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5" t="s">
        <v>77</v>
      </c>
      <c r="B22" s="40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139865</v>
      </c>
      <c r="C23" s="9">
        <f>2406+560</f>
        <v>2966</v>
      </c>
      <c r="D23" s="9">
        <v>0</v>
      </c>
      <c r="E23" s="9">
        <v>0</v>
      </c>
      <c r="F23" s="9">
        <v>39374</v>
      </c>
      <c r="G23" s="9">
        <v>101421</v>
      </c>
      <c r="H23" s="9">
        <v>0</v>
      </c>
      <c r="I23" s="9"/>
      <c r="J23" s="9"/>
      <c r="K23" s="9"/>
      <c r="L23" s="9"/>
      <c r="M23" s="40">
        <v>2029</v>
      </c>
      <c r="N23" s="40">
        <f>SUM(N18:N22)</f>
        <v>145790</v>
      </c>
      <c r="O23" s="3"/>
      <c r="P23" s="3"/>
      <c r="Q23" s="3"/>
      <c r="R23" s="3" t="s">
        <v>26</v>
      </c>
      <c r="S23" s="12">
        <f>N42/1000</f>
        <v>34572.082040000001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366.63504</v>
      </c>
      <c r="T26" s="14">
        <f>M43</f>
        <v>1.0604945330622615E-2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164.39099999999999</v>
      </c>
      <c r="T27" s="15">
        <f>G43</f>
        <v>4.7550216909065281E-3</v>
      </c>
    </row>
    <row r="28" spans="1:20" ht="15">
      <c r="A28" s="4" t="s">
        <v>69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59.164999999999999</v>
      </c>
      <c r="T29" s="14">
        <f>F43</f>
        <v>1.7113519495743973E-3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2.8239999999999998</v>
      </c>
      <c r="T30" s="14">
        <f>E43</f>
        <v>8.1684406415923226E-5</v>
      </c>
    </row>
    <row r="31" spans="1:20" ht="15">
      <c r="A31" s="5" t="s">
        <v>35</v>
      </c>
      <c r="B31" s="9">
        <v>0</v>
      </c>
      <c r="C31" s="9">
        <v>7744</v>
      </c>
      <c r="D31" s="9">
        <v>0</v>
      </c>
      <c r="E31" s="9">
        <v>0</v>
      </c>
      <c r="F31" s="9">
        <v>775</v>
      </c>
      <c r="G31" s="9">
        <v>0</v>
      </c>
      <c r="H31" s="9">
        <v>0</v>
      </c>
      <c r="I31" s="9"/>
      <c r="J31" s="9"/>
      <c r="K31" s="9"/>
      <c r="L31" s="9"/>
      <c r="M31" s="9">
        <v>6545</v>
      </c>
      <c r="N31" s="9">
        <v>15064</v>
      </c>
      <c r="O31" s="17">
        <f>N31/N$39</f>
        <v>1.8073966002130865E-2</v>
      </c>
      <c r="P31" s="18" t="s">
        <v>36</v>
      </c>
      <c r="Q31" s="3"/>
      <c r="R31" s="3" t="s">
        <v>37</v>
      </c>
      <c r="S31" s="13">
        <f>C42/1000</f>
        <v>291.15300000000002</v>
      </c>
      <c r="T31" s="15">
        <f>C43</f>
        <v>8.4216218063793528E-3</v>
      </c>
    </row>
    <row r="32" spans="1:20" ht="15">
      <c r="A32" s="5" t="s">
        <v>38</v>
      </c>
      <c r="B32" s="9">
        <v>47260</v>
      </c>
      <c r="C32" s="9">
        <v>55304</v>
      </c>
      <c r="D32" s="9">
        <v>0</v>
      </c>
      <c r="E32" s="41">
        <f>3403*0.83</f>
        <v>2824.49</v>
      </c>
      <c r="F32" s="9">
        <v>234</v>
      </c>
      <c r="G32" s="41">
        <f>3403*0.17</f>
        <v>578.51</v>
      </c>
      <c r="H32" s="9">
        <v>0</v>
      </c>
      <c r="I32" s="9"/>
      <c r="J32" s="9"/>
      <c r="K32" s="9"/>
      <c r="L32" s="9"/>
      <c r="M32" s="9">
        <v>106163</v>
      </c>
      <c r="N32" s="9">
        <v>212364</v>
      </c>
      <c r="O32" s="17">
        <f>N32/N$39</f>
        <v>0.25479684785425644</v>
      </c>
      <c r="P32" s="18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12631</v>
      </c>
      <c r="C33" s="9">
        <v>6831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53077</v>
      </c>
      <c r="N33" s="9">
        <v>72539</v>
      </c>
      <c r="O33" s="17">
        <f>N33/N$39</f>
        <v>8.7033153201577992E-2</v>
      </c>
      <c r="P33" s="18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205814</v>
      </c>
      <c r="D34" s="9">
        <v>0</v>
      </c>
      <c r="E34" s="9">
        <v>0</v>
      </c>
      <c r="F34" s="9">
        <v>18783</v>
      </c>
      <c r="G34" s="9">
        <v>0</v>
      </c>
      <c r="H34" s="9">
        <v>0</v>
      </c>
      <c r="I34" s="9"/>
      <c r="J34" s="9"/>
      <c r="K34" s="9"/>
      <c r="L34" s="9"/>
      <c r="M34" s="9">
        <v>956</v>
      </c>
      <c r="N34" s="9">
        <v>225552</v>
      </c>
      <c r="O34" s="17">
        <f>N34/N$39</f>
        <v>0.27061996678920747</v>
      </c>
      <c r="P34" s="18" t="s">
        <v>44</v>
      </c>
      <c r="Q34" s="3"/>
      <c r="R34" s="3"/>
      <c r="S34" s="13">
        <f>SUM(S26:S33)</f>
        <v>884.16803999999991</v>
      </c>
      <c r="T34" s="14">
        <f>SUM(T26:T33)</f>
        <v>2.5574625183898816E-2</v>
      </c>
    </row>
    <row r="35" spans="1:47" ht="15">
      <c r="A35" s="5" t="s">
        <v>45</v>
      </c>
      <c r="B35" s="9">
        <v>10673</v>
      </c>
      <c r="C35" s="9">
        <v>424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69674</v>
      </c>
      <c r="N35" s="9">
        <v>80771</v>
      </c>
      <c r="O35" s="17">
        <f>N35/N$39</f>
        <v>9.6910004511292627E-2</v>
      </c>
      <c r="P35" s="18" t="s">
        <v>46</v>
      </c>
      <c r="Q35" s="18"/>
    </row>
    <row r="36" spans="1:47" ht="15">
      <c r="A36" s="5" t="s">
        <v>47</v>
      </c>
      <c r="B36" s="9">
        <v>4776</v>
      </c>
      <c r="C36" s="9">
        <v>1514</v>
      </c>
      <c r="D36" s="9">
        <v>0</v>
      </c>
      <c r="E36" s="9">
        <v>0</v>
      </c>
      <c r="F36" s="9">
        <v>0</v>
      </c>
      <c r="G36" s="9">
        <v>62391</v>
      </c>
      <c r="H36" s="9">
        <v>0</v>
      </c>
      <c r="I36" s="9"/>
      <c r="J36" s="9"/>
      <c r="K36" s="9"/>
      <c r="L36" s="9"/>
      <c r="M36" s="9">
        <v>79380</v>
      </c>
      <c r="N36" s="9">
        <v>148062</v>
      </c>
      <c r="O36" s="18"/>
      <c r="P36" s="18"/>
      <c r="Q36" s="3"/>
      <c r="R36" s="7"/>
      <c r="S36" s="7"/>
      <c r="T36" s="7"/>
    </row>
    <row r="37" spans="1:47" ht="15">
      <c r="A37" s="5" t="s">
        <v>48</v>
      </c>
      <c r="B37" s="9">
        <v>56963</v>
      </c>
      <c r="C37" s="9">
        <v>131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13469</v>
      </c>
      <c r="N37" s="9">
        <v>70563</v>
      </c>
      <c r="O37" s="18"/>
      <c r="P37" s="18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8549</v>
      </c>
      <c r="N38" s="9">
        <v>8549</v>
      </c>
      <c r="O38" s="18">
        <f>SUM(O31:O35)</f>
        <v>0.72743393835846537</v>
      </c>
      <c r="P38" s="18"/>
      <c r="Q38" s="3"/>
      <c r="R38" s="7" t="s">
        <v>50</v>
      </c>
      <c r="S38" s="19">
        <f>N45/1000</f>
        <v>34.587040000000002</v>
      </c>
      <c r="T38" s="7"/>
    </row>
    <row r="39" spans="1:47" ht="15">
      <c r="A39" s="5" t="s">
        <v>17</v>
      </c>
      <c r="B39" s="9">
        <v>132303</v>
      </c>
      <c r="C39" s="9">
        <v>277763</v>
      </c>
      <c r="D39" s="9">
        <v>0</v>
      </c>
      <c r="E39" s="41">
        <v>2824</v>
      </c>
      <c r="F39" s="9">
        <v>19791</v>
      </c>
      <c r="G39" s="41">
        <f>62391+579</f>
        <v>62970</v>
      </c>
      <c r="H39" s="9">
        <v>0</v>
      </c>
      <c r="I39" s="9"/>
      <c r="J39" s="9"/>
      <c r="K39" s="9"/>
      <c r="L39" s="9"/>
      <c r="M39" s="9">
        <v>337813</v>
      </c>
      <c r="N39" s="9">
        <v>833464</v>
      </c>
      <c r="O39" s="3"/>
      <c r="P39" s="3"/>
      <c r="Q39" s="3"/>
      <c r="R39" s="7" t="s">
        <v>51</v>
      </c>
      <c r="S39" s="20">
        <f>N41/1000</f>
        <v>227.17400000000001</v>
      </c>
      <c r="T39" s="14">
        <f>O41</f>
        <v>0.27256606164153463</v>
      </c>
    </row>
    <row r="40" spans="1:47">
      <c r="R40" s="7" t="s">
        <v>52</v>
      </c>
      <c r="S40" s="20">
        <f>N35/1000</f>
        <v>80.771000000000001</v>
      </c>
      <c r="T40" s="15">
        <f>O35</f>
        <v>9.6910004511292627E-2</v>
      </c>
    </row>
    <row r="41" spans="1:47" ht="15">
      <c r="A41" s="21" t="s">
        <v>53</v>
      </c>
      <c r="B41" s="22">
        <f>B38+B37+B36</f>
        <v>61739</v>
      </c>
      <c r="C41" s="22">
        <f t="shared" ref="C41:N41" si="0">C38+C37+C36</f>
        <v>1645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62391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101398</v>
      </c>
      <c r="N41" s="22">
        <f t="shared" si="0"/>
        <v>227174</v>
      </c>
      <c r="O41" s="17">
        <f>N41/N$39</f>
        <v>0.27256606164153463</v>
      </c>
      <c r="P41" s="17" t="s">
        <v>54</v>
      </c>
      <c r="Q41" s="7"/>
      <c r="R41" s="7" t="s">
        <v>55</v>
      </c>
      <c r="S41" s="20">
        <f>N33/1000</f>
        <v>72.539000000000001</v>
      </c>
      <c r="T41" s="14">
        <f>O33</f>
        <v>8.7033153201577992E-2</v>
      </c>
    </row>
    <row r="42" spans="1:47" ht="15">
      <c r="A42" s="23" t="s">
        <v>56</v>
      </c>
      <c r="B42" s="22"/>
      <c r="C42" s="24">
        <f>C39+C23+C10</f>
        <v>291153</v>
      </c>
      <c r="D42" s="24">
        <f t="shared" ref="D42:L42" si="1">D39+D23+D10</f>
        <v>0</v>
      </c>
      <c r="E42" s="24">
        <f t="shared" si="1"/>
        <v>2824</v>
      </c>
      <c r="F42" s="24">
        <f t="shared" si="1"/>
        <v>59165</v>
      </c>
      <c r="G42" s="24">
        <f t="shared" si="1"/>
        <v>164391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33687914</v>
      </c>
      <c r="M42" s="24">
        <f>M39+M23-B6+M45</f>
        <v>366635.04</v>
      </c>
      <c r="N42" s="25">
        <f>SUM(C42:M42)</f>
        <v>34572082.039999999</v>
      </c>
      <c r="O42" s="7"/>
      <c r="P42" s="7"/>
      <c r="Q42" s="7"/>
      <c r="R42" s="7" t="s">
        <v>36</v>
      </c>
      <c r="S42" s="20">
        <f>N31/1000</f>
        <v>15.064</v>
      </c>
      <c r="T42" s="14">
        <f>O31</f>
        <v>1.8073966002130865E-2</v>
      </c>
    </row>
    <row r="43" spans="1:47" ht="15">
      <c r="A43" s="23" t="s">
        <v>57</v>
      </c>
      <c r="B43" s="22"/>
      <c r="C43" s="17">
        <f t="shared" ref="C43:M43" si="2">C42/$N42</f>
        <v>8.4216218063793528E-3</v>
      </c>
      <c r="D43" s="17">
        <f t="shared" si="2"/>
        <v>0</v>
      </c>
      <c r="E43" s="17">
        <f t="shared" si="2"/>
        <v>8.1684406415923226E-5</v>
      </c>
      <c r="F43" s="17">
        <f t="shared" si="2"/>
        <v>1.7113519495743973E-3</v>
      </c>
      <c r="G43" s="17">
        <f t="shared" si="2"/>
        <v>4.7550216909065281E-3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0.97442537481610125</v>
      </c>
      <c r="M43" s="17">
        <f t="shared" si="2"/>
        <v>1.0604945330622615E-2</v>
      </c>
      <c r="N43" s="17">
        <f>SUM(C43:M43)</f>
        <v>1</v>
      </c>
      <c r="O43" s="7"/>
      <c r="P43" s="7"/>
      <c r="Q43" s="7"/>
      <c r="R43" s="7" t="s">
        <v>58</v>
      </c>
      <c r="S43" s="20">
        <f>N32/1000</f>
        <v>212.364</v>
      </c>
      <c r="T43" s="15">
        <f>O32</f>
        <v>0.25479684785425644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0">
        <f>N34/1000</f>
        <v>225.55199999999999</v>
      </c>
      <c r="T44" s="15">
        <f>O34</f>
        <v>0.27061996678920747</v>
      </c>
    </row>
    <row r="45" spans="1:47" ht="15">
      <c r="A45" s="6" t="s">
        <v>60</v>
      </c>
      <c r="B45" s="6">
        <f>B23-B39</f>
        <v>7562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27025.040000000001</v>
      </c>
      <c r="N45" s="25">
        <f>B45+M45</f>
        <v>34587.040000000001</v>
      </c>
      <c r="O45" s="7"/>
      <c r="P45" s="7"/>
      <c r="Q45" s="7"/>
      <c r="R45" s="7" t="s">
        <v>61</v>
      </c>
      <c r="S45" s="20">
        <f>SUM(S39:S44)</f>
        <v>833.46400000000006</v>
      </c>
      <c r="T45" s="14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73</v>
      </c>
      <c r="B47" s="38">
        <f>(B23-B39)/B23</f>
        <v>5.4066421191863584E-2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8"/>
      <c r="G48" s="27"/>
      <c r="H48" s="28"/>
      <c r="I48" s="9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8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8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8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AU70"/>
  <sheetViews>
    <sheetView zoomScale="125" zoomScaleNormal="125" zoomScalePageLayoutView="125" workbookViewId="0">
      <selection activeCell="B18" sqref="B18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71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71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0">
        <f>10302+117369</f>
        <v>127671</v>
      </c>
      <c r="C18" s="9">
        <v>3716</v>
      </c>
      <c r="D18" s="9">
        <v>0</v>
      </c>
      <c r="E18" s="9">
        <v>0</v>
      </c>
      <c r="F18" s="9">
        <v>7335</v>
      </c>
      <c r="G18" s="9">
        <v>128104</v>
      </c>
      <c r="H18" s="9">
        <v>2734</v>
      </c>
      <c r="I18" s="9"/>
      <c r="J18" s="9"/>
      <c r="K18" s="9"/>
      <c r="L18" s="9"/>
      <c r="M18" s="9"/>
      <c r="N18" s="9">
        <v>141889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5279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5" t="s">
        <v>77</v>
      </c>
      <c r="B22" s="40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132950</v>
      </c>
      <c r="C23" s="9">
        <v>3716</v>
      </c>
      <c r="D23" s="9">
        <v>0</v>
      </c>
      <c r="E23" s="9">
        <v>0</v>
      </c>
      <c r="F23" s="9">
        <v>7335</v>
      </c>
      <c r="G23" s="9">
        <v>128104</v>
      </c>
      <c r="H23" s="9">
        <v>2734</v>
      </c>
      <c r="I23" s="9"/>
      <c r="J23" s="9"/>
      <c r="K23" s="9"/>
      <c r="L23" s="9"/>
      <c r="M23" s="9"/>
      <c r="N23" s="9">
        <v>141889</v>
      </c>
      <c r="O23" s="3"/>
      <c r="P23" s="3"/>
      <c r="Q23" s="3"/>
      <c r="R23" s="3" t="s">
        <v>26</v>
      </c>
      <c r="S23" s="12">
        <f>N42/1000</f>
        <v>714.52228000000002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260.54028</v>
      </c>
      <c r="T26" s="14">
        <f>M43</f>
        <v>0.36463562759722479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203.86</v>
      </c>
      <c r="T27" s="15">
        <f>G43</f>
        <v>0.28530950777350145</v>
      </c>
    </row>
    <row r="28" spans="1:20" ht="15">
      <c r="A28" s="4" t="s">
        <v>71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23.404</v>
      </c>
      <c r="T29" s="14">
        <f>F43</f>
        <v>3.2754751888212641E-2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26.788</v>
      </c>
      <c r="T30" s="14">
        <f>E43</f>
        <v>3.7490783352479927E-2</v>
      </c>
    </row>
    <row r="31" spans="1:20" ht="15">
      <c r="A31" s="5" t="s">
        <v>35</v>
      </c>
      <c r="B31" s="9">
        <v>0</v>
      </c>
      <c r="C31" s="9">
        <v>10189</v>
      </c>
      <c r="D31" s="9">
        <v>0</v>
      </c>
      <c r="E31" s="9">
        <v>0</v>
      </c>
      <c r="F31" s="9">
        <v>1057</v>
      </c>
      <c r="G31" s="9">
        <v>0</v>
      </c>
      <c r="H31" s="9">
        <v>0</v>
      </c>
      <c r="I31" s="9"/>
      <c r="J31" s="9"/>
      <c r="K31" s="9"/>
      <c r="L31" s="9"/>
      <c r="M31" s="9">
        <v>14085</v>
      </c>
      <c r="N31" s="9">
        <v>25331</v>
      </c>
      <c r="O31" s="17">
        <f>N31/N$39</f>
        <v>3.8072034917275878E-2</v>
      </c>
      <c r="P31" s="18" t="s">
        <v>36</v>
      </c>
      <c r="Q31" s="3"/>
      <c r="R31" s="3" t="s">
        <v>37</v>
      </c>
      <c r="S31" s="13">
        <f>C42/1000</f>
        <v>197.196</v>
      </c>
      <c r="T31" s="15">
        <f>C43</f>
        <v>0.27598299663937698</v>
      </c>
    </row>
    <row r="32" spans="1:20" ht="15">
      <c r="A32" s="5" t="s">
        <v>38</v>
      </c>
      <c r="B32" s="9">
        <v>13923</v>
      </c>
      <c r="C32" s="9">
        <v>29979</v>
      </c>
      <c r="D32" s="9">
        <v>0</v>
      </c>
      <c r="E32" s="9">
        <v>26788</v>
      </c>
      <c r="F32" s="9">
        <v>1041</v>
      </c>
      <c r="G32" s="9">
        <v>30216</v>
      </c>
      <c r="H32" s="9">
        <v>0</v>
      </c>
      <c r="I32" s="9"/>
      <c r="J32" s="9"/>
      <c r="K32" s="9"/>
      <c r="L32" s="9"/>
      <c r="M32" s="9">
        <v>136007</v>
      </c>
      <c r="N32" s="9">
        <v>237954</v>
      </c>
      <c r="O32" s="17">
        <f>N32/N$39</f>
        <v>0.3576405588687957</v>
      </c>
      <c r="P32" s="18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18232</v>
      </c>
      <c r="C33" s="9">
        <v>421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15909</v>
      </c>
      <c r="N33" s="9">
        <v>34562</v>
      </c>
      <c r="O33" s="17">
        <f>N33/N$39</f>
        <v>5.1946060984994227E-2</v>
      </c>
      <c r="P33" s="18" t="s">
        <v>42</v>
      </c>
      <c r="Q33" s="3"/>
      <c r="R33" s="3" t="s">
        <v>7</v>
      </c>
      <c r="S33" s="13">
        <f>H42/1000</f>
        <v>2.734</v>
      </c>
      <c r="T33" s="14">
        <f>H43</f>
        <v>3.8263327492041254E-3</v>
      </c>
    </row>
    <row r="34" spans="1:47" ht="15">
      <c r="A34" s="5" t="s">
        <v>43</v>
      </c>
      <c r="B34" s="9">
        <v>0</v>
      </c>
      <c r="C34" s="9">
        <v>148014</v>
      </c>
      <c r="D34" s="9">
        <v>0</v>
      </c>
      <c r="E34" s="9">
        <v>0</v>
      </c>
      <c r="F34" s="9">
        <v>13971</v>
      </c>
      <c r="G34" s="9">
        <v>0</v>
      </c>
      <c r="H34" s="9">
        <v>0</v>
      </c>
      <c r="I34" s="9"/>
      <c r="J34" s="9"/>
      <c r="K34" s="9"/>
      <c r="L34" s="9"/>
      <c r="M34" s="9">
        <v>483</v>
      </c>
      <c r="N34" s="9">
        <v>162467</v>
      </c>
      <c r="O34" s="17">
        <f>N34/N$39</f>
        <v>0.24418496296652559</v>
      </c>
      <c r="P34" s="18" t="s">
        <v>44</v>
      </c>
      <c r="Q34" s="3"/>
      <c r="R34" s="3"/>
      <c r="S34" s="13">
        <f>SUM(S26:S33)</f>
        <v>714.52228000000002</v>
      </c>
      <c r="T34" s="14">
        <f>SUM(T26:T33)</f>
        <v>0.99999999999999978</v>
      </c>
    </row>
    <row r="35" spans="1:47" ht="15">
      <c r="A35" s="5" t="s">
        <v>45</v>
      </c>
      <c r="B35" s="9">
        <v>20849</v>
      </c>
      <c r="C35" s="9">
        <v>3968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27112</v>
      </c>
      <c r="N35" s="9">
        <v>51929</v>
      </c>
      <c r="O35" s="17">
        <f>N35/N$39</f>
        <v>7.80483479222778E-2</v>
      </c>
      <c r="P35" s="18" t="s">
        <v>46</v>
      </c>
      <c r="Q35" s="18"/>
    </row>
    <row r="36" spans="1:47" ht="15">
      <c r="A36" s="5" t="s">
        <v>47</v>
      </c>
      <c r="B36" s="9">
        <v>33094</v>
      </c>
      <c r="C36" s="9">
        <v>627</v>
      </c>
      <c r="D36" s="9">
        <v>0</v>
      </c>
      <c r="E36" s="9">
        <v>0</v>
      </c>
      <c r="F36" s="9">
        <v>0</v>
      </c>
      <c r="G36" s="9">
        <v>45539</v>
      </c>
      <c r="H36" s="9">
        <v>0</v>
      </c>
      <c r="I36" s="9"/>
      <c r="J36" s="9"/>
      <c r="K36" s="9"/>
      <c r="L36" s="9"/>
      <c r="M36" s="9">
        <v>37593</v>
      </c>
      <c r="N36" s="9">
        <v>116853</v>
      </c>
      <c r="O36" s="18"/>
      <c r="P36" s="18"/>
      <c r="Q36" s="3"/>
      <c r="R36" s="7"/>
      <c r="S36" s="7"/>
      <c r="T36" s="7"/>
    </row>
    <row r="37" spans="1:47" ht="15">
      <c r="A37" s="5" t="s">
        <v>48</v>
      </c>
      <c r="B37" s="9">
        <v>25913</v>
      </c>
      <c r="C37" s="9">
        <v>282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7415</v>
      </c>
      <c r="N37" s="9">
        <v>33610</v>
      </c>
      <c r="O37" s="18"/>
      <c r="P37" s="18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2637</v>
      </c>
      <c r="N38" s="9">
        <v>2637</v>
      </c>
      <c r="O38" s="18">
        <f>SUM(O31:O35)</f>
        <v>0.76989196565986917</v>
      </c>
      <c r="P38" s="18"/>
      <c r="Q38" s="3"/>
      <c r="R38" s="7" t="s">
        <v>50</v>
      </c>
      <c r="S38" s="19">
        <f>N45/1000</f>
        <v>40.238279999999996</v>
      </c>
      <c r="T38" s="7"/>
    </row>
    <row r="39" spans="1:47" ht="15">
      <c r="A39" s="5" t="s">
        <v>17</v>
      </c>
      <c r="B39" s="9">
        <v>112011</v>
      </c>
      <c r="C39" s="9">
        <v>193480</v>
      </c>
      <c r="D39" s="9">
        <v>0</v>
      </c>
      <c r="E39" s="9">
        <v>26788</v>
      </c>
      <c r="F39" s="9">
        <v>16069</v>
      </c>
      <c r="G39" s="9">
        <v>75756</v>
      </c>
      <c r="H39" s="9">
        <v>0</v>
      </c>
      <c r="I39" s="9"/>
      <c r="J39" s="9"/>
      <c r="K39" s="9"/>
      <c r="L39" s="9"/>
      <c r="M39" s="9">
        <v>241241</v>
      </c>
      <c r="N39" s="9">
        <v>665344</v>
      </c>
      <c r="O39" s="3"/>
      <c r="P39" s="3"/>
      <c r="Q39" s="3"/>
      <c r="R39" s="7" t="s">
        <v>51</v>
      </c>
      <c r="S39" s="20">
        <f>N41/1000</f>
        <v>153.1</v>
      </c>
      <c r="T39" s="14">
        <f>O41</f>
        <v>0.23010653135821471</v>
      </c>
    </row>
    <row r="40" spans="1:47">
      <c r="R40" s="7" t="s">
        <v>52</v>
      </c>
      <c r="S40" s="20">
        <f>N35/1000</f>
        <v>51.929000000000002</v>
      </c>
      <c r="T40" s="15">
        <f>O35</f>
        <v>7.80483479222778E-2</v>
      </c>
    </row>
    <row r="41" spans="1:47" ht="15">
      <c r="A41" s="21" t="s">
        <v>53</v>
      </c>
      <c r="B41" s="22">
        <f>B38+B37+B36</f>
        <v>59007</v>
      </c>
      <c r="C41" s="22">
        <f t="shared" ref="C41:N41" si="0">C38+C37+C36</f>
        <v>909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45539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47645</v>
      </c>
      <c r="N41" s="22">
        <f t="shared" si="0"/>
        <v>153100</v>
      </c>
      <c r="O41" s="17">
        <f>N41/N$39</f>
        <v>0.23010653135821471</v>
      </c>
      <c r="P41" s="17" t="s">
        <v>54</v>
      </c>
      <c r="Q41" s="7"/>
      <c r="R41" s="7" t="s">
        <v>55</v>
      </c>
      <c r="S41" s="20">
        <f>N33/1000</f>
        <v>34.561999999999998</v>
      </c>
      <c r="T41" s="14">
        <f>O33</f>
        <v>5.1946060984994227E-2</v>
      </c>
    </row>
    <row r="42" spans="1:47" ht="15">
      <c r="A42" s="23" t="s">
        <v>56</v>
      </c>
      <c r="B42" s="22"/>
      <c r="C42" s="24">
        <f>C39+C23+C10</f>
        <v>197196</v>
      </c>
      <c r="D42" s="24">
        <f t="shared" ref="D42:L42" si="1">D39+D23+D10</f>
        <v>0</v>
      </c>
      <c r="E42" s="24">
        <f t="shared" si="1"/>
        <v>26788</v>
      </c>
      <c r="F42" s="24">
        <f t="shared" si="1"/>
        <v>23404</v>
      </c>
      <c r="G42" s="24">
        <f t="shared" si="1"/>
        <v>203860</v>
      </c>
      <c r="H42" s="24">
        <f t="shared" si="1"/>
        <v>2734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260540.28</v>
      </c>
      <c r="N42" s="25">
        <f>SUM(C42:M42)</f>
        <v>714522.28</v>
      </c>
      <c r="O42" s="7"/>
      <c r="P42" s="7"/>
      <c r="Q42" s="7"/>
      <c r="R42" s="7" t="s">
        <v>36</v>
      </c>
      <c r="S42" s="20">
        <f>N31/1000</f>
        <v>25.331</v>
      </c>
      <c r="T42" s="14">
        <f>O31</f>
        <v>3.8072034917275878E-2</v>
      </c>
    </row>
    <row r="43" spans="1:47" ht="15">
      <c r="A43" s="23" t="s">
        <v>57</v>
      </c>
      <c r="B43" s="22"/>
      <c r="C43" s="17">
        <f t="shared" ref="C43:M43" si="2">C42/$N42</f>
        <v>0.27598299663937698</v>
      </c>
      <c r="D43" s="17">
        <f t="shared" si="2"/>
        <v>0</v>
      </c>
      <c r="E43" s="17">
        <f t="shared" si="2"/>
        <v>3.7490783352479927E-2</v>
      </c>
      <c r="F43" s="17">
        <f t="shared" si="2"/>
        <v>3.2754751888212641E-2</v>
      </c>
      <c r="G43" s="17">
        <f t="shared" si="2"/>
        <v>0.28530950777350145</v>
      </c>
      <c r="H43" s="17">
        <f t="shared" si="2"/>
        <v>3.8263327492041254E-3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0.36463562759722479</v>
      </c>
      <c r="N43" s="17">
        <f>SUM(C43:M43)</f>
        <v>0.99999999999999989</v>
      </c>
      <c r="O43" s="7"/>
      <c r="P43" s="7"/>
      <c r="Q43" s="7"/>
      <c r="R43" s="7" t="s">
        <v>58</v>
      </c>
      <c r="S43" s="20">
        <f>N32/1000</f>
        <v>237.95400000000001</v>
      </c>
      <c r="T43" s="15">
        <f>O32</f>
        <v>0.3576405588687957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0">
        <f>N34/1000</f>
        <v>162.46700000000001</v>
      </c>
      <c r="T44" s="15">
        <f>O34</f>
        <v>0.24418496296652559</v>
      </c>
    </row>
    <row r="45" spans="1:47" ht="15">
      <c r="A45" s="6" t="s">
        <v>60</v>
      </c>
      <c r="B45" s="6">
        <f>B23-B39</f>
        <v>20939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19299.28</v>
      </c>
      <c r="N45" s="25">
        <f>B45+M45</f>
        <v>40238.28</v>
      </c>
      <c r="O45" s="7"/>
      <c r="P45" s="7"/>
      <c r="Q45" s="7"/>
      <c r="R45" s="7" t="s">
        <v>61</v>
      </c>
      <c r="S45" s="20">
        <f>SUM(S39:S44)</f>
        <v>665.34300000000007</v>
      </c>
      <c r="T45" s="14">
        <f>SUM(T39:T44)</f>
        <v>0.99999849701808396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73</v>
      </c>
      <c r="B47" s="38">
        <f>(B23-B39)/B23</f>
        <v>0.15749529898458067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/>
  <dimension ref="A1:AU70"/>
  <sheetViews>
    <sheetView zoomScale="125" zoomScaleNormal="125" zoomScalePageLayoutView="125" workbookViewId="0">
      <selection activeCell="A25" sqref="A25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72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245040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245040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72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0">
        <f>4067+30812</f>
        <v>34879</v>
      </c>
      <c r="C18" s="9">
        <v>209</v>
      </c>
      <c r="D18" s="9">
        <v>0</v>
      </c>
      <c r="E18" s="9">
        <v>0</v>
      </c>
      <c r="F18" s="9">
        <v>0</v>
      </c>
      <c r="G18" s="9">
        <v>34463</v>
      </c>
      <c r="H18" s="9">
        <v>0</v>
      </c>
      <c r="I18" s="9"/>
      <c r="J18" s="9"/>
      <c r="K18" s="9"/>
      <c r="L18" s="9"/>
      <c r="M18" s="9"/>
      <c r="N18" s="9">
        <v>34672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5" t="s">
        <v>77</v>
      </c>
      <c r="B22" s="40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34879</v>
      </c>
      <c r="C23" s="9">
        <v>209</v>
      </c>
      <c r="D23" s="9">
        <v>0</v>
      </c>
      <c r="E23" s="9">
        <v>0</v>
      </c>
      <c r="F23" s="9">
        <v>0</v>
      </c>
      <c r="G23" s="9">
        <v>34463</v>
      </c>
      <c r="H23" s="9">
        <v>0</v>
      </c>
      <c r="I23" s="9"/>
      <c r="J23" s="9"/>
      <c r="K23" s="9"/>
      <c r="L23" s="9"/>
      <c r="M23" s="9"/>
      <c r="N23" s="9">
        <v>34672</v>
      </c>
      <c r="O23" s="3"/>
      <c r="P23" s="3"/>
      <c r="Q23" s="3"/>
      <c r="R23" s="3" t="s">
        <v>26</v>
      </c>
      <c r="S23" s="12">
        <f>N42/1000</f>
        <v>365.23371999999995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163.73772</v>
      </c>
      <c r="T26" s="14">
        <f>M43</f>
        <v>0.44830942772753846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64.478999999999999</v>
      </c>
      <c r="T27" s="15">
        <f>G43</f>
        <v>0.17654174975957862</v>
      </c>
    </row>
    <row r="28" spans="1:20" ht="15">
      <c r="A28" s="4" t="s">
        <v>72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10.95</v>
      </c>
      <c r="T29" s="14">
        <f>F43</f>
        <v>2.9980802429742798E-2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0</v>
      </c>
      <c r="T30" s="14">
        <f>E43</f>
        <v>0</v>
      </c>
    </row>
    <row r="31" spans="1:20" ht="15">
      <c r="A31" s="5" t="s">
        <v>35</v>
      </c>
      <c r="B31" s="9">
        <v>0</v>
      </c>
      <c r="C31" s="41">
        <f>C39-SUM(C32:C38)</f>
        <v>23957</v>
      </c>
      <c r="D31" s="9">
        <v>0</v>
      </c>
      <c r="E31" s="9">
        <v>0</v>
      </c>
      <c r="F31" s="41">
        <f>N31-C31-M31</f>
        <v>2569</v>
      </c>
      <c r="G31" s="9">
        <v>0</v>
      </c>
      <c r="H31" s="9">
        <v>0</v>
      </c>
      <c r="I31" s="9"/>
      <c r="J31" s="9"/>
      <c r="K31" s="9"/>
      <c r="L31" s="9"/>
      <c r="M31" s="9">
        <v>23701</v>
      </c>
      <c r="N31" s="9">
        <v>50227</v>
      </c>
      <c r="O31" s="17">
        <f>N31/N$39</f>
        <v>0.14445166634072268</v>
      </c>
      <c r="P31" s="18" t="s">
        <v>36</v>
      </c>
      <c r="Q31" s="3"/>
      <c r="R31" s="3" t="s">
        <v>37</v>
      </c>
      <c r="S31" s="13">
        <f>C42/1000</f>
        <v>126.06699999999999</v>
      </c>
      <c r="T31" s="15">
        <f>C43</f>
        <v>0.34516802008314024</v>
      </c>
    </row>
    <row r="32" spans="1:20" ht="15">
      <c r="A32" s="5" t="s">
        <v>38</v>
      </c>
      <c r="B32" s="9">
        <v>400</v>
      </c>
      <c r="C32" s="9">
        <v>2057</v>
      </c>
      <c r="D32" s="9">
        <v>0</v>
      </c>
      <c r="E32" s="9">
        <v>0</v>
      </c>
      <c r="F32" s="41">
        <f>(F39-F34-F31)</f>
        <v>43</v>
      </c>
      <c r="G32" s="42">
        <f>G39-G36</f>
        <v>87</v>
      </c>
      <c r="H32" s="9">
        <v>0</v>
      </c>
      <c r="I32" s="9"/>
      <c r="J32" s="9"/>
      <c r="K32" s="9"/>
      <c r="L32" s="9"/>
      <c r="M32" s="9">
        <v>7062</v>
      </c>
      <c r="N32" s="9">
        <v>9649</v>
      </c>
      <c r="O32" s="17">
        <f>N32/N$39</f>
        <v>2.7750296225568582E-2</v>
      </c>
      <c r="P32" s="18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6069</v>
      </c>
      <c r="C33" s="9">
        <v>1081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9751</v>
      </c>
      <c r="N33" s="9">
        <v>16901</v>
      </c>
      <c r="O33" s="17">
        <f>N33/N$39</f>
        <v>4.8606877034753297E-2</v>
      </c>
      <c r="P33" s="18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96991</v>
      </c>
      <c r="D34" s="9">
        <v>0</v>
      </c>
      <c r="E34" s="9">
        <v>0</v>
      </c>
      <c r="F34" s="9">
        <v>8338</v>
      </c>
      <c r="G34" s="9">
        <v>0</v>
      </c>
      <c r="H34" s="9">
        <v>0</v>
      </c>
      <c r="I34" s="9"/>
      <c r="J34" s="9"/>
      <c r="K34" s="9"/>
      <c r="L34" s="9"/>
      <c r="M34" s="9">
        <v>35</v>
      </c>
      <c r="N34" s="9">
        <v>105364</v>
      </c>
      <c r="O34" s="17">
        <f>N34/N$39</f>
        <v>0.30302437677591543</v>
      </c>
      <c r="P34" s="18" t="s">
        <v>44</v>
      </c>
      <c r="Q34" s="3"/>
      <c r="R34" s="3"/>
      <c r="S34" s="13">
        <f>SUM(S26:S33)</f>
        <v>365.23372000000001</v>
      </c>
      <c r="T34" s="14">
        <f>SUM(T26:T33)</f>
        <v>1</v>
      </c>
    </row>
    <row r="35" spans="1:47" ht="15">
      <c r="A35" s="5" t="s">
        <v>45</v>
      </c>
      <c r="B35" s="9">
        <v>6322</v>
      </c>
      <c r="C35" s="9">
        <v>1117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33227</v>
      </c>
      <c r="N35" s="9">
        <v>40666</v>
      </c>
      <c r="O35" s="17">
        <f>N35/N$39</f>
        <v>0.11695445603782484</v>
      </c>
      <c r="P35" s="18" t="s">
        <v>46</v>
      </c>
      <c r="Q35" s="18"/>
    </row>
    <row r="36" spans="1:47" ht="15">
      <c r="A36" s="5" t="s">
        <v>47</v>
      </c>
      <c r="B36" s="9">
        <v>8274</v>
      </c>
      <c r="C36" s="41">
        <f>N36-M36-G36-B36</f>
        <v>608</v>
      </c>
      <c r="D36" s="9">
        <v>0</v>
      </c>
      <c r="E36" s="9">
        <v>0</v>
      </c>
      <c r="F36" s="9">
        <v>0</v>
      </c>
      <c r="G36" s="41">
        <f>29929</f>
        <v>29929</v>
      </c>
      <c r="H36" s="9">
        <v>0</v>
      </c>
      <c r="I36" s="9"/>
      <c r="J36" s="9"/>
      <c r="K36" s="9"/>
      <c r="L36" s="9"/>
      <c r="M36" s="9">
        <v>42367</v>
      </c>
      <c r="N36" s="9">
        <v>81178</v>
      </c>
      <c r="O36" s="18"/>
      <c r="P36" s="18"/>
      <c r="Q36" s="3"/>
      <c r="R36" s="7"/>
      <c r="S36" s="7"/>
      <c r="T36" s="7"/>
    </row>
    <row r="37" spans="1:47" ht="15">
      <c r="A37" s="5" t="s">
        <v>48</v>
      </c>
      <c r="B37" s="9">
        <v>8211</v>
      </c>
      <c r="C37" s="9">
        <v>47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4677</v>
      </c>
      <c r="N37" s="9">
        <v>12935</v>
      </c>
      <c r="O37" s="18"/>
      <c r="P37" s="18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30789</v>
      </c>
      <c r="N38" s="9">
        <v>30789</v>
      </c>
      <c r="O38" s="18">
        <f>SUM(O31:O35)</f>
        <v>0.64078767241478485</v>
      </c>
      <c r="P38" s="18"/>
      <c r="Q38" s="3"/>
      <c r="R38" s="7" t="s">
        <v>50</v>
      </c>
      <c r="S38" s="19">
        <f>N45/1000</f>
        <v>17.731720000000003</v>
      </c>
      <c r="T38" s="7"/>
    </row>
    <row r="39" spans="1:47" ht="15">
      <c r="A39" s="5" t="s">
        <v>17</v>
      </c>
      <c r="B39" s="9">
        <v>29276</v>
      </c>
      <c r="C39" s="9">
        <v>125858</v>
      </c>
      <c r="D39" s="9">
        <v>0</v>
      </c>
      <c r="E39" s="9">
        <v>0</v>
      </c>
      <c r="F39" s="9">
        <v>10950</v>
      </c>
      <c r="G39" s="9">
        <v>30016</v>
      </c>
      <c r="H39" s="9">
        <v>0</v>
      </c>
      <c r="I39" s="9"/>
      <c r="J39" s="9"/>
      <c r="K39" s="9"/>
      <c r="L39" s="9"/>
      <c r="M39" s="9">
        <v>151609</v>
      </c>
      <c r="N39" s="9">
        <v>347708</v>
      </c>
      <c r="O39" s="3"/>
      <c r="P39" s="3"/>
      <c r="Q39" s="3"/>
      <c r="R39" s="7" t="s">
        <v>51</v>
      </c>
      <c r="S39" s="20">
        <f>N41/1000</f>
        <v>124.902</v>
      </c>
      <c r="T39" s="14">
        <f>O41</f>
        <v>0.35921520356160919</v>
      </c>
    </row>
    <row r="40" spans="1:47">
      <c r="R40" s="7" t="s">
        <v>52</v>
      </c>
      <c r="S40" s="20">
        <f>N35/1000</f>
        <v>40.665999999999997</v>
      </c>
      <c r="T40" s="15">
        <f>O35</f>
        <v>0.11695445603782484</v>
      </c>
    </row>
    <row r="41" spans="1:47" ht="15">
      <c r="A41" s="21" t="s">
        <v>53</v>
      </c>
      <c r="B41" s="22">
        <f>B38+B37+B36</f>
        <v>16485</v>
      </c>
      <c r="C41" s="22">
        <f t="shared" ref="C41:N41" si="0">C38+C37+C36</f>
        <v>655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29929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77833</v>
      </c>
      <c r="N41" s="22">
        <f t="shared" si="0"/>
        <v>124902</v>
      </c>
      <c r="O41" s="17">
        <f>N41/N$39</f>
        <v>0.35921520356160919</v>
      </c>
      <c r="P41" s="17" t="s">
        <v>54</v>
      </c>
      <c r="Q41" s="7"/>
      <c r="R41" s="7" t="s">
        <v>55</v>
      </c>
      <c r="S41" s="20">
        <f>N33/1000</f>
        <v>16.901</v>
      </c>
      <c r="T41" s="14">
        <f>O33</f>
        <v>4.8606877034753297E-2</v>
      </c>
    </row>
    <row r="42" spans="1:47" ht="15">
      <c r="A42" s="23" t="s">
        <v>56</v>
      </c>
      <c r="B42" s="22"/>
      <c r="C42" s="24">
        <f>C39+C23+C10</f>
        <v>126067</v>
      </c>
      <c r="D42" s="24">
        <f t="shared" ref="D42:L42" si="1">D39+D23+D10</f>
        <v>0</v>
      </c>
      <c r="E42" s="24">
        <f t="shared" si="1"/>
        <v>0</v>
      </c>
      <c r="F42" s="24">
        <f t="shared" si="1"/>
        <v>10950</v>
      </c>
      <c r="G42" s="24">
        <f t="shared" si="1"/>
        <v>64479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163737.72</v>
      </c>
      <c r="N42" s="25">
        <f>SUM(C42:M42)</f>
        <v>365233.72</v>
      </c>
      <c r="O42" s="7"/>
      <c r="P42" s="7"/>
      <c r="Q42" s="7"/>
      <c r="R42" s="7" t="s">
        <v>36</v>
      </c>
      <c r="S42" s="20">
        <f>N31/1000</f>
        <v>50.226999999999997</v>
      </c>
      <c r="T42" s="14">
        <f>O31</f>
        <v>0.14445166634072268</v>
      </c>
    </row>
    <row r="43" spans="1:47" ht="15">
      <c r="A43" s="23" t="s">
        <v>57</v>
      </c>
      <c r="B43" s="22"/>
      <c r="C43" s="17">
        <f t="shared" ref="C43:M43" si="2">C42/$N42</f>
        <v>0.34516802008314024</v>
      </c>
      <c r="D43" s="17">
        <f t="shared" si="2"/>
        <v>0</v>
      </c>
      <c r="E43" s="17">
        <f t="shared" si="2"/>
        <v>0</v>
      </c>
      <c r="F43" s="17">
        <f t="shared" si="2"/>
        <v>2.9980802429742798E-2</v>
      </c>
      <c r="G43" s="17">
        <f t="shared" si="2"/>
        <v>0.17654174975957862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0.44830942772753846</v>
      </c>
      <c r="N43" s="17">
        <f>SUM(C43:M43)</f>
        <v>1</v>
      </c>
      <c r="O43" s="7"/>
      <c r="P43" s="7"/>
      <c r="Q43" s="7"/>
      <c r="R43" s="7" t="s">
        <v>58</v>
      </c>
      <c r="S43" s="20">
        <f>N32/1000</f>
        <v>9.6489999999999991</v>
      </c>
      <c r="T43" s="15">
        <f>O32</f>
        <v>2.7750296225568582E-2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20">
        <f>N34/1000</f>
        <v>105.364</v>
      </c>
      <c r="T44" s="15">
        <f>O34</f>
        <v>0.30302437677591543</v>
      </c>
    </row>
    <row r="45" spans="1:47" ht="15">
      <c r="A45" s="6" t="s">
        <v>60</v>
      </c>
      <c r="B45" s="6">
        <f>B23-B39</f>
        <v>5603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12128.72</v>
      </c>
      <c r="N45" s="25">
        <f>B45+M45</f>
        <v>17731.72</v>
      </c>
      <c r="O45" s="7"/>
      <c r="P45" s="7"/>
      <c r="Q45" s="7"/>
      <c r="R45" s="7" t="s">
        <v>61</v>
      </c>
      <c r="S45" s="20">
        <f>SUM(S39:S44)</f>
        <v>347.709</v>
      </c>
      <c r="T45" s="14">
        <f>SUM(T39:T44)</f>
        <v>1.0000028759763939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73</v>
      </c>
      <c r="B47" s="38">
        <f>(B23-B39)/B23</f>
        <v>0.16064107342527023</v>
      </c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9"/>
      <c r="F48" s="27"/>
      <c r="G48" s="16"/>
      <c r="H48" s="28"/>
      <c r="I48" s="27"/>
      <c r="J48" s="9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4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4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4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4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4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_x00f6_rfattare xmlns="b5e531fa-67de-4c6f-b0e9-c95f80bf210e" xsi:nil="true"/>
    <Beskrivning xmlns="b5e531fa-67de-4c6f-b0e9-c95f80bf210e" xsi:nil="true"/>
    <PublishingExpirationDate xmlns="http://schemas.microsoft.com/sharepoint/v3" xsi:nil="true"/>
    <PublishingStartDate xmlns="http://schemas.microsoft.com/sharepoint/v3" xsi:nil="true"/>
    <Serienummer xmlns="b5e531fa-67de-4c6f-b0e9-c95f80bf210e" xsi:nil="true"/>
    <L_x00f6_pnummer xmlns="b5e531fa-67de-4c6f-b0e9-c95f80bf210e" xsi:nil="true"/>
    <Verksamhet xmlns="b5e531fa-67de-4c6f-b0e9-c95f80bf210e" xsi:nil="true"/>
    <_x00c5_rtal xmlns="b5e531fa-67de-4c6f-b0e9-c95f80bf210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1CA0758BFDE94287CDD3892FBF9AD3" ma:contentTypeVersion="7" ma:contentTypeDescription="Create a new document." ma:contentTypeScope="" ma:versionID="c2ce48790bf187f7a77713e12fb0dad6">
  <xsd:schema xmlns:xsd="http://www.w3.org/2001/XMLSchema" xmlns:xs="http://www.w3.org/2001/XMLSchema" xmlns:p="http://schemas.microsoft.com/office/2006/metadata/properties" xmlns:ns1="http://schemas.microsoft.com/sharepoint/v3" xmlns:ns2="b5e531fa-67de-4c6f-b0e9-c95f80bf210e" targetNamespace="http://schemas.microsoft.com/office/2006/metadata/properties" ma:root="true" ma:fieldsID="314d68ffa0513777a79096a356dfdc54" ns1:_="" ns2:_="">
    <xsd:import namespace="http://schemas.microsoft.com/sharepoint/v3"/>
    <xsd:import namespace="b5e531fa-67de-4c6f-b0e9-c95f80bf210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531fa-67de-4c6f-b0e9-c95f80bf210e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73AF9-333F-4467-83A8-ACC135EB562B}"/>
</file>

<file path=customXml/itemProps2.xml><?xml version="1.0" encoding="utf-8"?>
<ds:datastoreItem xmlns:ds="http://schemas.openxmlformats.org/officeDocument/2006/customXml" ds:itemID="{14B2946E-C2C6-4B3E-BBD9-FB6399F8DC59}"/>
</file>

<file path=customXml/itemProps3.xml><?xml version="1.0" encoding="utf-8"?>
<ds:datastoreItem xmlns:ds="http://schemas.openxmlformats.org/officeDocument/2006/customXml" ds:itemID="{C315D8B6-CECB-4933-8145-C909217741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Kalmar län</vt:lpstr>
      <vt:lpstr>Högsby</vt:lpstr>
      <vt:lpstr>Torsås</vt:lpstr>
      <vt:lpstr>Mörbylånga</vt:lpstr>
      <vt:lpstr>Hultsfred</vt:lpstr>
      <vt:lpstr>Mönsterås</vt:lpstr>
      <vt:lpstr>Emmaboda</vt:lpstr>
      <vt:lpstr>Kalmar</vt:lpstr>
      <vt:lpstr>Nybro</vt:lpstr>
      <vt:lpstr>Västervik</vt:lpstr>
      <vt:lpstr>Oskarshamn</vt:lpstr>
      <vt:lpstr>Vimmerby</vt:lpstr>
      <vt:lpstr>Borgholm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lastModifiedBy>Kaj</cp:lastModifiedBy>
  <dcterms:created xsi:type="dcterms:W3CDTF">2016-02-06T10:42:46Z</dcterms:created>
  <dcterms:modified xsi:type="dcterms:W3CDTF">2016-03-30T00:53:33Z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0x010100FC1CA0758BFDE94287CDD3892FBF9AD3</vt:lpwstr>
  </property>
</Properties>
</file>