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comments6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9.xml" ContentType="application/vnd.openxmlformats-officedocument.spreadsheetml.comments+xml"/>
  <Override PartName="/xl/comments8.xml" ContentType="application/vnd.openxmlformats-officedocument.spreadsheetml.comments+xml"/>
  <Override PartName="/xl/comments4.xml" ContentType="application/vnd.openxmlformats-officedocument.spreadsheetml.comments+xml"/>
  <Override PartName="/xl/comments7.xml" ContentType="application/vnd.openxmlformats-officedocument.spreadsheetml.comments+xml"/>
  <Override PartName="/xl/comments3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5.xml" ContentType="application/vnd.openxmlformats-officedocument.spreadsheetml.comments+xml"/>
  <Override PartName="/xl/comments13.xml" ContentType="application/vnd.openxmlformats-officedocument.spreadsheetml.comments+xml"/>
  <Override PartName="/xl/comments2.xml" ContentType="application/vnd.openxmlformats-officedocument.spreadsheetml.comments+xml"/>
  <Override PartName="/xl/comments12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Kaj/RushFiles/Energistatistik+LEKS+2017/Energibalanser till kund/"/>
    </mc:Choice>
  </mc:AlternateContent>
  <bookViews>
    <workbookView xWindow="0" yWindow="460" windowWidth="28800" windowHeight="16440" tabRatio="762" activeTab="5"/>
  </bookViews>
  <sheets>
    <sheet name="Kalmar län" sheetId="14" r:id="rId1"/>
    <sheet name="Högsby" sheetId="2" r:id="rId2"/>
    <sheet name="Torsås" sheetId="3" r:id="rId3"/>
    <sheet name="Mörbylånga" sheetId="4" r:id="rId4"/>
    <sheet name="Hultsfred" sheetId="5" r:id="rId5"/>
    <sheet name="Mönsterås" sheetId="6" r:id="rId6"/>
    <sheet name="Emmaboda" sheetId="7" r:id="rId7"/>
    <sheet name="Kalmar" sheetId="8" r:id="rId8"/>
    <sheet name="Nybro" sheetId="9" r:id="rId9"/>
    <sheet name="Oskarshamn" sheetId="10" r:id="rId10"/>
    <sheet name="Västervik" sheetId="11" r:id="rId11"/>
    <sheet name="Vimmerby" sheetId="12" r:id="rId12"/>
    <sheet name="Borgholm" sheetId="13" r:id="rId1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4" l="1"/>
  <c r="D6" i="14"/>
  <c r="D7" i="14"/>
  <c r="D10" i="14"/>
  <c r="E5" i="14"/>
  <c r="E6" i="14"/>
  <c r="E7" i="14"/>
  <c r="E10" i="14"/>
  <c r="F5" i="14"/>
  <c r="F6" i="14"/>
  <c r="F7" i="14"/>
  <c r="F10" i="14"/>
  <c r="G5" i="6"/>
  <c r="G5" i="14"/>
  <c r="G6" i="14"/>
  <c r="G7" i="14"/>
  <c r="G10" i="14"/>
  <c r="H5" i="14"/>
  <c r="H6" i="14"/>
  <c r="H7" i="14"/>
  <c r="H10" i="14"/>
  <c r="I5" i="6"/>
  <c r="I5" i="14"/>
  <c r="I6" i="14"/>
  <c r="I7" i="14"/>
  <c r="I10" i="14"/>
  <c r="J5" i="14"/>
  <c r="J6" i="14"/>
  <c r="J7" i="14"/>
  <c r="J10" i="14"/>
  <c r="K5" i="14"/>
  <c r="K6" i="14"/>
  <c r="K7" i="14"/>
  <c r="K10" i="14"/>
  <c r="L5" i="14"/>
  <c r="L6" i="14"/>
  <c r="L7" i="14"/>
  <c r="L10" i="14"/>
  <c r="M5" i="14"/>
  <c r="M6" i="14"/>
  <c r="M7" i="14"/>
  <c r="M10" i="14"/>
  <c r="N5" i="14"/>
  <c r="N6" i="14"/>
  <c r="N7" i="14"/>
  <c r="N10" i="14"/>
  <c r="C5" i="14"/>
  <c r="O5" i="14"/>
  <c r="C6" i="14"/>
  <c r="O6" i="14"/>
  <c r="C7" i="14"/>
  <c r="O7" i="14"/>
  <c r="O10" i="14"/>
  <c r="C10" i="14"/>
  <c r="B4" i="2"/>
  <c r="B4" i="3"/>
  <c r="B4" i="4"/>
  <c r="B4" i="5"/>
  <c r="B4" i="6"/>
  <c r="B4" i="7"/>
  <c r="B4" i="8"/>
  <c r="B4" i="9"/>
  <c r="B4" i="10"/>
  <c r="B4" i="11"/>
  <c r="B4" i="12"/>
  <c r="B4" i="13"/>
  <c r="B4" i="14"/>
  <c r="B5" i="14"/>
  <c r="B6" i="14"/>
  <c r="B7" i="14"/>
  <c r="B10" i="11"/>
  <c r="B8" i="11"/>
  <c r="B8" i="14"/>
  <c r="B9" i="5"/>
  <c r="B9" i="14"/>
  <c r="B10" i="14"/>
  <c r="L31" i="14"/>
  <c r="L32" i="14"/>
  <c r="L33" i="14"/>
  <c r="L34" i="14"/>
  <c r="L35" i="14"/>
  <c r="L36" i="14"/>
  <c r="L37" i="14"/>
  <c r="L38" i="14"/>
  <c r="L39" i="14"/>
  <c r="L17" i="14"/>
  <c r="L18" i="14"/>
  <c r="L23" i="14"/>
  <c r="L42" i="14"/>
  <c r="C31" i="14"/>
  <c r="C36" i="3"/>
  <c r="C32" i="3"/>
  <c r="C32" i="7"/>
  <c r="C32" i="10"/>
  <c r="G32" i="11"/>
  <c r="E39" i="11"/>
  <c r="E32" i="11"/>
  <c r="C32" i="11"/>
  <c r="C32" i="12"/>
  <c r="C32" i="13"/>
  <c r="C32" i="14"/>
  <c r="C33" i="14"/>
  <c r="C34" i="14"/>
  <c r="C35" i="14"/>
  <c r="C36" i="11"/>
  <c r="C36" i="14"/>
  <c r="C37" i="14"/>
  <c r="C38" i="14"/>
  <c r="C39" i="14"/>
  <c r="C17" i="9"/>
  <c r="C17" i="11"/>
  <c r="C17" i="14"/>
  <c r="C18" i="4"/>
  <c r="C18" i="14"/>
  <c r="C23" i="14"/>
  <c r="C42" i="14"/>
  <c r="D31" i="14"/>
  <c r="D32" i="14"/>
  <c r="D33" i="14"/>
  <c r="D34" i="14"/>
  <c r="D35" i="14"/>
  <c r="D36" i="14"/>
  <c r="D37" i="14"/>
  <c r="D38" i="14"/>
  <c r="D39" i="14"/>
  <c r="D17" i="14"/>
  <c r="D18" i="14"/>
  <c r="D23" i="14"/>
  <c r="D42" i="14"/>
  <c r="E31" i="14"/>
  <c r="E32" i="14"/>
  <c r="E33" i="14"/>
  <c r="E34" i="14"/>
  <c r="E35" i="14"/>
  <c r="E36" i="14"/>
  <c r="E37" i="14"/>
  <c r="E38" i="14"/>
  <c r="E39" i="14"/>
  <c r="E17" i="14"/>
  <c r="E18" i="14"/>
  <c r="E23" i="14"/>
  <c r="E42" i="14"/>
  <c r="F31" i="14"/>
  <c r="F32" i="14"/>
  <c r="F33" i="14"/>
  <c r="F34" i="12"/>
  <c r="F34" i="14"/>
  <c r="F35" i="14"/>
  <c r="F36" i="14"/>
  <c r="F37" i="14"/>
  <c r="F38" i="14"/>
  <c r="F39" i="14"/>
  <c r="F17" i="14"/>
  <c r="F18" i="14"/>
  <c r="F23" i="14"/>
  <c r="F42" i="14"/>
  <c r="G31" i="14"/>
  <c r="G32" i="2"/>
  <c r="G39" i="3"/>
  <c r="G32" i="3"/>
  <c r="G32" i="5"/>
  <c r="G32" i="6"/>
  <c r="O32" i="7"/>
  <c r="G32" i="7"/>
  <c r="G32" i="8"/>
  <c r="O32" i="9"/>
  <c r="B32" i="9"/>
  <c r="G32" i="9"/>
  <c r="G32" i="12"/>
  <c r="G32" i="14"/>
  <c r="G33" i="14"/>
  <c r="G34" i="14"/>
  <c r="G35" i="14"/>
  <c r="G36" i="12"/>
  <c r="G36" i="14"/>
  <c r="G37" i="14"/>
  <c r="G38" i="14"/>
  <c r="G39" i="14"/>
  <c r="G17" i="8"/>
  <c r="G17" i="9"/>
  <c r="G17" i="10"/>
  <c r="K17" i="11"/>
  <c r="G17" i="11"/>
  <c r="G17" i="14"/>
  <c r="G18" i="4"/>
  <c r="G18" i="12"/>
  <c r="G18" i="14"/>
  <c r="G23" i="14"/>
  <c r="G42" i="14"/>
  <c r="H31" i="14"/>
  <c r="H32" i="14"/>
  <c r="H33" i="14"/>
  <c r="H34" i="14"/>
  <c r="H35" i="14"/>
  <c r="H36" i="14"/>
  <c r="H37" i="14"/>
  <c r="H38" i="14"/>
  <c r="H39" i="14"/>
  <c r="H17" i="14"/>
  <c r="H18" i="14"/>
  <c r="H23" i="14"/>
  <c r="H42" i="14"/>
  <c r="I31" i="14"/>
  <c r="I32" i="6"/>
  <c r="I32" i="14"/>
  <c r="I33" i="14"/>
  <c r="I34" i="14"/>
  <c r="I35" i="14"/>
  <c r="I36" i="14"/>
  <c r="I37" i="14"/>
  <c r="I38" i="14"/>
  <c r="I39" i="14"/>
  <c r="I17" i="14"/>
  <c r="I18" i="14"/>
  <c r="I23" i="14"/>
  <c r="I42" i="14"/>
  <c r="J31" i="14"/>
  <c r="J32" i="14"/>
  <c r="J33" i="14"/>
  <c r="J34" i="14"/>
  <c r="J35" i="14"/>
  <c r="J36" i="14"/>
  <c r="J37" i="14"/>
  <c r="J38" i="14"/>
  <c r="J39" i="14"/>
  <c r="J17" i="14"/>
  <c r="J18" i="14"/>
  <c r="J23" i="14"/>
  <c r="J42" i="14"/>
  <c r="K31" i="14"/>
  <c r="K32" i="14"/>
  <c r="K33" i="14"/>
  <c r="K34" i="14"/>
  <c r="K35" i="14"/>
  <c r="K36" i="14"/>
  <c r="K37" i="14"/>
  <c r="K38" i="14"/>
  <c r="K39" i="14"/>
  <c r="K17" i="14"/>
  <c r="K18" i="14"/>
  <c r="K23" i="14"/>
  <c r="K42" i="14"/>
  <c r="M31" i="14"/>
  <c r="M32" i="14"/>
  <c r="M33" i="14"/>
  <c r="M34" i="14"/>
  <c r="M35" i="14"/>
  <c r="M36" i="14"/>
  <c r="M37" i="14"/>
  <c r="M38" i="14"/>
  <c r="M39" i="14"/>
  <c r="M17" i="14"/>
  <c r="M18" i="14"/>
  <c r="M23" i="14"/>
  <c r="M42" i="14"/>
  <c r="N31" i="14"/>
  <c r="N32" i="6"/>
  <c r="O32" i="12"/>
  <c r="N32" i="12"/>
  <c r="N32" i="13"/>
  <c r="N32" i="14"/>
  <c r="N37" i="3"/>
  <c r="N33" i="3"/>
  <c r="N39" i="6"/>
  <c r="N36" i="6"/>
  <c r="N33" i="6"/>
  <c r="N33" i="14"/>
  <c r="N34" i="12"/>
  <c r="N34" i="14"/>
  <c r="N35" i="12"/>
  <c r="N35" i="14"/>
  <c r="N36" i="13"/>
  <c r="N36" i="14"/>
  <c r="N37" i="14"/>
  <c r="N38" i="14"/>
  <c r="N39" i="14"/>
  <c r="N17" i="10"/>
  <c r="N17" i="14"/>
  <c r="N18" i="14"/>
  <c r="N23" i="14"/>
  <c r="N45" i="14"/>
  <c r="N42" i="14"/>
  <c r="O42" i="14"/>
  <c r="L43" i="14"/>
  <c r="U32" i="14"/>
  <c r="T32" i="14"/>
  <c r="M43" i="14"/>
  <c r="U26" i="14"/>
  <c r="T26" i="14"/>
  <c r="N45" i="2"/>
  <c r="N42" i="2"/>
  <c r="C42" i="2"/>
  <c r="D42" i="2"/>
  <c r="E42" i="2"/>
  <c r="F42" i="2"/>
  <c r="G39" i="2"/>
  <c r="G42" i="2"/>
  <c r="H42" i="2"/>
  <c r="I42" i="2"/>
  <c r="J42" i="2"/>
  <c r="K42" i="2"/>
  <c r="L42" i="2"/>
  <c r="M42" i="2"/>
  <c r="O42" i="2"/>
  <c r="N43" i="2"/>
  <c r="U24" i="2"/>
  <c r="G43" i="2"/>
  <c r="U25" i="2"/>
  <c r="J43" i="2"/>
  <c r="U26" i="2"/>
  <c r="F43" i="2"/>
  <c r="U27" i="2"/>
  <c r="E43" i="2"/>
  <c r="U28" i="2"/>
  <c r="D43" i="2"/>
  <c r="U29" i="2"/>
  <c r="K43" i="2"/>
  <c r="U30" i="2"/>
  <c r="I43" i="2"/>
  <c r="U31" i="2"/>
  <c r="H43" i="2"/>
  <c r="U32" i="2"/>
  <c r="C43" i="2"/>
  <c r="U33" i="2"/>
  <c r="U34" i="2"/>
  <c r="N45" i="3"/>
  <c r="N42" i="3"/>
  <c r="C42" i="3"/>
  <c r="D42" i="3"/>
  <c r="E42" i="3"/>
  <c r="F42" i="3"/>
  <c r="G42" i="3"/>
  <c r="H42" i="3"/>
  <c r="I42" i="3"/>
  <c r="J42" i="3"/>
  <c r="K42" i="3"/>
  <c r="L42" i="3"/>
  <c r="M42" i="3"/>
  <c r="O42" i="3"/>
  <c r="N43" i="3"/>
  <c r="U24" i="3"/>
  <c r="G43" i="3"/>
  <c r="U25" i="3"/>
  <c r="J43" i="3"/>
  <c r="U26" i="3"/>
  <c r="F43" i="3"/>
  <c r="U27" i="3"/>
  <c r="E43" i="3"/>
  <c r="U28" i="3"/>
  <c r="D43" i="3"/>
  <c r="U29" i="3"/>
  <c r="K43" i="3"/>
  <c r="U30" i="3"/>
  <c r="I43" i="3"/>
  <c r="U31" i="3"/>
  <c r="H43" i="3"/>
  <c r="U32" i="3"/>
  <c r="C43" i="3"/>
  <c r="U33" i="3"/>
  <c r="U34" i="3"/>
  <c r="N45" i="4"/>
  <c r="N42" i="4"/>
  <c r="C39" i="4"/>
  <c r="C23" i="4"/>
  <c r="C42" i="4"/>
  <c r="D39" i="4"/>
  <c r="D42" i="4"/>
  <c r="E39" i="4"/>
  <c r="E42" i="4"/>
  <c r="F39" i="4"/>
  <c r="F42" i="4"/>
  <c r="G23" i="4"/>
  <c r="G42" i="4"/>
  <c r="H42" i="4"/>
  <c r="I42" i="4"/>
  <c r="J42" i="4"/>
  <c r="K42" i="4"/>
  <c r="L42" i="4"/>
  <c r="M42" i="4"/>
  <c r="O42" i="4"/>
  <c r="N43" i="4"/>
  <c r="U24" i="4"/>
  <c r="G43" i="4"/>
  <c r="U25" i="4"/>
  <c r="J43" i="4"/>
  <c r="U26" i="4"/>
  <c r="F43" i="4"/>
  <c r="U27" i="4"/>
  <c r="E43" i="4"/>
  <c r="U28" i="4"/>
  <c r="D43" i="4"/>
  <c r="U29" i="4"/>
  <c r="K43" i="4"/>
  <c r="U30" i="4"/>
  <c r="I43" i="4"/>
  <c r="U31" i="4"/>
  <c r="H43" i="4"/>
  <c r="U32" i="4"/>
  <c r="C43" i="4"/>
  <c r="U33" i="4"/>
  <c r="U34" i="4"/>
  <c r="N45" i="5"/>
  <c r="N42" i="5"/>
  <c r="C42" i="5"/>
  <c r="D42" i="5"/>
  <c r="E39" i="5"/>
  <c r="E42" i="5"/>
  <c r="F42" i="5"/>
  <c r="G39" i="5"/>
  <c r="G42" i="5"/>
  <c r="H42" i="5"/>
  <c r="I42" i="5"/>
  <c r="J42" i="5"/>
  <c r="K42" i="5"/>
  <c r="L42" i="5"/>
  <c r="M42" i="5"/>
  <c r="O42" i="5"/>
  <c r="N43" i="5"/>
  <c r="U24" i="5"/>
  <c r="G43" i="5"/>
  <c r="U25" i="5"/>
  <c r="J43" i="5"/>
  <c r="U26" i="5"/>
  <c r="F43" i="5"/>
  <c r="U27" i="5"/>
  <c r="E43" i="5"/>
  <c r="U28" i="5"/>
  <c r="D43" i="5"/>
  <c r="U29" i="5"/>
  <c r="K43" i="5"/>
  <c r="U30" i="5"/>
  <c r="I43" i="5"/>
  <c r="U31" i="5"/>
  <c r="H43" i="5"/>
  <c r="U32" i="5"/>
  <c r="C43" i="5"/>
  <c r="U33" i="5"/>
  <c r="U34" i="5"/>
  <c r="N45" i="6"/>
  <c r="N42" i="6"/>
  <c r="C39" i="6"/>
  <c r="C42" i="6"/>
  <c r="D42" i="6"/>
  <c r="E39" i="6"/>
  <c r="E42" i="6"/>
  <c r="F39" i="6"/>
  <c r="F42" i="6"/>
  <c r="G39" i="6"/>
  <c r="G23" i="6"/>
  <c r="G10" i="6"/>
  <c r="G42" i="6"/>
  <c r="H42" i="6"/>
  <c r="I39" i="6"/>
  <c r="I10" i="6"/>
  <c r="I42" i="6"/>
  <c r="J42" i="6"/>
  <c r="K42" i="6"/>
  <c r="L39" i="6"/>
  <c r="L42" i="6"/>
  <c r="M39" i="6"/>
  <c r="M42" i="6"/>
  <c r="O42" i="6"/>
  <c r="N43" i="6"/>
  <c r="U24" i="6"/>
  <c r="G43" i="6"/>
  <c r="U25" i="6"/>
  <c r="J43" i="6"/>
  <c r="U26" i="6"/>
  <c r="F43" i="6"/>
  <c r="U27" i="6"/>
  <c r="E43" i="6"/>
  <c r="U28" i="6"/>
  <c r="D43" i="6"/>
  <c r="U29" i="6"/>
  <c r="L43" i="6"/>
  <c r="U30" i="6"/>
  <c r="I43" i="6"/>
  <c r="U31" i="6"/>
  <c r="M43" i="6"/>
  <c r="U32" i="6"/>
  <c r="C43" i="6"/>
  <c r="U33" i="6"/>
  <c r="U34" i="6"/>
  <c r="N45" i="7"/>
  <c r="N42" i="7"/>
  <c r="C39" i="7"/>
  <c r="C42" i="7"/>
  <c r="D42" i="7"/>
  <c r="E39" i="7"/>
  <c r="E42" i="7"/>
  <c r="F42" i="7"/>
  <c r="G39" i="7"/>
  <c r="G42" i="7"/>
  <c r="H42" i="7"/>
  <c r="I42" i="7"/>
  <c r="J42" i="7"/>
  <c r="K42" i="7"/>
  <c r="L42" i="7"/>
  <c r="M42" i="7"/>
  <c r="O42" i="7"/>
  <c r="N43" i="7"/>
  <c r="U24" i="7"/>
  <c r="G43" i="7"/>
  <c r="U25" i="7"/>
  <c r="J43" i="7"/>
  <c r="U26" i="7"/>
  <c r="F43" i="7"/>
  <c r="U27" i="7"/>
  <c r="E43" i="7"/>
  <c r="U28" i="7"/>
  <c r="D43" i="7"/>
  <c r="U29" i="7"/>
  <c r="K43" i="7"/>
  <c r="U30" i="7"/>
  <c r="I43" i="7"/>
  <c r="U31" i="7"/>
  <c r="H43" i="7"/>
  <c r="U32" i="7"/>
  <c r="C43" i="7"/>
  <c r="U33" i="7"/>
  <c r="U34" i="7"/>
  <c r="N45" i="8"/>
  <c r="N42" i="8"/>
  <c r="C42" i="8"/>
  <c r="D42" i="8"/>
  <c r="E39" i="8"/>
  <c r="E42" i="8"/>
  <c r="F39" i="8"/>
  <c r="F42" i="8"/>
  <c r="G39" i="8"/>
  <c r="G23" i="8"/>
  <c r="G42" i="8"/>
  <c r="H42" i="8"/>
  <c r="I42" i="8"/>
  <c r="J42" i="8"/>
  <c r="K42" i="8"/>
  <c r="L42" i="8"/>
  <c r="M42" i="8"/>
  <c r="O42" i="8"/>
  <c r="N43" i="8"/>
  <c r="U24" i="8"/>
  <c r="G43" i="8"/>
  <c r="U25" i="8"/>
  <c r="J43" i="8"/>
  <c r="U26" i="8"/>
  <c r="F43" i="8"/>
  <c r="U27" i="8"/>
  <c r="E43" i="8"/>
  <c r="U28" i="8"/>
  <c r="D43" i="8"/>
  <c r="U29" i="8"/>
  <c r="K43" i="8"/>
  <c r="U30" i="8"/>
  <c r="I43" i="8"/>
  <c r="U31" i="8"/>
  <c r="H43" i="8"/>
  <c r="U32" i="8"/>
  <c r="C43" i="8"/>
  <c r="U33" i="8"/>
  <c r="U34" i="8"/>
  <c r="N45" i="9"/>
  <c r="N42" i="9"/>
  <c r="C23" i="9"/>
  <c r="C42" i="9"/>
  <c r="D42" i="9"/>
  <c r="E39" i="9"/>
  <c r="E42" i="9"/>
  <c r="F42" i="9"/>
  <c r="G39" i="9"/>
  <c r="G23" i="9"/>
  <c r="G42" i="9"/>
  <c r="H42" i="9"/>
  <c r="I42" i="9"/>
  <c r="J42" i="9"/>
  <c r="K42" i="9"/>
  <c r="L42" i="9"/>
  <c r="M42" i="9"/>
  <c r="O42" i="9"/>
  <c r="N43" i="9"/>
  <c r="U24" i="9"/>
  <c r="G43" i="9"/>
  <c r="U25" i="9"/>
  <c r="J43" i="9"/>
  <c r="U26" i="9"/>
  <c r="F43" i="9"/>
  <c r="U27" i="9"/>
  <c r="E43" i="9"/>
  <c r="U28" i="9"/>
  <c r="D43" i="9"/>
  <c r="U29" i="9"/>
  <c r="K43" i="9"/>
  <c r="U30" i="9"/>
  <c r="I43" i="9"/>
  <c r="U31" i="9"/>
  <c r="H43" i="9"/>
  <c r="U32" i="9"/>
  <c r="C43" i="9"/>
  <c r="U33" i="9"/>
  <c r="U34" i="9"/>
  <c r="N23" i="10"/>
  <c r="N45" i="10"/>
  <c r="N42" i="10"/>
  <c r="C39" i="10"/>
  <c r="C42" i="10"/>
  <c r="D42" i="10"/>
  <c r="E42" i="10"/>
  <c r="F42" i="10"/>
  <c r="G39" i="10"/>
  <c r="G23" i="10"/>
  <c r="G42" i="10"/>
  <c r="H42" i="10"/>
  <c r="I42" i="10"/>
  <c r="J42" i="10"/>
  <c r="K42" i="10"/>
  <c r="L42" i="10"/>
  <c r="M42" i="10"/>
  <c r="O42" i="10"/>
  <c r="N43" i="10"/>
  <c r="U24" i="10"/>
  <c r="G43" i="10"/>
  <c r="U25" i="10"/>
  <c r="J43" i="10"/>
  <c r="U26" i="10"/>
  <c r="F43" i="10"/>
  <c r="U27" i="10"/>
  <c r="E43" i="10"/>
  <c r="U28" i="10"/>
  <c r="D43" i="10"/>
  <c r="U29" i="10"/>
  <c r="K43" i="10"/>
  <c r="U30" i="10"/>
  <c r="I43" i="10"/>
  <c r="U31" i="10"/>
  <c r="H43" i="10"/>
  <c r="U32" i="10"/>
  <c r="C43" i="10"/>
  <c r="U33" i="10"/>
  <c r="U34" i="10"/>
  <c r="N45" i="11"/>
  <c r="N42" i="11"/>
  <c r="C23" i="11"/>
  <c r="C42" i="11"/>
  <c r="D42" i="11"/>
  <c r="E42" i="11"/>
  <c r="F42" i="11"/>
  <c r="G23" i="11"/>
  <c r="G42" i="11"/>
  <c r="H42" i="11"/>
  <c r="I42" i="11"/>
  <c r="J42" i="11"/>
  <c r="K23" i="11"/>
  <c r="K42" i="11"/>
  <c r="L42" i="11"/>
  <c r="M42" i="11"/>
  <c r="O42" i="11"/>
  <c r="N43" i="11"/>
  <c r="U24" i="11"/>
  <c r="G43" i="11"/>
  <c r="U25" i="11"/>
  <c r="J43" i="11"/>
  <c r="U26" i="11"/>
  <c r="F43" i="11"/>
  <c r="U27" i="11"/>
  <c r="E43" i="11"/>
  <c r="U28" i="11"/>
  <c r="D43" i="11"/>
  <c r="U29" i="11"/>
  <c r="K43" i="11"/>
  <c r="U30" i="11"/>
  <c r="I43" i="11"/>
  <c r="U31" i="11"/>
  <c r="H43" i="11"/>
  <c r="U32" i="11"/>
  <c r="C43" i="11"/>
  <c r="U33" i="11"/>
  <c r="U34" i="11"/>
  <c r="N45" i="12"/>
  <c r="N42" i="12"/>
  <c r="C39" i="12"/>
  <c r="C23" i="12"/>
  <c r="C42" i="12"/>
  <c r="D42" i="12"/>
  <c r="E42" i="12"/>
  <c r="F23" i="12"/>
  <c r="F42" i="12"/>
  <c r="G39" i="12"/>
  <c r="G23" i="12"/>
  <c r="G42" i="12"/>
  <c r="H23" i="12"/>
  <c r="H42" i="12"/>
  <c r="I42" i="12"/>
  <c r="J42" i="12"/>
  <c r="K42" i="12"/>
  <c r="L42" i="12"/>
  <c r="M42" i="12"/>
  <c r="O42" i="12"/>
  <c r="N43" i="12"/>
  <c r="U24" i="12"/>
  <c r="G43" i="12"/>
  <c r="U25" i="12"/>
  <c r="J43" i="12"/>
  <c r="U26" i="12"/>
  <c r="F43" i="12"/>
  <c r="U27" i="12"/>
  <c r="E43" i="12"/>
  <c r="U28" i="12"/>
  <c r="D43" i="12"/>
  <c r="U29" i="12"/>
  <c r="K43" i="12"/>
  <c r="U30" i="12"/>
  <c r="I43" i="12"/>
  <c r="U31" i="12"/>
  <c r="H43" i="12"/>
  <c r="U32" i="12"/>
  <c r="C43" i="12"/>
  <c r="U33" i="12"/>
  <c r="U34" i="12"/>
  <c r="N45" i="13"/>
  <c r="N42" i="13"/>
  <c r="C42" i="13"/>
  <c r="D42" i="13"/>
  <c r="E42" i="13"/>
  <c r="F42" i="13"/>
  <c r="G42" i="13"/>
  <c r="H42" i="13"/>
  <c r="I42" i="13"/>
  <c r="J42" i="13"/>
  <c r="K42" i="13"/>
  <c r="L42" i="13"/>
  <c r="M42" i="13"/>
  <c r="O42" i="13"/>
  <c r="N43" i="13"/>
  <c r="U24" i="13"/>
  <c r="G43" i="13"/>
  <c r="U25" i="13"/>
  <c r="J43" i="13"/>
  <c r="U26" i="13"/>
  <c r="F43" i="13"/>
  <c r="U27" i="13"/>
  <c r="E43" i="13"/>
  <c r="U28" i="13"/>
  <c r="D43" i="13"/>
  <c r="U29" i="13"/>
  <c r="K43" i="13"/>
  <c r="U30" i="13"/>
  <c r="I43" i="13"/>
  <c r="U31" i="13"/>
  <c r="H43" i="13"/>
  <c r="U32" i="13"/>
  <c r="C43" i="13"/>
  <c r="U33" i="13"/>
  <c r="U34" i="13"/>
  <c r="N43" i="14"/>
  <c r="U24" i="14"/>
  <c r="G43" i="14"/>
  <c r="U25" i="14"/>
  <c r="F43" i="14"/>
  <c r="U27" i="14"/>
  <c r="E43" i="14"/>
  <c r="U28" i="14"/>
  <c r="D43" i="14"/>
  <c r="U29" i="14"/>
  <c r="K43" i="14"/>
  <c r="U30" i="14"/>
  <c r="I43" i="14"/>
  <c r="U31" i="14"/>
  <c r="H43" i="14"/>
  <c r="U33" i="14"/>
  <c r="C43" i="14"/>
  <c r="U34" i="14"/>
  <c r="U35" i="14"/>
  <c r="T24" i="2"/>
  <c r="T25" i="2"/>
  <c r="T26" i="2"/>
  <c r="T27" i="2"/>
  <c r="T28" i="2"/>
  <c r="T29" i="2"/>
  <c r="T30" i="2"/>
  <c r="T31" i="2"/>
  <c r="T32" i="2"/>
  <c r="T33" i="2"/>
  <c r="T34" i="2"/>
  <c r="T24" i="3"/>
  <c r="T25" i="3"/>
  <c r="T26" i="3"/>
  <c r="T27" i="3"/>
  <c r="T28" i="3"/>
  <c r="T29" i="3"/>
  <c r="T30" i="3"/>
  <c r="T31" i="3"/>
  <c r="T32" i="3"/>
  <c r="T33" i="3"/>
  <c r="T34" i="3"/>
  <c r="T24" i="4"/>
  <c r="T25" i="4"/>
  <c r="T26" i="4"/>
  <c r="T27" i="4"/>
  <c r="T28" i="4"/>
  <c r="T29" i="4"/>
  <c r="T30" i="4"/>
  <c r="T31" i="4"/>
  <c r="T32" i="4"/>
  <c r="T33" i="4"/>
  <c r="T34" i="4"/>
  <c r="T24" i="5"/>
  <c r="T25" i="5"/>
  <c r="T26" i="5"/>
  <c r="T27" i="5"/>
  <c r="T28" i="5"/>
  <c r="T29" i="5"/>
  <c r="T30" i="5"/>
  <c r="T31" i="5"/>
  <c r="T32" i="5"/>
  <c r="T33" i="5"/>
  <c r="T34" i="5"/>
  <c r="T24" i="6"/>
  <c r="T25" i="6"/>
  <c r="T26" i="6"/>
  <c r="T27" i="6"/>
  <c r="T28" i="6"/>
  <c r="T29" i="6"/>
  <c r="T30" i="6"/>
  <c r="T31" i="6"/>
  <c r="T32" i="6"/>
  <c r="T33" i="6"/>
  <c r="T34" i="6"/>
  <c r="T24" i="7"/>
  <c r="T25" i="7"/>
  <c r="T26" i="7"/>
  <c r="T27" i="7"/>
  <c r="T28" i="7"/>
  <c r="T29" i="7"/>
  <c r="T30" i="7"/>
  <c r="T31" i="7"/>
  <c r="T32" i="7"/>
  <c r="T33" i="7"/>
  <c r="T34" i="7"/>
  <c r="T24" i="8"/>
  <c r="T25" i="8"/>
  <c r="T26" i="8"/>
  <c r="T27" i="8"/>
  <c r="T28" i="8"/>
  <c r="T29" i="8"/>
  <c r="T30" i="8"/>
  <c r="T31" i="8"/>
  <c r="T32" i="8"/>
  <c r="T33" i="8"/>
  <c r="T34" i="8"/>
  <c r="T24" i="9"/>
  <c r="T25" i="9"/>
  <c r="T26" i="9"/>
  <c r="T27" i="9"/>
  <c r="T28" i="9"/>
  <c r="T29" i="9"/>
  <c r="T30" i="9"/>
  <c r="T31" i="9"/>
  <c r="T32" i="9"/>
  <c r="T33" i="9"/>
  <c r="T34" i="9"/>
  <c r="T24" i="10"/>
  <c r="T25" i="10"/>
  <c r="T26" i="10"/>
  <c r="T27" i="10"/>
  <c r="T28" i="10"/>
  <c r="T29" i="10"/>
  <c r="T30" i="10"/>
  <c r="T31" i="10"/>
  <c r="T32" i="10"/>
  <c r="T33" i="10"/>
  <c r="T34" i="10"/>
  <c r="T24" i="11"/>
  <c r="T25" i="11"/>
  <c r="T26" i="11"/>
  <c r="T27" i="11"/>
  <c r="T28" i="11"/>
  <c r="T29" i="11"/>
  <c r="T30" i="11"/>
  <c r="T31" i="11"/>
  <c r="T32" i="11"/>
  <c r="T33" i="11"/>
  <c r="T34" i="11"/>
  <c r="T24" i="12"/>
  <c r="T25" i="12"/>
  <c r="T26" i="12"/>
  <c r="T27" i="12"/>
  <c r="T28" i="12"/>
  <c r="T29" i="12"/>
  <c r="T30" i="12"/>
  <c r="T31" i="12"/>
  <c r="T32" i="12"/>
  <c r="T33" i="12"/>
  <c r="T34" i="12"/>
  <c r="T24" i="13"/>
  <c r="T25" i="13"/>
  <c r="T26" i="13"/>
  <c r="T27" i="13"/>
  <c r="T28" i="13"/>
  <c r="T29" i="13"/>
  <c r="T30" i="13"/>
  <c r="T31" i="13"/>
  <c r="T32" i="13"/>
  <c r="T33" i="13"/>
  <c r="T34" i="13"/>
  <c r="T24" i="14"/>
  <c r="T25" i="14"/>
  <c r="T27" i="14"/>
  <c r="T28" i="14"/>
  <c r="T29" i="14"/>
  <c r="T30" i="14"/>
  <c r="T31" i="14"/>
  <c r="T33" i="14"/>
  <c r="T34" i="14"/>
  <c r="T35" i="14"/>
  <c r="B33" i="3"/>
  <c r="B32" i="3"/>
  <c r="B32" i="6"/>
  <c r="B32" i="14"/>
  <c r="O32" i="14"/>
  <c r="B33" i="4"/>
  <c r="B33" i="6"/>
  <c r="B33" i="9"/>
  <c r="B33" i="12"/>
  <c r="B33" i="14"/>
  <c r="O33" i="14"/>
  <c r="B34" i="14"/>
  <c r="O34" i="14"/>
  <c r="B35" i="4"/>
  <c r="B35" i="12"/>
  <c r="B35" i="14"/>
  <c r="O35" i="14"/>
  <c r="B36" i="14"/>
  <c r="O36" i="14"/>
  <c r="B37" i="6"/>
  <c r="B37" i="14"/>
  <c r="O37" i="14"/>
  <c r="B38" i="14"/>
  <c r="O38" i="14"/>
  <c r="B31" i="14"/>
  <c r="O31" i="14"/>
  <c r="O39" i="14"/>
  <c r="B39" i="14"/>
  <c r="O17" i="14"/>
  <c r="O18" i="14"/>
  <c r="O23" i="14"/>
  <c r="B17" i="8"/>
  <c r="B17" i="10"/>
  <c r="B17" i="11"/>
  <c r="B17" i="12"/>
  <c r="B17" i="14"/>
  <c r="B18" i="5"/>
  <c r="B18" i="6"/>
  <c r="B18" i="7"/>
  <c r="B18" i="12"/>
  <c r="B18" i="13"/>
  <c r="B18" i="14"/>
  <c r="B19" i="14"/>
  <c r="B20" i="14"/>
  <c r="B21" i="14"/>
  <c r="B22" i="14"/>
  <c r="B23" i="14"/>
  <c r="B10" i="10"/>
  <c r="O36" i="2"/>
  <c r="O39" i="2"/>
  <c r="O32" i="4"/>
  <c r="O33" i="4"/>
  <c r="O35" i="4"/>
  <c r="O36" i="4"/>
  <c r="O37" i="4"/>
  <c r="O39" i="4"/>
  <c r="O32" i="6"/>
  <c r="O33" i="6"/>
  <c r="O37" i="6"/>
  <c r="O39" i="6"/>
  <c r="O39" i="7"/>
  <c r="O33" i="9"/>
  <c r="O36" i="9"/>
  <c r="O37" i="9"/>
  <c r="O39" i="9"/>
  <c r="O39" i="12"/>
  <c r="B10" i="2"/>
  <c r="B10" i="3"/>
  <c r="B10" i="4"/>
  <c r="B10" i="5"/>
  <c r="B10" i="6"/>
  <c r="B10" i="7"/>
  <c r="B10" i="8"/>
  <c r="B10" i="9"/>
  <c r="B10" i="12"/>
  <c r="B10" i="13"/>
  <c r="O31" i="12"/>
  <c r="O10" i="10"/>
  <c r="O37" i="12"/>
  <c r="O17" i="11"/>
  <c r="O18" i="11"/>
  <c r="O23" i="11"/>
  <c r="O17" i="10"/>
  <c r="O23" i="10"/>
  <c r="O17" i="8"/>
  <c r="O23" i="8"/>
  <c r="B39" i="9"/>
  <c r="B23" i="9"/>
  <c r="O17" i="9"/>
  <c r="O23" i="9"/>
  <c r="O33" i="12"/>
  <c r="O5" i="6"/>
  <c r="O10" i="6"/>
  <c r="N30" i="6"/>
  <c r="B23" i="12"/>
  <c r="B45" i="12"/>
  <c r="O17" i="12"/>
  <c r="O18" i="12"/>
  <c r="O23" i="12"/>
  <c r="O18" i="6"/>
  <c r="O23" i="6"/>
  <c r="B23" i="6"/>
  <c r="B45" i="6"/>
  <c r="O23" i="4"/>
  <c r="B23" i="4"/>
  <c r="B23" i="3"/>
  <c r="O38" i="12"/>
  <c r="O41" i="12"/>
  <c r="C40" i="11"/>
  <c r="H40" i="10"/>
  <c r="O41" i="3"/>
  <c r="P41" i="3"/>
  <c r="U39" i="3"/>
  <c r="P35" i="3"/>
  <c r="U40" i="3"/>
  <c r="P33" i="3"/>
  <c r="U41" i="3"/>
  <c r="P31" i="3"/>
  <c r="U42" i="3"/>
  <c r="P32" i="3"/>
  <c r="U43" i="3"/>
  <c r="P34" i="3"/>
  <c r="U44" i="3"/>
  <c r="T39" i="3"/>
  <c r="T40" i="3"/>
  <c r="T41" i="3"/>
  <c r="T42" i="3"/>
  <c r="T43" i="3"/>
  <c r="T44" i="3"/>
  <c r="B45" i="3"/>
  <c r="P38" i="3"/>
  <c r="O41" i="4"/>
  <c r="P35" i="4"/>
  <c r="U40" i="4"/>
  <c r="P33" i="4"/>
  <c r="U41" i="4"/>
  <c r="P31" i="4"/>
  <c r="U42" i="4"/>
  <c r="P32" i="4"/>
  <c r="U43" i="4"/>
  <c r="P34" i="4"/>
  <c r="U44" i="4"/>
  <c r="T40" i="4"/>
  <c r="T41" i="4"/>
  <c r="T42" i="4"/>
  <c r="T43" i="4"/>
  <c r="T44" i="4"/>
  <c r="B45" i="4"/>
  <c r="O45" i="4"/>
  <c r="T38" i="4"/>
  <c r="O41" i="5"/>
  <c r="P41" i="5"/>
  <c r="U39" i="5"/>
  <c r="P35" i="5"/>
  <c r="U40" i="5"/>
  <c r="P33" i="5"/>
  <c r="U41" i="5"/>
  <c r="P31" i="5"/>
  <c r="U42" i="5"/>
  <c r="P32" i="5"/>
  <c r="U43" i="5"/>
  <c r="P34" i="5"/>
  <c r="U44" i="5"/>
  <c r="T39" i="5"/>
  <c r="T40" i="5"/>
  <c r="T41" i="5"/>
  <c r="T42" i="5"/>
  <c r="T43" i="5"/>
  <c r="T44" i="5"/>
  <c r="B45" i="5"/>
  <c r="O45" i="5"/>
  <c r="T38" i="5"/>
  <c r="O41" i="6"/>
  <c r="T44" i="6"/>
  <c r="T42" i="6"/>
  <c r="T41" i="6"/>
  <c r="T40" i="6"/>
  <c r="O45" i="6"/>
  <c r="T38" i="6"/>
  <c r="O41" i="7"/>
  <c r="P41" i="7"/>
  <c r="U39" i="7"/>
  <c r="P35" i="7"/>
  <c r="U40" i="7"/>
  <c r="P33" i="7"/>
  <c r="U41" i="7"/>
  <c r="P31" i="7"/>
  <c r="P32" i="7"/>
  <c r="U43" i="7"/>
  <c r="P34" i="7"/>
  <c r="U44" i="7"/>
  <c r="T39" i="7"/>
  <c r="T40" i="7"/>
  <c r="T41" i="7"/>
  <c r="T42" i="7"/>
  <c r="T43" i="7"/>
  <c r="T44" i="7"/>
  <c r="B45" i="7"/>
  <c r="O45" i="7"/>
  <c r="T38" i="7"/>
  <c r="O41" i="8"/>
  <c r="P35" i="8"/>
  <c r="U40" i="8"/>
  <c r="P33" i="8"/>
  <c r="U41" i="8"/>
  <c r="P31" i="8"/>
  <c r="U42" i="8"/>
  <c r="P32" i="8"/>
  <c r="P34" i="8"/>
  <c r="U44" i="8"/>
  <c r="T40" i="8"/>
  <c r="T41" i="8"/>
  <c r="T42" i="8"/>
  <c r="T43" i="8"/>
  <c r="T44" i="8"/>
  <c r="B45" i="8"/>
  <c r="O45" i="8"/>
  <c r="T38" i="8"/>
  <c r="O41" i="9"/>
  <c r="P41" i="9"/>
  <c r="U39" i="9"/>
  <c r="P35" i="9"/>
  <c r="U40" i="9"/>
  <c r="P33" i="9"/>
  <c r="U41" i="9"/>
  <c r="P31" i="9"/>
  <c r="U42" i="9"/>
  <c r="P32" i="9"/>
  <c r="U43" i="9"/>
  <c r="P34" i="9"/>
  <c r="U44" i="9"/>
  <c r="T39" i="9"/>
  <c r="T40" i="9"/>
  <c r="T41" i="9"/>
  <c r="T42" i="9"/>
  <c r="T43" i="9"/>
  <c r="T44" i="9"/>
  <c r="B45" i="9"/>
  <c r="O41" i="10"/>
  <c r="P41" i="10"/>
  <c r="U39" i="10"/>
  <c r="P35" i="10"/>
  <c r="U40" i="10"/>
  <c r="P33" i="10"/>
  <c r="U41" i="10"/>
  <c r="P31" i="10"/>
  <c r="U42" i="10"/>
  <c r="P32" i="10"/>
  <c r="U43" i="10"/>
  <c r="P34" i="10"/>
  <c r="U44" i="10"/>
  <c r="U45" i="10"/>
  <c r="T39" i="10"/>
  <c r="T40" i="10"/>
  <c r="T41" i="10"/>
  <c r="T42" i="10"/>
  <c r="T43" i="10"/>
  <c r="T44" i="10"/>
  <c r="B45" i="10"/>
  <c r="O45" i="10"/>
  <c r="T38" i="10"/>
  <c r="P38" i="10"/>
  <c r="O41" i="11"/>
  <c r="T39" i="11"/>
  <c r="P41" i="11"/>
  <c r="U39" i="11"/>
  <c r="P35" i="11"/>
  <c r="U40" i="11"/>
  <c r="P33" i="11"/>
  <c r="U41" i="11"/>
  <c r="P31" i="11"/>
  <c r="U42" i="11"/>
  <c r="P32" i="11"/>
  <c r="U43" i="11"/>
  <c r="P34" i="11"/>
  <c r="U44" i="11"/>
  <c r="U45" i="11"/>
  <c r="T40" i="11"/>
  <c r="T41" i="11"/>
  <c r="T42" i="11"/>
  <c r="T43" i="11"/>
  <c r="T44" i="11"/>
  <c r="T45" i="11"/>
  <c r="B45" i="11"/>
  <c r="O45" i="11"/>
  <c r="T38" i="11"/>
  <c r="P34" i="12"/>
  <c r="U44" i="12"/>
  <c r="T44" i="12"/>
  <c r="P32" i="12"/>
  <c r="U43" i="12"/>
  <c r="T43" i="12"/>
  <c r="P31" i="12"/>
  <c r="U42" i="12"/>
  <c r="T42" i="12"/>
  <c r="P33" i="12"/>
  <c r="U41" i="12"/>
  <c r="T41" i="12"/>
  <c r="O41" i="13"/>
  <c r="T39" i="13"/>
  <c r="P41" i="13"/>
  <c r="U39" i="13"/>
  <c r="P35" i="13"/>
  <c r="U40" i="13"/>
  <c r="P33" i="13"/>
  <c r="U41" i="13"/>
  <c r="P31" i="13"/>
  <c r="U42" i="13"/>
  <c r="P32" i="13"/>
  <c r="U43" i="13"/>
  <c r="P34" i="13"/>
  <c r="U44" i="13"/>
  <c r="U45" i="13"/>
  <c r="T40" i="13"/>
  <c r="T41" i="13"/>
  <c r="T42" i="13"/>
  <c r="T43" i="13"/>
  <c r="T44" i="13"/>
  <c r="T45" i="13"/>
  <c r="B45" i="13"/>
  <c r="O45" i="13"/>
  <c r="T38" i="13"/>
  <c r="O41" i="2"/>
  <c r="P41" i="2"/>
  <c r="U39" i="2"/>
  <c r="P34" i="2"/>
  <c r="U44" i="2"/>
  <c r="T44" i="2"/>
  <c r="P32" i="2"/>
  <c r="U43" i="2"/>
  <c r="T43" i="2"/>
  <c r="P31" i="2"/>
  <c r="U42" i="2"/>
  <c r="T42" i="2"/>
  <c r="P33" i="2"/>
  <c r="U41" i="2"/>
  <c r="T41" i="2"/>
  <c r="P35" i="2"/>
  <c r="U40" i="2"/>
  <c r="T40" i="2"/>
  <c r="B45" i="2"/>
  <c r="O45" i="2"/>
  <c r="T38" i="2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M43" i="5"/>
  <c r="L43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T43" i="14"/>
  <c r="T45" i="14"/>
  <c r="F41" i="14"/>
  <c r="T39" i="6"/>
  <c r="T39" i="2"/>
  <c r="T45" i="2"/>
  <c r="P38" i="11"/>
  <c r="T45" i="10"/>
  <c r="U43" i="8"/>
  <c r="P38" i="8"/>
  <c r="T21" i="5"/>
  <c r="T45" i="5"/>
  <c r="U45" i="5"/>
  <c r="T45" i="3"/>
  <c r="U45" i="3"/>
  <c r="P38" i="13"/>
  <c r="T39" i="8"/>
  <c r="T45" i="8"/>
  <c r="P41" i="8"/>
  <c r="U39" i="8"/>
  <c r="U45" i="8"/>
  <c r="T45" i="7"/>
  <c r="U42" i="7"/>
  <c r="P38" i="7"/>
  <c r="U45" i="7"/>
  <c r="P41" i="4"/>
  <c r="U39" i="4"/>
  <c r="T39" i="4"/>
  <c r="T45" i="4"/>
  <c r="O45" i="3"/>
  <c r="T38" i="3"/>
  <c r="P38" i="5"/>
  <c r="K43" i="6"/>
  <c r="O43" i="5"/>
  <c r="L43" i="2"/>
  <c r="L43" i="13"/>
  <c r="M43" i="13"/>
  <c r="T21" i="13"/>
  <c r="O43" i="13"/>
  <c r="L41" i="14"/>
  <c r="H41" i="14"/>
  <c r="M41" i="14"/>
  <c r="E41" i="14"/>
  <c r="J41" i="14"/>
  <c r="D41" i="14"/>
  <c r="K41" i="14"/>
  <c r="I41" i="14"/>
  <c r="L43" i="12"/>
  <c r="T21" i="12"/>
  <c r="M43" i="12"/>
  <c r="B45" i="14"/>
  <c r="P41" i="12"/>
  <c r="U39" i="12"/>
  <c r="T39" i="12"/>
  <c r="N41" i="14"/>
  <c r="B41" i="14"/>
  <c r="U45" i="4"/>
  <c r="P38" i="4"/>
  <c r="T45" i="9"/>
  <c r="O41" i="14"/>
  <c r="T40" i="14"/>
  <c r="U45" i="9"/>
  <c r="P38" i="9"/>
  <c r="O45" i="9"/>
  <c r="T38" i="9"/>
  <c r="H43" i="6"/>
  <c r="T21" i="6"/>
  <c r="T43" i="6"/>
  <c r="T45" i="6"/>
  <c r="P32" i="6"/>
  <c r="U43" i="6"/>
  <c r="T44" i="14"/>
  <c r="C41" i="14"/>
  <c r="P38" i="2"/>
  <c r="T21" i="2"/>
  <c r="M43" i="2"/>
  <c r="O43" i="2"/>
  <c r="U45" i="2"/>
  <c r="T21" i="10"/>
  <c r="M43" i="10"/>
  <c r="L43" i="10"/>
  <c r="M43" i="11"/>
  <c r="L43" i="3"/>
  <c r="M43" i="3"/>
  <c r="T21" i="3"/>
  <c r="G41" i="14"/>
  <c r="T42" i="14"/>
  <c r="O45" i="12"/>
  <c r="T38" i="12"/>
  <c r="O35" i="12"/>
  <c r="O43" i="12"/>
  <c r="T21" i="11"/>
  <c r="L43" i="11"/>
  <c r="M43" i="8"/>
  <c r="L43" i="8"/>
  <c r="T21" i="8"/>
  <c r="O45" i="14"/>
  <c r="T39" i="14"/>
  <c r="T21" i="9"/>
  <c r="M43" i="9"/>
  <c r="L43" i="9"/>
  <c r="O43" i="6"/>
  <c r="P41" i="6"/>
  <c r="U39" i="6"/>
  <c r="P33" i="6"/>
  <c r="U41" i="6"/>
  <c r="P35" i="6"/>
  <c r="U40" i="6"/>
  <c r="P31" i="6"/>
  <c r="P34" i="6"/>
  <c r="U44" i="6"/>
  <c r="T21" i="4"/>
  <c r="M43" i="4"/>
  <c r="L43" i="4"/>
  <c r="L43" i="7"/>
  <c r="T21" i="7"/>
  <c r="M43" i="7"/>
  <c r="O43" i="10"/>
  <c r="O43" i="3"/>
  <c r="P35" i="12"/>
  <c r="P35" i="14"/>
  <c r="U41" i="14"/>
  <c r="T40" i="12"/>
  <c r="T45" i="12"/>
  <c r="J43" i="14"/>
  <c r="T21" i="14"/>
  <c r="O43" i="11"/>
  <c r="O43" i="8"/>
  <c r="O43" i="4"/>
  <c r="O43" i="9"/>
  <c r="P31" i="14"/>
  <c r="P34" i="14"/>
  <c r="U45" i="14"/>
  <c r="P33" i="14"/>
  <c r="U42" i="14"/>
  <c r="P41" i="14"/>
  <c r="U40" i="14"/>
  <c r="U42" i="6"/>
  <c r="U45" i="6"/>
  <c r="P38" i="6"/>
  <c r="P32" i="14"/>
  <c r="U44" i="14"/>
  <c r="O43" i="7"/>
  <c r="T41" i="14"/>
  <c r="T46" i="14"/>
  <c r="U40" i="12"/>
  <c r="U45" i="12"/>
  <c r="P38" i="12"/>
  <c r="O43" i="14"/>
  <c r="U43" i="14"/>
  <c r="U46" i="14"/>
  <c r="P38" i="14"/>
</calcChain>
</file>

<file path=xl/comments1.xml><?xml version="1.0" encoding="utf-8"?>
<comments xmlns="http://schemas.openxmlformats.org/spreadsheetml/2006/main">
  <authors>
    <author>Kaj</author>
    <author>www.statistikdatabasen.scb.se</author>
    <author>Rickard</author>
  </authors>
  <commentList>
    <comment ref="N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El till elpannor och värmepumpar.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T21" authorId="0">
      <text>
        <r>
          <rPr>
            <b/>
            <sz val="10"/>
            <color indexed="81"/>
            <rFont val="Calibri"/>
          </rPr>
          <t>Kaj:</t>
        </r>
        <r>
          <rPr>
            <sz val="10"/>
            <color indexed="81"/>
            <rFont val="Calibri"/>
          </rPr>
          <t xml:space="preserve">
Exkl. kärnkraft.</t>
        </r>
      </text>
    </comment>
    <comment ref="M32" authorId="2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Bioextrakt/Natriumformiat, Alvamix, Bioslam, Starkgas, Tallolja</t>
        </r>
      </text>
    </comment>
  </commentList>
</comments>
</file>

<file path=xl/comments1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>
  <authors>
    <author>Rickard</author>
    <author>www.statistikdatabasen.scb.se</author>
  </authors>
  <commentList>
    <comment ref="K17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Svensk Fjärrvärme: Avfall västervik, flyttat från fasta icke-förnybara och förnybara bränslen.</t>
        </r>
      </text>
    </comment>
    <comment ref="A19" authorId="1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>
  <authors>
    <author>Rickard</author>
    <author>www.statistikdatabasen.scb.se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Svensk Fjärrvärme &amp; Fjärrvärmekollen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Fjärrvärmekollen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Fjärrvärmekollen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Fjärrvärmekollen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Svensk Fjärrvärme &amp; Fjärrvärmekollen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Svensk Fjärrvärme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Fjärrvärmekollen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Svensk Fjärrvärme</t>
        </r>
      </text>
    </comment>
    <comment ref="A19" authorId="1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Köpt hetvatten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Antaget utifrån föregående år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Från ind.beräk.</t>
        </r>
      </text>
    </comment>
    <comment ref="C32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Justerad för att inkludera Arlas värmeproduktion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i kolumnen</t>
        </r>
      </text>
    </comment>
    <comment ref="N32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inom industri</t>
        </r>
      </text>
    </comment>
    <comment ref="N34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inom transporter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på rad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 xml:space="preserve">Rickard:
</t>
        </r>
        <r>
          <rPr>
            <sz val="9"/>
            <color indexed="81"/>
            <rFont val="Tahoma"/>
            <family val="2"/>
          </rPr>
          <t>Fjärrvärmekollen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Ok enligt Svensk Fjärrvärme</t>
        </r>
      </text>
    </comment>
    <comment ref="G39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Justerad för att inkludera Arlas värmeproduktion</t>
        </r>
      </text>
    </comment>
  </commentList>
</comments>
</file>

<file path=xl/comments1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  <author>Rickard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B21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Svensk Fjärrvärme</t>
        </r>
      </text>
    </comment>
    <comment ref="B32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i kolumn</t>
        </r>
      </text>
    </comment>
    <comment ref="C32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i kolumn</t>
        </r>
      </text>
    </comment>
    <comment ref="B33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i offentlig verksamhet</t>
        </r>
      </text>
    </comment>
    <comment ref="N33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i kolumn</t>
        </r>
      </text>
    </comment>
    <comment ref="C36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i småhus</t>
        </r>
      </text>
    </comment>
    <comment ref="N37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i flerbostadshus</t>
        </r>
      </text>
    </comment>
    <comment ref="B39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Fjärrvärmekollen</t>
        </r>
      </text>
    </comment>
    <comment ref="G39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på rad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  <author>Rickard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D32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Kol och petroleumkoks</t>
        </r>
      </text>
    </comment>
    <comment ref="B39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Fjvk mörbylånga+färjestaden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Rickard</author>
    <author>www.statistikdatabasen.scb.se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Såld el till nätägaren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Fliseryd</t>
        </r>
      </text>
    </comment>
    <comment ref="A19" authorId="1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F32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Metanol</t>
        </r>
      </text>
    </comment>
    <comment ref="M32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Bioextrakt/Natriumformiat, Alvamix, Bioslam, Starkgas, Tallolja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Delmängd flerbostadshus med samma förhållande som i KRE 2014.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  <author>Rickard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E32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i länet</t>
        </r>
      </text>
    </comment>
    <comment ref="G32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på rad</t>
        </r>
      </text>
    </comment>
  </commentList>
</comments>
</file>

<file path=xl/sharedStrings.xml><?xml version="1.0" encoding="utf-8"?>
<sst xmlns="http://schemas.openxmlformats.org/spreadsheetml/2006/main" count="1280" uniqueCount="78">
  <si>
    <t>Elproduktion och bränsleanvändning (MWh) efter tid, region, produktionssätt och bränsletyp</t>
  </si>
  <si>
    <t>0821 Högsby</t>
  </si>
  <si>
    <t>Elproduktion</t>
  </si>
  <si>
    <t>Kol och koks</t>
  </si>
  <si>
    <t>Gasol/naturgas</t>
  </si>
  <si>
    <t>Avlutar</t>
  </si>
  <si>
    <t>Biogas</t>
  </si>
  <si>
    <t>Torv</t>
  </si>
  <si>
    <t>Avfall</t>
  </si>
  <si>
    <t>Övrigt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</si>
  <si>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</si>
  <si>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</si>
  <si>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</si>
  <si>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</si>
  <si>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</si>
  <si>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</si>
  <si>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</si>
  <si>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</si>
  <si>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</si>
  <si>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</si>
  <si>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</si>
  <si>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</si>
  <si>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</si>
  <si>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</si>
  <si>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</si>
  <si>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</si>
  <si>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</si>
  <si>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</si>
  <si>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</si>
  <si>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</si>
  <si>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Fjärrvärme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</si>
  <si>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</si>
  <si>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</si>
  <si>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</si>
  <si>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</si>
  <si>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</si>
  <si>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</si>
  <si>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industri</t>
  </si>
  <si>
    <t>slutanv. offentlig verksamhet</t>
  </si>
  <si>
    <t>offentligt</t>
  </si>
  <si>
    <t>slutanv. transporter</t>
  </si>
  <si>
    <t>transporter</t>
  </si>
  <si>
    <t>slutanv. övriga tjänster</t>
  </si>
  <si>
    <t>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</si>
  <si>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</si>
  <si>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</si>
  <si>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</si>
  <si>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</si>
  <si>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</si>
  <si>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</si>
  <si>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</si>
  <si>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</si>
  <si>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</si>
  <si>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</si>
  <si>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</si>
  <si>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</si>
  <si>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</si>
  <si>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</si>
  <si>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</si>
  <si>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0834 Torsås</t>
  </si>
  <si>
    <t>0840 Mörbylånga</t>
  </si>
  <si>
    <t>0860 Hultsfred</t>
  </si>
  <si>
    <t>0861 Mönsterås</t>
  </si>
  <si>
    <t>0862 Emmaboda</t>
  </si>
  <si>
    <t>0880 Kalmar</t>
  </si>
  <si>
    <t>0881 Nybro</t>
  </si>
  <si>
    <t>0882 Oskarshamn</t>
  </si>
  <si>
    <t>0883 Västervik</t>
  </si>
  <si>
    <t>0884 Vimmerby</t>
  </si>
  <si>
    <t>0885 Borgholm</t>
  </si>
  <si>
    <t>Biobränslen</t>
  </si>
  <si>
    <t>Kalmar län</t>
  </si>
  <si>
    <t>stamvedsflis</t>
  </si>
  <si>
    <t>Träbränslen</t>
  </si>
  <si>
    <t>Industriellt mottryck</t>
  </si>
  <si>
    <t>Kärnbränsle</t>
  </si>
  <si>
    <t>Solceller</t>
  </si>
  <si>
    <t>Tallbeckolja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</si>
</sst>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%"/>
    <numFmt numFmtId="166" formatCode="0.0"/>
    <numFmt numFmtId="167" formatCode="#,##0.000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Tahoma"/>
      <family val="2"/>
    </font>
    <font>
      <i/>
      <sz val="11"/>
      <color rgb="FF000000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8"/>
      <color rgb="FF000000"/>
      <name val="Tahoma"/>
      <family val="2"/>
    </font>
    <font>
      <u/>
      <sz val="12"/>
      <color theme="1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FF0000"/>
      <name val="Calibri"/>
      <family val="2"/>
    </font>
    <font>
      <i/>
      <sz val="12"/>
      <color rgb="FFFF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0"/>
      <color indexed="81"/>
      <name val="Calibri"/>
    </font>
    <font>
      <b/>
      <sz val="10"/>
      <color indexed="8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 applyNumberFormat="0" applyBorder="0" applyAlignment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1" applyFont="1" applyFill="1" applyProtection="1"/>
    <xf numFmtId="0" fontId="3" fillId="0" borderId="0" xfId="1" applyFill="1" applyProtection="1"/>
    <xf numFmtId="0" fontId="5" fillId="0" borderId="0" xfId="1" applyFont="1"/>
    <xf numFmtId="0" fontId="6" fillId="0" borderId="0" xfId="0" applyFont="1"/>
    <xf numFmtId="0" fontId="7" fillId="0" borderId="0" xfId="1" applyFont="1" applyFill="1" applyProtection="1"/>
    <xf numFmtId="3" fontId="3" fillId="0" borderId="0" xfId="1" applyNumberFormat="1"/>
    <xf numFmtId="0" fontId="3" fillId="0" borderId="0" xfId="1"/>
    <xf numFmtId="0" fontId="7" fillId="0" borderId="0" xfId="0" applyFont="1" applyFill="1" applyProtection="1"/>
    <xf numFmtId="3" fontId="8" fillId="0" borderId="0" xfId="0" applyNumberFormat="1" applyFont="1"/>
    <xf numFmtId="3" fontId="3" fillId="0" borderId="0" xfId="1" applyNumberFormat="1" applyFill="1" applyProtection="1"/>
    <xf numFmtId="3" fontId="9" fillId="0" borderId="0" xfId="1" applyNumberFormat="1" applyFont="1" applyFill="1" applyProtection="1"/>
    <xf numFmtId="164" fontId="3" fillId="0" borderId="0" xfId="1" applyNumberFormat="1"/>
    <xf numFmtId="4" fontId="3" fillId="0" borderId="0" xfId="1" applyNumberFormat="1"/>
    <xf numFmtId="165" fontId="3" fillId="0" borderId="0" xfId="1" applyNumberFormat="1"/>
    <xf numFmtId="10" fontId="3" fillId="0" borderId="0" xfId="1" applyNumberFormat="1"/>
    <xf numFmtId="3" fontId="8" fillId="0" borderId="0" xfId="0" applyNumberFormat="1" applyFont="1" applyAlignment="1">
      <alignment horizontal="right"/>
    </xf>
    <xf numFmtId="165" fontId="10" fillId="0" borderId="0" xfId="1" applyNumberFormat="1" applyFont="1"/>
    <xf numFmtId="165" fontId="5" fillId="0" borderId="0" xfId="1" applyNumberFormat="1" applyFont="1"/>
    <xf numFmtId="166" fontId="3" fillId="0" borderId="0" xfId="1" applyNumberFormat="1"/>
    <xf numFmtId="2" fontId="3" fillId="0" borderId="0" xfId="1" applyNumberFormat="1"/>
    <xf numFmtId="0" fontId="11" fillId="0" borderId="0" xfId="1" applyFont="1"/>
    <xf numFmtId="3" fontId="11" fillId="0" borderId="0" xfId="1" applyNumberFormat="1" applyFont="1"/>
    <xf numFmtId="3" fontId="10" fillId="0" borderId="0" xfId="1" applyNumberFormat="1" applyFont="1"/>
    <xf numFmtId="3" fontId="10" fillId="2" borderId="0" xfId="1" applyNumberFormat="1" applyFont="1" applyFill="1"/>
    <xf numFmtId="3" fontId="12" fillId="2" borderId="0" xfId="1" applyNumberFormat="1" applyFont="1" applyFill="1"/>
    <xf numFmtId="3" fontId="3" fillId="2" borderId="0" xfId="1" applyNumberFormat="1" applyFill="1"/>
    <xf numFmtId="0" fontId="8" fillId="0" borderId="0" xfId="0" applyFont="1"/>
    <xf numFmtId="0" fontId="8" fillId="0" borderId="0" xfId="0" applyFont="1" applyAlignment="1">
      <alignment horizontal="right"/>
    </xf>
    <xf numFmtId="1" fontId="3" fillId="0" borderId="0" xfId="1" applyNumberFormat="1"/>
    <xf numFmtId="165" fontId="10" fillId="0" borderId="0" xfId="2" applyNumberFormat="1" applyFont="1"/>
    <xf numFmtId="165" fontId="2" fillId="0" borderId="0" xfId="2" applyNumberFormat="1" applyFont="1"/>
    <xf numFmtId="3" fontId="12" fillId="0" borderId="0" xfId="1" applyNumberFormat="1" applyFont="1"/>
    <xf numFmtId="9" fontId="12" fillId="0" borderId="0" xfId="2" applyFont="1"/>
    <xf numFmtId="0" fontId="3" fillId="0" borderId="0" xfId="1" applyAlignment="1">
      <alignment horizontal="right"/>
    </xf>
    <xf numFmtId="3" fontId="3" fillId="0" borderId="0" xfId="1" applyNumberFormat="1" applyAlignment="1">
      <alignment horizontal="right"/>
    </xf>
    <xf numFmtId="9" fontId="12" fillId="0" borderId="0" xfId="2" applyNumberFormat="1" applyFont="1"/>
    <xf numFmtId="9" fontId="2" fillId="0" borderId="0" xfId="2" applyFont="1"/>
    <xf numFmtId="0" fontId="0" fillId="0" borderId="0" xfId="0" applyFill="1" applyProtection="1"/>
    <xf numFmtId="0" fontId="14" fillId="0" borderId="0" xfId="0" applyFont="1"/>
    <xf numFmtId="165" fontId="3" fillId="0" borderId="0" xfId="1" applyNumberFormat="1" applyFill="1" applyProtection="1"/>
    <xf numFmtId="165" fontId="1" fillId="0" borderId="0" xfId="2" applyNumberFormat="1" applyFont="1"/>
    <xf numFmtId="3" fontId="0" fillId="0" borderId="0" xfId="1" applyNumberFormat="1" applyFont="1"/>
    <xf numFmtId="0" fontId="8" fillId="0" borderId="0" xfId="3" applyFont="1"/>
    <xf numFmtId="9" fontId="1" fillId="0" borderId="0" xfId="2" applyFont="1"/>
    <xf numFmtId="0" fontId="3" fillId="0" borderId="0" xfId="1" applyFont="1" applyFill="1" applyProtection="1"/>
    <xf numFmtId="3" fontId="0" fillId="0" borderId="0" xfId="0" applyNumberFormat="1" applyFill="1" applyProtection="1"/>
    <xf numFmtId="3" fontId="0" fillId="0" borderId="0" xfId="0" applyNumberFormat="1" applyFill="1" applyAlignment="1" applyProtection="1">
      <alignment horizontal="right"/>
    </xf>
    <xf numFmtId="4" fontId="3" fillId="0" borderId="0" xfId="1" applyNumberFormat="1" applyFill="1" applyProtection="1"/>
    <xf numFmtId="3" fontId="0" fillId="0" borderId="0" xfId="0" applyNumberFormat="1" applyFont="1" applyFill="1" applyAlignment="1" applyProtection="1">
      <alignment horizontal="right"/>
    </xf>
    <xf numFmtId="167" fontId="3" fillId="0" borderId="0" xfId="1" applyNumberFormat="1" applyFill="1" applyProtection="1"/>
    <xf numFmtId="3" fontId="18" fillId="0" borderId="0" xfId="0" applyNumberFormat="1" applyFont="1" applyFill="1" applyAlignment="1" applyProtection="1">
      <alignment horizontal="right"/>
    </xf>
    <xf numFmtId="3" fontId="18" fillId="0" borderId="0" xfId="0" applyNumberFormat="1" applyFont="1" applyFill="1" applyProtection="1"/>
    <xf numFmtId="3" fontId="19" fillId="0" borderId="0" xfId="0" applyNumberFormat="1" applyFont="1" applyFill="1" applyAlignment="1" applyProtection="1">
      <alignment horizontal="right"/>
    </xf>
    <xf numFmtId="3" fontId="19" fillId="0" borderId="0" xfId="0" applyNumberFormat="1" applyFont="1" applyFill="1" applyBorder="1" applyAlignment="1" applyProtection="1">
      <alignment horizontal="right"/>
    </xf>
    <xf numFmtId="3" fontId="20" fillId="0" borderId="0" xfId="0" applyNumberFormat="1" applyFont="1" applyFill="1" applyAlignment="1" applyProtection="1">
      <alignment horizontal="right"/>
    </xf>
    <xf numFmtId="3" fontId="20" fillId="0" borderId="0" xfId="0" applyNumberFormat="1" applyFont="1" applyFill="1" applyProtection="1"/>
    <xf numFmtId="3" fontId="19" fillId="0" borderId="0" xfId="0" applyNumberFormat="1" applyFont="1" applyFill="1" applyProtection="1"/>
    <xf numFmtId="9" fontId="3" fillId="0" borderId="0" xfId="4" applyFont="1"/>
    <xf numFmtId="3" fontId="0" fillId="0" borderId="0" xfId="0" applyNumberFormat="1" applyFont="1" applyFill="1" applyProtection="1"/>
    <xf numFmtId="166" fontId="3" fillId="0" borderId="0" xfId="1" applyNumberFormat="1" applyFill="1" applyProtection="1"/>
    <xf numFmtId="3" fontId="24" fillId="0" borderId="0" xfId="0" applyNumberFormat="1" applyFont="1" applyFill="1" applyProtection="1"/>
    <xf numFmtId="3" fontId="25" fillId="0" borderId="0" xfId="1" applyNumberFormat="1" applyFont="1" applyFill="1" applyProtection="1"/>
    <xf numFmtId="0" fontId="23" fillId="0" borderId="0" xfId="0" applyFont="1" applyFill="1" applyProtection="1"/>
    <xf numFmtId="3" fontId="26" fillId="0" borderId="0" xfId="0" applyNumberFormat="1" applyFont="1" applyFill="1" applyProtection="1"/>
    <xf numFmtId="3" fontId="20" fillId="0" borderId="0" xfId="0" applyNumberFormat="1" applyFont="1" applyFill="1" applyBorder="1" applyAlignment="1" applyProtection="1">
      <alignment horizontal="right"/>
    </xf>
    <xf numFmtId="3" fontId="27" fillId="0" borderId="0" xfId="0" applyNumberFormat="1" applyFont="1" applyAlignment="1">
      <alignment horizontal="right"/>
    </xf>
    <xf numFmtId="9" fontId="8" fillId="0" borderId="0" xfId="4" applyFont="1"/>
    <xf numFmtId="0" fontId="8" fillId="0" borderId="0" xfId="4" applyNumberFormat="1" applyFont="1"/>
  </cellXfs>
  <cellStyles count="5">
    <cellStyle name="Normal" xfId="0" builtinId="0"/>
    <cellStyle name="Normal 2" xfId="1"/>
    <cellStyle name="Normal 3" xfId="3"/>
    <cellStyle name="Percent 2" xfId="2"/>
    <cellStyle name="Procent" xfId="4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8" Type="http://schemas.openxmlformats.org/officeDocument/2006/relationships/worksheet" Target="worksheets/sheet8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7" Type="http://schemas.openxmlformats.org/officeDocument/2006/relationships/worksheet" Target="worksheets/sheet7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customXml" Target="../customXml/item3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1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Relationship Id="rId2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Relationship Id="rId2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Relationship Id="rId2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Relationship Id="rId2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7.vml"/><Relationship Id="rId3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vmlDrawing" Target="../drawings/vmlDrawing9.vml"/><Relationship Id="rId3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/>
  <dimension ref="A1:AV74"/>
  <sheetViews>
    <sheetView topLeftCell="A8" workbookViewId="0">
      <selection activeCell="C49" sqref="C49"/>
    </sheetView>
  </sheetViews>
  <sheetFormatPr baseColWidth="10" defaultColWidth="8.83203125" defaultRowHeight="15" x14ac:dyDescent="0.2"/>
  <cols>
    <col min="1" max="1" width="21.5" style="2" customWidth="1"/>
    <col min="2" max="16" width="10.1640625" style="2" customWidth="1"/>
    <col min="17" max="17" width="9.5" style="2" customWidth="1"/>
    <col min="18" max="20" width="8.83203125" style="2"/>
    <col min="21" max="21" width="10.1640625" style="2" bestFit="1" customWidth="1"/>
    <col min="22" max="22" width="8.83203125" style="2"/>
    <col min="23" max="23" width="10.6640625" style="2" customWidth="1"/>
    <col min="24" max="16384" width="8.832031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4" t="s">
        <v>71</v>
      </c>
      <c r="P2" s="16"/>
      <c r="Q2" s="16"/>
      <c r="R2" s="16"/>
      <c r="S2" s="3"/>
      <c r="T2" s="3"/>
      <c r="U2" s="3"/>
    </row>
    <row r="3" spans="1:21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70</v>
      </c>
      <c r="H3" s="6" t="s">
        <v>6</v>
      </c>
      <c r="I3" s="6" t="s">
        <v>5</v>
      </c>
      <c r="J3" s="6" t="s">
        <v>7</v>
      </c>
      <c r="K3" s="6" t="s">
        <v>8</v>
      </c>
      <c r="L3" s="6" t="s">
        <v>75</v>
      </c>
      <c r="M3" s="6"/>
      <c r="N3" s="6"/>
      <c r="O3" s="7" t="s">
        <v>11</v>
      </c>
      <c r="P3" s="16"/>
      <c r="Q3" s="16"/>
      <c r="R3" s="16"/>
      <c r="S3" s="3"/>
      <c r="T3" s="3"/>
      <c r="U3" s="3"/>
    </row>
    <row r="4" spans="1:21" ht="16" x14ac:dyDescent="0.2">
      <c r="A4" s="5" t="s">
        <v>76</v>
      </c>
      <c r="B4" s="16">
        <f>SUM(Högsby:Borgholm!B4)</f>
        <v>4654.0499999999993</v>
      </c>
      <c r="C4" s="9"/>
      <c r="D4" s="10"/>
      <c r="P4" s="16"/>
      <c r="Q4" s="16"/>
      <c r="R4" s="16"/>
      <c r="S4" s="3"/>
      <c r="T4" s="3"/>
      <c r="U4" s="3"/>
    </row>
    <row r="5" spans="1:21" ht="16" x14ac:dyDescent="0.2">
      <c r="A5" s="5" t="s">
        <v>74</v>
      </c>
      <c r="B5" s="16">
        <f>SUM(Högsby:Borgholm!B5)</f>
        <v>197590</v>
      </c>
      <c r="C5" s="16">
        <f>SUM(Högsby:Borgholm!C5)</f>
        <v>0</v>
      </c>
      <c r="D5" s="16">
        <f>SUM(Högsby:Borgholm!D5)</f>
        <v>0</v>
      </c>
      <c r="E5" s="16">
        <f>SUM(Högsby:Borgholm!E5)</f>
        <v>0</v>
      </c>
      <c r="F5" s="16">
        <f>SUM(Högsby:Borgholm!F5)</f>
        <v>0</v>
      </c>
      <c r="G5" s="16">
        <f>SUM(Högsby:Borgholm!G5)</f>
        <v>105877.16626014729</v>
      </c>
      <c r="H5" s="16">
        <f>SUM(Högsby:Borgholm!H5)</f>
        <v>0</v>
      </c>
      <c r="I5" s="16">
        <f>SUM(Högsby:Borgholm!I5)</f>
        <v>273848.63019009487</v>
      </c>
      <c r="J5" s="16">
        <f>SUM(Högsby:Borgholm!J5)</f>
        <v>0</v>
      </c>
      <c r="K5" s="16">
        <f>SUM(Högsby:Borgholm!K5)</f>
        <v>0</v>
      </c>
      <c r="L5" s="16">
        <f>SUM(Högsby:Borgholm!L5)</f>
        <v>0</v>
      </c>
      <c r="M5" s="16">
        <f>SUM(Högsby:Borgholm!M5)</f>
        <v>0</v>
      </c>
      <c r="N5" s="16">
        <f>SUM(Högsby:Borgholm!N5)</f>
        <v>0</v>
      </c>
      <c r="O5" s="16">
        <f t="shared" ref="O5:O6" si="0">SUM(C5:N5)</f>
        <v>379725.79645024217</v>
      </c>
      <c r="P5" s="16"/>
      <c r="Q5" s="16"/>
      <c r="R5" s="16"/>
      <c r="S5" s="3"/>
      <c r="T5" s="3"/>
      <c r="U5" s="3"/>
    </row>
    <row r="6" spans="1:21" ht="16" x14ac:dyDescent="0.2">
      <c r="A6" s="8" t="s">
        <v>12</v>
      </c>
      <c r="B6" s="16">
        <f>SUM(Högsby:Borgholm!B6)</f>
        <v>151379</v>
      </c>
      <c r="C6" s="16">
        <f>SUM(Högsby:Borgholm!C6)</f>
        <v>0</v>
      </c>
      <c r="D6" s="16">
        <f>SUM(Högsby:Borgholm!D6)</f>
        <v>0</v>
      </c>
      <c r="E6" s="16">
        <f>SUM(Högsby:Borgholm!E6)</f>
        <v>0</v>
      </c>
      <c r="F6" s="16">
        <f>SUM(Högsby:Borgholm!F6)</f>
        <v>0</v>
      </c>
      <c r="G6" s="16">
        <f>SUM(Högsby:Borgholm!G6)</f>
        <v>0</v>
      </c>
      <c r="H6" s="16">
        <f>SUM(Högsby:Borgholm!H6)</f>
        <v>0</v>
      </c>
      <c r="I6" s="16">
        <f>SUM(Högsby:Borgholm!I6)</f>
        <v>0</v>
      </c>
      <c r="J6" s="16">
        <f>SUM(Högsby:Borgholm!J6)</f>
        <v>0</v>
      </c>
      <c r="K6" s="16">
        <f>SUM(Högsby:Borgholm!K6)</f>
        <v>0</v>
      </c>
      <c r="L6" s="16">
        <f>SUM(Högsby:Borgholm!L6)</f>
        <v>0</v>
      </c>
      <c r="M6" s="16">
        <f>SUM(Högsby:Borgholm!M6)</f>
        <v>0</v>
      </c>
      <c r="N6" s="16">
        <f>SUM(Högsby:Borgholm!N6)</f>
        <v>0</v>
      </c>
      <c r="O6" s="16">
        <f t="shared" si="0"/>
        <v>0</v>
      </c>
      <c r="P6" s="16"/>
      <c r="Q6" s="16"/>
      <c r="R6" s="16"/>
      <c r="S6" s="3"/>
      <c r="T6" s="3"/>
      <c r="U6" s="3"/>
    </row>
    <row r="7" spans="1:21" ht="16" x14ac:dyDescent="0.2">
      <c r="A7" s="8" t="s">
        <v>13</v>
      </c>
      <c r="B7" s="16">
        <f>SUM(Högsby:Borgholm!B7)</f>
        <v>12310689</v>
      </c>
      <c r="C7" s="16">
        <f>SUM(Högsby:Borgholm!C7)</f>
        <v>10510</v>
      </c>
      <c r="D7" s="16">
        <f>SUM(Högsby:Borgholm!D7)</f>
        <v>0</v>
      </c>
      <c r="E7" s="16">
        <f>SUM(Högsby:Borgholm!E7)</f>
        <v>0</v>
      </c>
      <c r="F7" s="16">
        <f>SUM(Högsby:Borgholm!F7)</f>
        <v>0</v>
      </c>
      <c r="G7" s="16">
        <f>SUM(Högsby:Borgholm!G7)</f>
        <v>0</v>
      </c>
      <c r="H7" s="16">
        <f>SUM(Högsby:Borgholm!H7)</f>
        <v>0</v>
      </c>
      <c r="I7" s="16">
        <f>SUM(Högsby:Borgholm!I7)</f>
        <v>0</v>
      </c>
      <c r="J7" s="16">
        <f>SUM(Högsby:Borgholm!J7)</f>
        <v>0</v>
      </c>
      <c r="K7" s="16">
        <f>SUM(Högsby:Borgholm!K7)</f>
        <v>0</v>
      </c>
      <c r="L7" s="16">
        <f>SUM(Högsby:Borgholm!L7)</f>
        <v>31051307</v>
      </c>
      <c r="M7" s="16">
        <f>SUM(Högsby:Borgholm!M7)</f>
        <v>0</v>
      </c>
      <c r="N7" s="16">
        <f>SUM(Högsby:Borgholm!N7)</f>
        <v>0</v>
      </c>
      <c r="O7" s="16">
        <f>SUM(C7:N7)</f>
        <v>31061817</v>
      </c>
      <c r="P7" s="16"/>
      <c r="Q7" s="16"/>
      <c r="R7" s="16"/>
      <c r="S7" s="3"/>
      <c r="T7" s="3"/>
      <c r="U7" s="3"/>
    </row>
    <row r="8" spans="1:21" ht="16" x14ac:dyDescent="0.2">
      <c r="A8" s="8" t="s">
        <v>14</v>
      </c>
      <c r="B8" s="16">
        <f>SUM(Högsby:Borgholm!B8)</f>
        <v>57458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6"/>
      <c r="P8" s="16"/>
      <c r="Q8" s="16"/>
      <c r="R8" s="16"/>
      <c r="S8" s="3"/>
      <c r="T8" s="3"/>
      <c r="U8" s="3"/>
    </row>
    <row r="9" spans="1:21" ht="16" x14ac:dyDescent="0.2">
      <c r="A9" s="8" t="s">
        <v>15</v>
      </c>
      <c r="B9" s="16">
        <f>SUM(Högsby:Borgholm!B9)</f>
        <v>1014526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6"/>
      <c r="P9" s="16"/>
      <c r="Q9" s="16"/>
      <c r="R9" s="16"/>
      <c r="S9" s="3"/>
      <c r="T9" s="3"/>
      <c r="U9" s="3"/>
    </row>
    <row r="10" spans="1:21" ht="16" x14ac:dyDescent="0.2">
      <c r="A10" s="8" t="s">
        <v>16</v>
      </c>
      <c r="B10" s="16">
        <f>SUM(B4:B9)</f>
        <v>13736296.050000001</v>
      </c>
      <c r="C10" s="16">
        <f>SUM(C5:C7)</f>
        <v>10510</v>
      </c>
      <c r="D10" s="16">
        <f t="shared" ref="D10:O10" si="1">SUM(D5:D7)</f>
        <v>0</v>
      </c>
      <c r="E10" s="16">
        <f t="shared" si="1"/>
        <v>0</v>
      </c>
      <c r="F10" s="16">
        <f t="shared" si="1"/>
        <v>0</v>
      </c>
      <c r="G10" s="16">
        <f t="shared" si="1"/>
        <v>105877.16626014729</v>
      </c>
      <c r="H10" s="16">
        <f t="shared" si="1"/>
        <v>0</v>
      </c>
      <c r="I10" s="16">
        <f t="shared" si="1"/>
        <v>273848.63019009487</v>
      </c>
      <c r="J10" s="16">
        <f t="shared" si="1"/>
        <v>0</v>
      </c>
      <c r="K10" s="16">
        <f t="shared" si="1"/>
        <v>0</v>
      </c>
      <c r="L10" s="16">
        <f t="shared" si="1"/>
        <v>31051307</v>
      </c>
      <c r="M10" s="16">
        <f t="shared" si="1"/>
        <v>0</v>
      </c>
      <c r="N10" s="16">
        <f t="shared" si="1"/>
        <v>0</v>
      </c>
      <c r="O10" s="16">
        <f t="shared" si="1"/>
        <v>31441542.796450242</v>
      </c>
      <c r="P10" s="16"/>
      <c r="Q10" s="16"/>
      <c r="R10" s="16"/>
      <c r="S10" s="3"/>
      <c r="T10" s="3"/>
      <c r="U10" s="3"/>
    </row>
    <row r="11" spans="1:21" ht="16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3"/>
      <c r="T11" s="3"/>
      <c r="U11" s="3"/>
    </row>
    <row r="12" spans="1:21" ht="16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3"/>
      <c r="T12" s="3"/>
      <c r="U12" s="3"/>
    </row>
    <row r="13" spans="1:21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16"/>
      <c r="Q13" s="16"/>
      <c r="R13" s="16"/>
      <c r="S13" s="3"/>
      <c r="T13" s="3"/>
      <c r="U13" s="3"/>
    </row>
    <row r="14" spans="1:21" ht="16" x14ac:dyDescent="0.2">
      <c r="A14" s="4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6"/>
      <c r="Q14" s="16"/>
      <c r="R14" s="16"/>
      <c r="S14" s="3"/>
      <c r="T14" s="3"/>
      <c r="U14" s="3"/>
    </row>
    <row r="15" spans="1:21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70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</v>
      </c>
      <c r="M15" s="6" t="s">
        <v>9</v>
      </c>
      <c r="N15" s="6" t="s">
        <v>10</v>
      </c>
      <c r="O15" s="10" t="s">
        <v>11</v>
      </c>
      <c r="P15" s="16"/>
      <c r="Q15" s="16"/>
      <c r="R15" s="16"/>
      <c r="S15" s="3"/>
      <c r="T15" s="3"/>
      <c r="U15" s="3"/>
    </row>
    <row r="16" spans="1:21" ht="16" x14ac:dyDescent="0.2">
      <c r="B16" s="10"/>
      <c r="C16" s="38"/>
      <c r="D16" s="38"/>
      <c r="E16" s="38"/>
      <c r="F16" s="38"/>
      <c r="G16" s="38"/>
      <c r="H16" s="10"/>
      <c r="I16" s="10"/>
      <c r="J16" s="10"/>
      <c r="K16" s="10"/>
      <c r="L16" s="10"/>
      <c r="M16" s="10"/>
      <c r="N16" s="10"/>
      <c r="O16" s="10"/>
      <c r="P16" s="16"/>
      <c r="Q16" s="16"/>
      <c r="R16" s="16"/>
      <c r="S16" s="3"/>
      <c r="T16" s="3"/>
      <c r="U16" s="3"/>
    </row>
    <row r="17" spans="1:21" ht="16" x14ac:dyDescent="0.2">
      <c r="A17" s="8" t="s">
        <v>20</v>
      </c>
      <c r="B17" s="16">
        <f>SUM(Högsby:Borgholm!B17)</f>
        <v>938283</v>
      </c>
      <c r="C17" s="16">
        <f>SUM(Högsby:Borgholm!C17)</f>
        <v>9721</v>
      </c>
      <c r="D17" s="16">
        <f>SUM(Högsby:Borgholm!D17)</f>
        <v>0</v>
      </c>
      <c r="E17" s="16">
        <f>SUM(Högsby:Borgholm!E17)</f>
        <v>0</v>
      </c>
      <c r="F17" s="16">
        <f>SUM(Högsby:Borgholm!F17)</f>
        <v>15934</v>
      </c>
      <c r="G17" s="16">
        <f>SUM(Högsby:Borgholm!G17)</f>
        <v>935845</v>
      </c>
      <c r="H17" s="16">
        <f>SUM(Högsby:Borgholm!H17)</f>
        <v>0</v>
      </c>
      <c r="I17" s="16">
        <f>SUM(Högsby:Borgholm!I17)</f>
        <v>0</v>
      </c>
      <c r="J17" s="16">
        <f>SUM(Högsby:Borgholm!J17)</f>
        <v>0</v>
      </c>
      <c r="K17" s="16">
        <f>SUM(Högsby:Borgholm!K17)</f>
        <v>163235</v>
      </c>
      <c r="L17" s="16">
        <f>SUM(Högsby:Borgholm!L17)</f>
        <v>0</v>
      </c>
      <c r="M17" s="16">
        <f>SUM(Högsby:Borgholm!M17)</f>
        <v>0</v>
      </c>
      <c r="N17" s="16">
        <f>SUM(Högsby:Borgholm!N17)</f>
        <v>1368.51</v>
      </c>
      <c r="O17" s="16">
        <f t="shared" ref="O17:O18" si="2">SUM(C17:N17)</f>
        <v>1126103.51</v>
      </c>
      <c r="P17" s="16"/>
      <c r="Q17" s="16"/>
      <c r="R17" s="16"/>
      <c r="S17" s="3"/>
      <c r="T17" s="3"/>
      <c r="U17" s="3"/>
    </row>
    <row r="18" spans="1:21" ht="16" x14ac:dyDescent="0.2">
      <c r="A18" s="8" t="s">
        <v>21</v>
      </c>
      <c r="B18" s="16">
        <f>SUM(Högsby:Borgholm!B18)</f>
        <v>266032.5</v>
      </c>
      <c r="C18" s="16">
        <f>SUM(Högsby:Borgholm!C18)</f>
        <v>15884</v>
      </c>
      <c r="D18" s="16">
        <f>SUM(Högsby:Borgholm!D18)</f>
        <v>0</v>
      </c>
      <c r="E18" s="16">
        <f>SUM(Högsby:Borgholm!E18)</f>
        <v>0</v>
      </c>
      <c r="F18" s="16">
        <f>SUM(Högsby:Borgholm!F18)</f>
        <v>1700</v>
      </c>
      <c r="G18" s="16">
        <f>SUM(Högsby:Borgholm!G18)</f>
        <v>270004</v>
      </c>
      <c r="H18" s="16">
        <f>SUM(Högsby:Borgholm!H18)</f>
        <v>836</v>
      </c>
      <c r="I18" s="16">
        <f>SUM(Högsby:Borgholm!I18)</f>
        <v>0</v>
      </c>
      <c r="J18" s="16">
        <f>SUM(Högsby:Borgholm!J18)</f>
        <v>0</v>
      </c>
      <c r="K18" s="16">
        <f>SUM(Högsby:Borgholm!K18)</f>
        <v>0</v>
      </c>
      <c r="L18" s="16">
        <f>SUM(Högsby:Borgholm!L18)</f>
        <v>0</v>
      </c>
      <c r="M18" s="16">
        <f>SUM(Högsby:Borgholm!M18)</f>
        <v>0</v>
      </c>
      <c r="N18" s="16">
        <f>SUM(Högsby:Borgholm!N18)</f>
        <v>0</v>
      </c>
      <c r="O18" s="16">
        <f t="shared" si="2"/>
        <v>288424</v>
      </c>
      <c r="P18" s="16"/>
      <c r="Q18" s="16"/>
      <c r="R18" s="16"/>
      <c r="S18" s="3"/>
      <c r="T18" s="3"/>
      <c r="U18" s="3"/>
    </row>
    <row r="19" spans="1:21" ht="16" x14ac:dyDescent="0.2">
      <c r="A19" s="8" t="s">
        <v>22</v>
      </c>
      <c r="B19" s="16">
        <f>SUM(Högsby:Borgholm!B19)</f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6"/>
      <c r="O19" s="16"/>
      <c r="P19" s="16"/>
      <c r="Q19" s="16"/>
      <c r="R19" s="16"/>
      <c r="S19" s="3"/>
      <c r="T19" s="3"/>
      <c r="U19" s="3"/>
    </row>
    <row r="20" spans="1:21" ht="16" x14ac:dyDescent="0.2">
      <c r="A20" s="8" t="s">
        <v>23</v>
      </c>
      <c r="B20" s="16">
        <f>SUM(Högsby:Borgholm!B20)</f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6"/>
      <c r="O20" s="16"/>
      <c r="P20" s="16"/>
      <c r="Q20" s="16"/>
      <c r="R20" s="16"/>
      <c r="S20" s="3"/>
      <c r="T20" s="3"/>
      <c r="U20" s="3"/>
    </row>
    <row r="21" spans="1:21" ht="16" x14ac:dyDescent="0.2">
      <c r="A21" s="8" t="s">
        <v>24</v>
      </c>
      <c r="B21" s="16">
        <f>SUM(Högsby:Borgholm!B21)</f>
        <v>86634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6"/>
      <c r="P21" s="16"/>
      <c r="Q21" s="16"/>
      <c r="R21" s="16"/>
      <c r="S21" s="3" t="s">
        <v>26</v>
      </c>
      <c r="T21" s="12">
        <f>O42/1000</f>
        <v>14350.037523888888</v>
      </c>
      <c r="U21" s="3"/>
    </row>
    <row r="22" spans="1:21" ht="16" x14ac:dyDescent="0.2">
      <c r="A22" s="8" t="s">
        <v>25</v>
      </c>
      <c r="B22" s="16">
        <f>SUM(Högsby:Borgholm!B22)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6"/>
      <c r="P22" s="16"/>
      <c r="Q22" s="16"/>
      <c r="R22" s="16"/>
      <c r="S22" s="3"/>
      <c r="T22" s="3"/>
      <c r="U22" s="3"/>
    </row>
    <row r="23" spans="1:21" ht="16" x14ac:dyDescent="0.2">
      <c r="A23" s="8" t="s">
        <v>16</v>
      </c>
      <c r="B23" s="16">
        <f>SUM(B17:B22)</f>
        <v>1290949.5</v>
      </c>
      <c r="C23" s="16">
        <f t="shared" ref="C23:O23" si="3">SUM(C17:C22)</f>
        <v>25605</v>
      </c>
      <c r="D23" s="16">
        <f t="shared" si="3"/>
        <v>0</v>
      </c>
      <c r="E23" s="16">
        <f t="shared" si="3"/>
        <v>0</v>
      </c>
      <c r="F23" s="16">
        <f t="shared" si="3"/>
        <v>17634</v>
      </c>
      <c r="G23" s="16">
        <f t="shared" si="3"/>
        <v>1205849</v>
      </c>
      <c r="H23" s="16">
        <f t="shared" si="3"/>
        <v>836</v>
      </c>
      <c r="I23" s="16">
        <f t="shared" si="3"/>
        <v>0</v>
      </c>
      <c r="J23" s="16">
        <f t="shared" si="3"/>
        <v>0</v>
      </c>
      <c r="K23" s="16">
        <f t="shared" si="3"/>
        <v>163235</v>
      </c>
      <c r="L23" s="16">
        <f t="shared" si="3"/>
        <v>0</v>
      </c>
      <c r="M23" s="16">
        <f t="shared" si="3"/>
        <v>0</v>
      </c>
      <c r="N23" s="16">
        <f t="shared" si="3"/>
        <v>1368.51</v>
      </c>
      <c r="O23" s="16">
        <f t="shared" si="3"/>
        <v>1414527.51</v>
      </c>
      <c r="P23" s="16"/>
      <c r="Q23" s="16"/>
      <c r="R23" s="16"/>
      <c r="S23" s="3"/>
      <c r="T23" s="3" t="s">
        <v>27</v>
      </c>
      <c r="U23" s="3" t="s">
        <v>28</v>
      </c>
    </row>
    <row r="24" spans="1:21" ht="16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3" t="s">
        <v>10</v>
      </c>
      <c r="T24" s="13">
        <f>N42/1000</f>
        <v>2697.6215099999999</v>
      </c>
      <c r="U24" s="14">
        <f>N43</f>
        <v>0.18798707010411631</v>
      </c>
    </row>
    <row r="25" spans="1:21" ht="16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3" t="s">
        <v>70</v>
      </c>
      <c r="T25" s="13">
        <f>G42/1000</f>
        <v>2934.306</v>
      </c>
      <c r="U25" s="15">
        <f>G43</f>
        <v>0.204480719657714</v>
      </c>
    </row>
    <row r="26" spans="1:21" ht="16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3" t="s">
        <v>9</v>
      </c>
      <c r="T26" s="13">
        <f>M42/1000</f>
        <v>79.341999999999999</v>
      </c>
      <c r="U26" s="14">
        <f>M43</f>
        <v>5.529044775521825E-3</v>
      </c>
    </row>
    <row r="27" spans="1:21" ht="16" x14ac:dyDescent="0.2">
      <c r="A27" s="16" t="s">
        <v>29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3" t="s">
        <v>31</v>
      </c>
      <c r="T27" s="13">
        <f>F42/1000</f>
        <v>264.59899999999999</v>
      </c>
      <c r="U27" s="14">
        <f>F43</f>
        <v>1.8438906487841238E-2</v>
      </c>
    </row>
    <row r="28" spans="1:21" ht="16" x14ac:dyDescent="0.2">
      <c r="A28" s="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6"/>
      <c r="Q28" s="16"/>
      <c r="R28" s="16"/>
      <c r="S28" s="3" t="s">
        <v>4</v>
      </c>
      <c r="T28" s="12">
        <f>E42/1000</f>
        <v>83.198875000000001</v>
      </c>
      <c r="U28" s="14">
        <f>E43</f>
        <v>5.7978158497144433E-3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70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77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287.25400000000002</v>
      </c>
      <c r="U29" s="40">
        <f>D43</f>
        <v>2.001764800418122E-2</v>
      </c>
    </row>
    <row r="30" spans="1:21" ht="16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163.23500000000001</v>
      </c>
      <c r="U30" s="40">
        <f>K43</f>
        <v>1.1375231578890185E-2</v>
      </c>
    </row>
    <row r="31" spans="1:21" ht="16" x14ac:dyDescent="0.2">
      <c r="A31" s="5" t="s">
        <v>33</v>
      </c>
      <c r="B31" s="16">
        <f>SUM(Högsby:Borgholm!B31)</f>
        <v>0</v>
      </c>
      <c r="C31" s="16">
        <f>SUM(Högsby:Borgholm!C31)</f>
        <v>140559</v>
      </c>
      <c r="D31" s="16">
        <f>SUM(Högsby:Borgholm!D31)</f>
        <v>0</v>
      </c>
      <c r="E31" s="16">
        <f>SUM(Högsby:Borgholm!E31)</f>
        <v>0</v>
      </c>
      <c r="F31" s="16">
        <f>SUM(Högsby:Borgholm!F31)</f>
        <v>14281</v>
      </c>
      <c r="G31" s="16">
        <f>SUM(Högsby:Borgholm!G31)</f>
        <v>0</v>
      </c>
      <c r="H31" s="16">
        <f>SUM(Högsby:Borgholm!H31)</f>
        <v>0</v>
      </c>
      <c r="I31" s="16">
        <f>SUM(Högsby:Borgholm!I31)</f>
        <v>0</v>
      </c>
      <c r="J31" s="16">
        <f>SUM(Högsby:Borgholm!J31)</f>
        <v>0</v>
      </c>
      <c r="K31" s="16">
        <f>SUM(Högsby:Borgholm!K31)</f>
        <v>0</v>
      </c>
      <c r="L31" s="16">
        <f>SUM(Högsby:Borgholm!L31)</f>
        <v>0</v>
      </c>
      <c r="M31" s="16">
        <f>SUM(Högsby:Borgholm!M31)</f>
        <v>0</v>
      </c>
      <c r="N31" s="16">
        <f>SUM(Högsby:Borgholm!N31)</f>
        <v>157065</v>
      </c>
      <c r="O31" s="16">
        <f>SUM(B31:N31)</f>
        <v>311905</v>
      </c>
      <c r="P31" s="17">
        <f>O31/O$39</f>
        <v>2.2618904901521297E-2</v>
      </c>
      <c r="Q31" s="18" t="s">
        <v>34</v>
      </c>
      <c r="R31" s="3"/>
      <c r="S31" s="3" t="s">
        <v>5</v>
      </c>
      <c r="T31" s="13">
        <f>I42/1000</f>
        <v>4520.2969999999996</v>
      </c>
      <c r="U31" s="14">
        <f>I43</f>
        <v>0.31500245155979151</v>
      </c>
    </row>
    <row r="32" spans="1:21" ht="16" x14ac:dyDescent="0.2">
      <c r="A32" s="5" t="s">
        <v>36</v>
      </c>
      <c r="B32" s="16">
        <f>SUM(Högsby:Borgholm!B32)</f>
        <v>185418.89239665028</v>
      </c>
      <c r="C32" s="16">
        <f>SUM(Högsby:Borgholm!C32)</f>
        <v>252809</v>
      </c>
      <c r="D32" s="16">
        <f>SUM(Högsby:Borgholm!D32)</f>
        <v>287254</v>
      </c>
      <c r="E32" s="16">
        <f>SUM(Högsby:Borgholm!E32)</f>
        <v>70444</v>
      </c>
      <c r="F32" s="16">
        <f>SUM(Högsby:Borgholm!F32)</f>
        <v>24787</v>
      </c>
      <c r="G32" s="16">
        <f>SUM(Högsby:Borgholm!G32)</f>
        <v>1098350.8337398528</v>
      </c>
      <c r="H32" s="16">
        <f>SUM(Högsby:Borgholm!H32)</f>
        <v>0</v>
      </c>
      <c r="I32" s="16">
        <f>SUM(Högsby:Borgholm!I32)</f>
        <v>4246448.3698099051</v>
      </c>
      <c r="J32" s="16">
        <f>SUM(Högsby:Borgholm!J32)</f>
        <v>0</v>
      </c>
      <c r="K32" s="16">
        <f>SUM(Högsby:Borgholm!K32)</f>
        <v>0</v>
      </c>
      <c r="L32" s="16">
        <f>SUM(Högsby:Borgholm!L32)</f>
        <v>112894</v>
      </c>
      <c r="M32" s="16">
        <f>SUM(Högsby:Borgholm!M32)</f>
        <v>79342</v>
      </c>
      <c r="N32" s="16">
        <f>SUM(Högsby:Borgholm!N32)</f>
        <v>1039722</v>
      </c>
      <c r="O32" s="16">
        <f t="shared" ref="O32:O38" si="4">SUM(B32:N32)</f>
        <v>7397470.0959464079</v>
      </c>
      <c r="P32" s="17">
        <f>O32/O$39</f>
        <v>0.53645396069976259</v>
      </c>
      <c r="Q32" s="18" t="s">
        <v>37</v>
      </c>
      <c r="R32" s="3"/>
      <c r="S32" s="3" t="s">
        <v>77</v>
      </c>
      <c r="T32" s="13">
        <f>L42/1000</f>
        <v>112.89400000000001</v>
      </c>
      <c r="U32" s="14">
        <f>L43</f>
        <v>7.8671571284787498E-3</v>
      </c>
    </row>
    <row r="33" spans="1:48" ht="16" x14ac:dyDescent="0.2">
      <c r="A33" s="5" t="s">
        <v>38</v>
      </c>
      <c r="B33" s="16">
        <f>SUM(Högsby:Borgholm!B33)</f>
        <v>198762.46395625628</v>
      </c>
      <c r="C33" s="16">
        <f>SUM(Högsby:Borgholm!C33)</f>
        <v>9928</v>
      </c>
      <c r="D33" s="16">
        <f>SUM(Högsby:Borgholm!D33)</f>
        <v>0</v>
      </c>
      <c r="E33" s="16">
        <f>SUM(Högsby:Borgholm!E33)</f>
        <v>0</v>
      </c>
      <c r="F33" s="16">
        <f>SUM(Högsby:Borgholm!F33)</f>
        <v>0</v>
      </c>
      <c r="G33" s="16">
        <f>SUM(Högsby:Borgholm!G33)</f>
        <v>0</v>
      </c>
      <c r="H33" s="16">
        <f>SUM(Högsby:Borgholm!H33)</f>
        <v>0</v>
      </c>
      <c r="I33" s="16">
        <f>SUM(Högsby:Borgholm!I33)</f>
        <v>0</v>
      </c>
      <c r="J33" s="16">
        <f>SUM(Högsby:Borgholm!J33)</f>
        <v>0</v>
      </c>
      <c r="K33" s="16">
        <f>SUM(Högsby:Borgholm!K33)</f>
        <v>0</v>
      </c>
      <c r="L33" s="16">
        <f>SUM(Högsby:Borgholm!L33)</f>
        <v>0</v>
      </c>
      <c r="M33" s="16">
        <f>SUM(Högsby:Borgholm!M33)</f>
        <v>0</v>
      </c>
      <c r="N33" s="16">
        <f>SUM(Högsby:Borgholm!N33)</f>
        <v>253462</v>
      </c>
      <c r="O33" s="16">
        <f t="shared" si="4"/>
        <v>462152.46395625628</v>
      </c>
      <c r="P33" s="17">
        <f>O33/O$39</f>
        <v>3.3514636290634364E-2</v>
      </c>
      <c r="Q33" s="18" t="s">
        <v>39</v>
      </c>
      <c r="R33" s="3"/>
      <c r="S33" s="3" t="s">
        <v>6</v>
      </c>
      <c r="T33" s="13">
        <f>H42/1000</f>
        <v>9.2001388888888886</v>
      </c>
      <c r="U33" s="14">
        <f>H43</f>
        <v>6.4112298477081843E-4</v>
      </c>
    </row>
    <row r="34" spans="1:48" ht="16" x14ac:dyDescent="0.2">
      <c r="A34" s="5" t="s">
        <v>40</v>
      </c>
      <c r="B34" s="16">
        <f>SUM(Högsby:Borgholm!B34)</f>
        <v>0</v>
      </c>
      <c r="C34" s="16">
        <f>SUM(Högsby:Borgholm!C34)</f>
        <v>2484449</v>
      </c>
      <c r="D34" s="16">
        <f>SUM(Högsby:Borgholm!D34)</f>
        <v>0</v>
      </c>
      <c r="E34" s="66">
        <f>1161*39.55/3.6</f>
        <v>12754.874999999998</v>
      </c>
      <c r="F34" s="16">
        <f>SUM(Högsby:Borgholm!F34)</f>
        <v>207897</v>
      </c>
      <c r="G34" s="16">
        <f>SUM(Högsby:Borgholm!G34)</f>
        <v>0</v>
      </c>
      <c r="H34" s="66">
        <f>853*35.3/3.6</f>
        <v>8364.1388888888887</v>
      </c>
      <c r="I34" s="16">
        <f>SUM(Högsby:Borgholm!I34)</f>
        <v>0</v>
      </c>
      <c r="J34" s="16">
        <f>SUM(Högsby:Borgholm!J34)</f>
        <v>0</v>
      </c>
      <c r="K34" s="16">
        <f>SUM(Högsby:Borgholm!K34)</f>
        <v>0</v>
      </c>
      <c r="L34" s="16">
        <f>SUM(Högsby:Borgholm!L34)</f>
        <v>0</v>
      </c>
      <c r="M34" s="16">
        <f>SUM(Högsby:Borgholm!M34)</f>
        <v>0</v>
      </c>
      <c r="N34" s="16">
        <f>SUM(Högsby:Borgholm!N34)</f>
        <v>4658</v>
      </c>
      <c r="O34" s="16">
        <f t="shared" si="4"/>
        <v>2718123.013888889</v>
      </c>
      <c r="P34" s="17">
        <f>O34/O$39</f>
        <v>0.19711439688940297</v>
      </c>
      <c r="Q34" s="18" t="s">
        <v>41</v>
      </c>
      <c r="R34" s="3"/>
      <c r="S34" s="3" t="s">
        <v>35</v>
      </c>
      <c r="T34" s="13">
        <f>C42/1000</f>
        <v>3198.09</v>
      </c>
      <c r="U34" s="15">
        <f>C43</f>
        <v>0.22286283186897976</v>
      </c>
    </row>
    <row r="35" spans="1:48" ht="16" x14ac:dyDescent="0.2">
      <c r="A35" s="5" t="s">
        <v>42</v>
      </c>
      <c r="B35" s="16">
        <f>SUM(Högsby:Borgholm!B35)</f>
        <v>110389.0315242701</v>
      </c>
      <c r="C35" s="16">
        <f>SUM(Högsby:Borgholm!C35)</f>
        <v>271162</v>
      </c>
      <c r="D35" s="16">
        <f>SUM(Högsby:Borgholm!D35)</f>
        <v>0</v>
      </c>
      <c r="E35" s="16">
        <f>SUM(Högsby:Borgholm!E35)</f>
        <v>0</v>
      </c>
      <c r="F35" s="16">
        <f>SUM(Högsby:Borgholm!F35)</f>
        <v>0</v>
      </c>
      <c r="G35" s="16">
        <f>SUM(Högsby:Borgholm!G35)</f>
        <v>0</v>
      </c>
      <c r="H35" s="16">
        <f>SUM(Högsby:Borgholm!H35)</f>
        <v>0</v>
      </c>
      <c r="I35" s="16">
        <f>SUM(Högsby:Borgholm!I35)</f>
        <v>0</v>
      </c>
      <c r="J35" s="16">
        <f>SUM(Högsby:Borgholm!J35)</f>
        <v>0</v>
      </c>
      <c r="K35" s="16">
        <f>SUM(Högsby:Borgholm!K35)</f>
        <v>0</v>
      </c>
      <c r="L35" s="16">
        <f>SUM(Högsby:Borgholm!L35)</f>
        <v>0</v>
      </c>
      <c r="M35" s="16">
        <f>SUM(Högsby:Borgholm!M35)</f>
        <v>0</v>
      </c>
      <c r="N35" s="16">
        <f>SUM(Högsby:Borgholm!N35)</f>
        <v>508096</v>
      </c>
      <c r="O35" s="16">
        <f t="shared" si="4"/>
        <v>889647.03152427007</v>
      </c>
      <c r="P35" s="17">
        <f>O35/O$39</f>
        <v>6.4515931459797643E-2</v>
      </c>
      <c r="Q35" s="18" t="s">
        <v>43</v>
      </c>
      <c r="R35" s="18"/>
      <c r="S35" s="3"/>
      <c r="T35" s="13">
        <f>SUM(T24:T34)</f>
        <v>14350.037523888888</v>
      </c>
      <c r="U35" s="14">
        <f>SUM(U24:U34)</f>
        <v>1</v>
      </c>
    </row>
    <row r="36" spans="1:48" ht="16" x14ac:dyDescent="0.2">
      <c r="A36" s="5" t="s">
        <v>44</v>
      </c>
      <c r="B36" s="16">
        <f>SUM(Högsby:Borgholm!B36)</f>
        <v>164905</v>
      </c>
      <c r="C36" s="16">
        <f>SUM(Högsby:Borgholm!C36)</f>
        <v>12460</v>
      </c>
      <c r="D36" s="16">
        <f>SUM(Högsby:Borgholm!D36)</f>
        <v>0</v>
      </c>
      <c r="E36" s="16">
        <f>SUM(Högsby:Borgholm!E36)</f>
        <v>0</v>
      </c>
      <c r="F36" s="16">
        <f>SUM(Högsby:Borgholm!F36)</f>
        <v>0</v>
      </c>
      <c r="G36" s="16">
        <f>SUM(Högsby:Borgholm!G36)</f>
        <v>524229</v>
      </c>
      <c r="H36" s="16">
        <f>SUM(Högsby:Borgholm!H36)</f>
        <v>0</v>
      </c>
      <c r="I36" s="16">
        <f>SUM(Högsby:Borgholm!I36)</f>
        <v>0</v>
      </c>
      <c r="J36" s="16">
        <f>SUM(Högsby:Borgholm!J36)</f>
        <v>0</v>
      </c>
      <c r="K36" s="16">
        <f>SUM(Högsby:Borgholm!K36)</f>
        <v>0</v>
      </c>
      <c r="L36" s="16">
        <f>SUM(Högsby:Borgholm!L36)</f>
        <v>0</v>
      </c>
      <c r="M36" s="16">
        <f>SUM(Högsby:Borgholm!M36)</f>
        <v>0</v>
      </c>
      <c r="N36" s="16">
        <f>SUM(Högsby:Borgholm!N36)</f>
        <v>624068</v>
      </c>
      <c r="O36" s="16">
        <f t="shared" si="4"/>
        <v>1325662</v>
      </c>
      <c r="P36" s="18"/>
      <c r="Q36" s="18"/>
      <c r="R36" s="3"/>
    </row>
    <row r="37" spans="1:48" ht="16" x14ac:dyDescent="0.2">
      <c r="A37" s="5" t="s">
        <v>45</v>
      </c>
      <c r="B37" s="16">
        <f>SUM(Högsby:Borgholm!B37)</f>
        <v>450914.61212282337</v>
      </c>
      <c r="C37" s="16">
        <f>SUM(Högsby:Borgholm!C37)</f>
        <v>1118</v>
      </c>
      <c r="D37" s="16">
        <f>SUM(Högsby:Borgholm!D37)</f>
        <v>0</v>
      </c>
      <c r="E37" s="16">
        <f>SUM(Högsby:Borgholm!E37)</f>
        <v>0</v>
      </c>
      <c r="F37" s="16">
        <f>SUM(Högsby:Borgholm!F37)</f>
        <v>0</v>
      </c>
      <c r="G37" s="16">
        <f>SUM(Högsby:Borgholm!G37)</f>
        <v>0</v>
      </c>
      <c r="H37" s="16">
        <f>SUM(Högsby:Borgholm!H37)</f>
        <v>0</v>
      </c>
      <c r="I37" s="16">
        <f>SUM(Högsby:Borgholm!I37)</f>
        <v>0</v>
      </c>
      <c r="J37" s="16">
        <f>SUM(Högsby:Borgholm!J37)</f>
        <v>0</v>
      </c>
      <c r="K37" s="16">
        <f>SUM(Högsby:Borgholm!K37)</f>
        <v>0</v>
      </c>
      <c r="L37" s="16">
        <f>SUM(Högsby:Borgholm!L37)</f>
        <v>0</v>
      </c>
      <c r="M37" s="16">
        <f>SUM(Högsby:Borgholm!M37)</f>
        <v>0</v>
      </c>
      <c r="N37" s="16">
        <f>SUM(Högsby:Borgholm!N37)</f>
        <v>122557</v>
      </c>
      <c r="O37" s="16">
        <f t="shared" si="4"/>
        <v>574589.61212282337</v>
      </c>
      <c r="P37" s="18"/>
      <c r="Q37" s="18"/>
      <c r="R37" s="3"/>
      <c r="S37" s="7"/>
      <c r="T37" s="7"/>
      <c r="U37" s="7"/>
    </row>
    <row r="38" spans="1:48" ht="16" x14ac:dyDescent="0.2">
      <c r="A38" s="5" t="s">
        <v>46</v>
      </c>
      <c r="B38" s="16">
        <f>SUM(Högsby:Borgholm!B38)</f>
        <v>0</v>
      </c>
      <c r="C38" s="16">
        <f>SUM(Högsby:Borgholm!C38)</f>
        <v>0</v>
      </c>
      <c r="D38" s="16">
        <f>SUM(Högsby:Borgholm!D38)</f>
        <v>0</v>
      </c>
      <c r="E38" s="16">
        <f>SUM(Högsby:Borgholm!E38)</f>
        <v>0</v>
      </c>
      <c r="F38" s="16">
        <f>SUM(Högsby:Borgholm!F38)</f>
        <v>0</v>
      </c>
      <c r="G38" s="16">
        <f>SUM(Högsby:Borgholm!G38)</f>
        <v>0</v>
      </c>
      <c r="H38" s="16">
        <f>SUM(Högsby:Borgholm!H38)</f>
        <v>0</v>
      </c>
      <c r="I38" s="16">
        <f>SUM(Högsby:Borgholm!I38)</f>
        <v>0</v>
      </c>
      <c r="J38" s="16">
        <f>SUM(Högsby:Borgholm!J38)</f>
        <v>0</v>
      </c>
      <c r="K38" s="16">
        <f>SUM(Högsby:Borgholm!K38)</f>
        <v>0</v>
      </c>
      <c r="L38" s="16">
        <f>SUM(Högsby:Borgholm!L38)</f>
        <v>0</v>
      </c>
      <c r="M38" s="16">
        <f>SUM(Högsby:Borgholm!M38)</f>
        <v>0</v>
      </c>
      <c r="N38" s="16">
        <f>SUM(Högsby:Borgholm!N38)</f>
        <v>110022</v>
      </c>
      <c r="O38" s="16">
        <f t="shared" si="4"/>
        <v>110022</v>
      </c>
      <c r="P38" s="18">
        <f>SUM(P31:P35)</f>
        <v>0.85421783024111875</v>
      </c>
      <c r="Q38" s="18"/>
      <c r="R38" s="3"/>
      <c r="S38" s="7"/>
      <c r="T38" s="7" t="s">
        <v>27</v>
      </c>
      <c r="U38" s="7" t="s">
        <v>28</v>
      </c>
    </row>
    <row r="39" spans="1:48" ht="16" x14ac:dyDescent="0.2">
      <c r="A39" s="5" t="s">
        <v>16</v>
      </c>
      <c r="B39" s="16">
        <f>SUM(B31:B38)</f>
        <v>1110390</v>
      </c>
      <c r="C39" s="16">
        <f t="shared" ref="C39:E39" si="5">SUM(C31:C38)</f>
        <v>3172485</v>
      </c>
      <c r="D39" s="16">
        <f t="shared" si="5"/>
        <v>287254</v>
      </c>
      <c r="E39" s="16">
        <f t="shared" si="5"/>
        <v>83198.875</v>
      </c>
      <c r="F39" s="16">
        <f>SUM(F31:F38)</f>
        <v>246965</v>
      </c>
      <c r="G39" s="16">
        <f t="shared" ref="G39" si="6">SUM(G31:G38)</f>
        <v>1622579.8337398528</v>
      </c>
      <c r="H39" s="16">
        <f t="shared" ref="H39" si="7">SUM(H31:H38)</f>
        <v>8364.1388888888887</v>
      </c>
      <c r="I39" s="16">
        <f t="shared" ref="I39" si="8">SUM(I31:I38)</f>
        <v>4246448.3698099051</v>
      </c>
      <c r="J39" s="16">
        <f>SUM(J31:J38)</f>
        <v>0</v>
      </c>
      <c r="K39" s="16">
        <f t="shared" ref="K39" si="9">SUM(K31:K38)</f>
        <v>0</v>
      </c>
      <c r="L39" s="16">
        <f t="shared" ref="L39" si="10">SUM(L31:L38)</f>
        <v>112894</v>
      </c>
      <c r="M39" s="16">
        <f t="shared" ref="M39" si="11">SUM(M31:M38)</f>
        <v>79342</v>
      </c>
      <c r="N39" s="16">
        <f>SUM(N31:N38)</f>
        <v>2819650</v>
      </c>
      <c r="O39" s="16">
        <f t="shared" ref="O39" si="12">SUM(O31:O38)</f>
        <v>13789571.217438646</v>
      </c>
      <c r="P39" s="3"/>
      <c r="Q39" s="3"/>
      <c r="R39" s="3"/>
      <c r="S39" s="7" t="s">
        <v>47</v>
      </c>
      <c r="T39" s="19">
        <f>O45/1000</f>
        <v>406.13150000000002</v>
      </c>
      <c r="U39" s="7"/>
    </row>
    <row r="40" spans="1:48" x14ac:dyDescent="0.2">
      <c r="O40" s="10"/>
      <c r="S40" s="7" t="s">
        <v>48</v>
      </c>
      <c r="T40" s="20">
        <f>O41/1000</f>
        <v>2010.2736121228236</v>
      </c>
      <c r="U40" s="14">
        <f>P41</f>
        <v>0.14578216975888125</v>
      </c>
    </row>
    <row r="41" spans="1:48" ht="16" x14ac:dyDescent="0.2">
      <c r="A41" s="21" t="s">
        <v>50</v>
      </c>
      <c r="B41" s="22">
        <f>B38+B37+B36</f>
        <v>615819.61212282337</v>
      </c>
      <c r="C41" s="22">
        <f t="shared" ref="C41:O41" si="13">C38+C37+C36</f>
        <v>13578</v>
      </c>
      <c r="D41" s="22">
        <f t="shared" si="13"/>
        <v>0</v>
      </c>
      <c r="E41" s="22">
        <f t="shared" si="13"/>
        <v>0</v>
      </c>
      <c r="F41" s="22">
        <f t="shared" si="13"/>
        <v>0</v>
      </c>
      <c r="G41" s="22">
        <f t="shared" si="13"/>
        <v>524229</v>
      </c>
      <c r="H41" s="22">
        <f t="shared" si="13"/>
        <v>0</v>
      </c>
      <c r="I41" s="22">
        <f t="shared" si="13"/>
        <v>0</v>
      </c>
      <c r="J41" s="22">
        <f t="shared" si="13"/>
        <v>0</v>
      </c>
      <c r="K41" s="22">
        <f t="shared" si="13"/>
        <v>0</v>
      </c>
      <c r="L41" s="22">
        <f t="shared" si="13"/>
        <v>0</v>
      </c>
      <c r="M41" s="22">
        <f t="shared" si="13"/>
        <v>0</v>
      </c>
      <c r="N41" s="22">
        <f t="shared" si="13"/>
        <v>856647</v>
      </c>
      <c r="O41" s="22">
        <f t="shared" si="13"/>
        <v>2010273.6121228235</v>
      </c>
      <c r="P41" s="17">
        <f>O41/O$39</f>
        <v>0.14578216975888125</v>
      </c>
      <c r="Q41" s="17" t="s">
        <v>51</v>
      </c>
      <c r="R41" s="7"/>
      <c r="S41" s="7" t="s">
        <v>49</v>
      </c>
      <c r="T41" s="20">
        <f>O35/1000</f>
        <v>889.64703152427012</v>
      </c>
      <c r="U41" s="15">
        <f>P35</f>
        <v>6.4515931459797643E-2</v>
      </c>
    </row>
    <row r="42" spans="1:48" ht="16" x14ac:dyDescent="0.2">
      <c r="A42" s="23" t="s">
        <v>53</v>
      </c>
      <c r="B42" s="22"/>
      <c r="C42" s="24">
        <f>C39+C23+C5</f>
        <v>3198090</v>
      </c>
      <c r="D42" s="24">
        <f t="shared" ref="D42:M42" si="14">D39+D23+D5</f>
        <v>287254</v>
      </c>
      <c r="E42" s="24">
        <f t="shared" si="14"/>
        <v>83198.875</v>
      </c>
      <c r="F42" s="24">
        <f t="shared" si="14"/>
        <v>264599</v>
      </c>
      <c r="G42" s="24">
        <f t="shared" si="14"/>
        <v>2934306</v>
      </c>
      <c r="H42" s="24">
        <f t="shared" si="14"/>
        <v>9200.1388888888887</v>
      </c>
      <c r="I42" s="24">
        <f t="shared" si="14"/>
        <v>4520297</v>
      </c>
      <c r="J42" s="24">
        <f t="shared" si="14"/>
        <v>0</v>
      </c>
      <c r="K42" s="24">
        <f t="shared" si="14"/>
        <v>163235</v>
      </c>
      <c r="L42" s="24">
        <f t="shared" si="14"/>
        <v>112894</v>
      </c>
      <c r="M42" s="24">
        <f t="shared" si="14"/>
        <v>79342</v>
      </c>
      <c r="N42" s="24">
        <f>N39+N23-B6-B5+N45</f>
        <v>2697621.51</v>
      </c>
      <c r="O42" s="25">
        <f>SUM(C42:N42)</f>
        <v>14350037.523888888</v>
      </c>
      <c r="P42" s="7"/>
      <c r="Q42" s="7"/>
      <c r="R42" s="7"/>
      <c r="S42" s="7" t="s">
        <v>52</v>
      </c>
      <c r="T42" s="20">
        <f>O33/1000</f>
        <v>462.15246395625627</v>
      </c>
      <c r="U42" s="14">
        <f>P33</f>
        <v>3.3514636290634364E-2</v>
      </c>
    </row>
    <row r="43" spans="1:48" ht="16" x14ac:dyDescent="0.2">
      <c r="A43" s="23" t="s">
        <v>54</v>
      </c>
      <c r="B43" s="22"/>
      <c r="C43" s="17">
        <f t="shared" ref="C43:N43" si="15">C42/$O42</f>
        <v>0.22286283186897976</v>
      </c>
      <c r="D43" s="17">
        <f t="shared" si="15"/>
        <v>2.001764800418122E-2</v>
      </c>
      <c r="E43" s="17">
        <f t="shared" si="15"/>
        <v>5.7978158497144433E-3</v>
      </c>
      <c r="F43" s="17">
        <f t="shared" si="15"/>
        <v>1.8438906487841238E-2</v>
      </c>
      <c r="G43" s="17">
        <f t="shared" si="15"/>
        <v>0.204480719657714</v>
      </c>
      <c r="H43" s="17">
        <f t="shared" si="15"/>
        <v>6.4112298477081843E-4</v>
      </c>
      <c r="I43" s="17">
        <f t="shared" si="15"/>
        <v>0.31500245155979151</v>
      </c>
      <c r="J43" s="17">
        <f t="shared" si="15"/>
        <v>0</v>
      </c>
      <c r="K43" s="17">
        <f t="shared" si="15"/>
        <v>1.1375231578890185E-2</v>
      </c>
      <c r="L43" s="17">
        <f t="shared" si="15"/>
        <v>7.8671571284787498E-3</v>
      </c>
      <c r="M43" s="17">
        <f t="shared" si="15"/>
        <v>5.529044775521825E-3</v>
      </c>
      <c r="N43" s="17">
        <f t="shared" si="15"/>
        <v>0.18798707010411631</v>
      </c>
      <c r="O43" s="17">
        <f>SUM(C43:N43)</f>
        <v>1</v>
      </c>
      <c r="P43" s="7"/>
      <c r="Q43" s="7"/>
      <c r="R43" s="7"/>
      <c r="S43" s="7" t="s">
        <v>34</v>
      </c>
      <c r="T43" s="20">
        <f>O31/1000</f>
        <v>311.90499999999997</v>
      </c>
      <c r="U43" s="14">
        <f>P31</f>
        <v>2.2618904901521297E-2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20">
        <f>O32/1000</f>
        <v>7397.470095946408</v>
      </c>
      <c r="U44" s="15">
        <f>P32</f>
        <v>0.53645396069976259</v>
      </c>
    </row>
    <row r="45" spans="1:48" ht="16" x14ac:dyDescent="0.2">
      <c r="A45" s="6" t="s">
        <v>57</v>
      </c>
      <c r="B45" s="6">
        <f>B23-B39</f>
        <v>180559.5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225572</v>
      </c>
      <c r="O45" s="25">
        <f>B45+N45</f>
        <v>406131.5</v>
      </c>
      <c r="P45" s="7"/>
      <c r="Q45" s="7"/>
      <c r="R45" s="7"/>
      <c r="S45" s="7" t="s">
        <v>56</v>
      </c>
      <c r="T45" s="20">
        <f>O34/1000</f>
        <v>2718.1230138888891</v>
      </c>
      <c r="U45" s="15">
        <f>P34</f>
        <v>0.19711439688940297</v>
      </c>
    </row>
    <row r="46" spans="1:48" ht="16" x14ac:dyDescent="0.2">
      <c r="A46" s="6"/>
      <c r="B46" s="6"/>
      <c r="C46" s="6"/>
      <c r="D46" s="6"/>
      <c r="E46" s="6"/>
      <c r="F46" s="6"/>
      <c r="G46" s="6"/>
      <c r="H46" s="6"/>
      <c r="J46" s="6"/>
      <c r="K46" s="6"/>
      <c r="L46" s="6"/>
      <c r="M46" s="6"/>
      <c r="N46"/>
      <c r="O46" s="6"/>
      <c r="P46" s="7"/>
      <c r="Q46" s="7"/>
      <c r="R46" s="7"/>
      <c r="S46" s="7" t="s">
        <v>58</v>
      </c>
      <c r="T46" s="20">
        <f>SUM(T40:T45)</f>
        <v>13789.571217438646</v>
      </c>
      <c r="U46" s="14">
        <f>SUM(U40:U45)</f>
        <v>1</v>
      </c>
    </row>
    <row r="47" spans="1:48" x14ac:dyDescent="0.2">
      <c r="A47" s="39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7"/>
      <c r="R47" s="4"/>
      <c r="AD47" s="27"/>
      <c r="AE47" s="27"/>
      <c r="AF47" s="27"/>
      <c r="AG47" s="27"/>
      <c r="AH47" s="4"/>
      <c r="AI47" s="4"/>
      <c r="AJ47" s="28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39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27"/>
      <c r="R48" s="27"/>
      <c r="S48" s="4"/>
      <c r="T48" s="27"/>
      <c r="U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27"/>
      <c r="R49" s="27"/>
      <c r="S49" s="4"/>
      <c r="T49" s="27"/>
      <c r="U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27"/>
      <c r="R50" s="27"/>
      <c r="S50" s="4"/>
      <c r="T50" s="27"/>
      <c r="U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27"/>
      <c r="R51" s="27"/>
      <c r="S51" s="4"/>
      <c r="T51" s="27"/>
      <c r="U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9"/>
      <c r="C53" s="28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67"/>
      <c r="O53" s="68"/>
      <c r="P53" s="28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68"/>
      <c r="O54" s="68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27"/>
      <c r="C55" s="27"/>
      <c r="D55" s="27"/>
      <c r="E55" s="28"/>
      <c r="F55" s="28"/>
      <c r="G55" s="28"/>
      <c r="H55" s="28"/>
      <c r="I55" s="28"/>
      <c r="J55" s="28"/>
      <c r="K55" s="28"/>
      <c r="L55" s="28"/>
      <c r="M55" s="28"/>
      <c r="N55" s="67"/>
      <c r="O55" s="68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8"/>
      <c r="F56" s="28"/>
      <c r="G56" s="28"/>
      <c r="H56" s="28"/>
      <c r="I56" s="6"/>
      <c r="J56" s="28"/>
      <c r="K56" s="28"/>
      <c r="L56" s="28"/>
      <c r="M56" s="28"/>
      <c r="N56" s="67"/>
      <c r="O56" s="68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x14ac:dyDescent="0.2">
      <c r="A57" s="7"/>
      <c r="B57" s="7"/>
      <c r="C57" s="29"/>
      <c r="D57" s="29"/>
      <c r="E57" s="29"/>
      <c r="F57" s="27"/>
      <c r="G57" s="27"/>
      <c r="H57" s="29"/>
      <c r="I57" s="9"/>
      <c r="J57" s="27"/>
      <c r="K57" s="29"/>
      <c r="L57" s="6"/>
      <c r="M57" s="6"/>
      <c r="N57" s="67"/>
      <c r="O57" s="67"/>
      <c r="P57" s="6"/>
      <c r="Q57" s="14"/>
      <c r="R57" s="7"/>
      <c r="S57" s="4"/>
      <c r="T57" s="27"/>
      <c r="U57" s="27"/>
    </row>
    <row r="58" spans="1:48" ht="16" x14ac:dyDescent="0.2">
      <c r="A58" s="7"/>
      <c r="B58" s="7"/>
      <c r="C58" s="29"/>
      <c r="D58" s="29"/>
      <c r="E58" s="29"/>
      <c r="F58" s="28"/>
      <c r="G58" s="27"/>
      <c r="H58" s="29"/>
      <c r="I58" s="9"/>
      <c r="J58" s="27"/>
      <c r="K58" s="29"/>
      <c r="L58" s="6"/>
      <c r="M58" s="6"/>
      <c r="N58" s="67"/>
      <c r="O58" s="67"/>
      <c r="P58" s="6"/>
      <c r="Q58" s="14"/>
      <c r="R58" s="7"/>
      <c r="S58" s="7"/>
      <c r="T58" s="6"/>
      <c r="U58" s="41"/>
    </row>
    <row r="59" spans="1:48" ht="16" x14ac:dyDescent="0.2">
      <c r="A59" s="7"/>
      <c r="B59" s="7"/>
      <c r="C59" s="29"/>
      <c r="D59" s="29"/>
      <c r="E59" s="29"/>
      <c r="F59" s="27"/>
      <c r="G59" s="27"/>
      <c r="H59" s="29"/>
      <c r="I59" s="9"/>
      <c r="J59" s="27"/>
      <c r="K59" s="29"/>
      <c r="L59" s="6"/>
      <c r="M59" s="6"/>
      <c r="N59" s="67"/>
      <c r="O59" s="67"/>
      <c r="P59" s="6"/>
      <c r="Q59" s="14"/>
      <c r="R59" s="7"/>
      <c r="S59" s="7"/>
      <c r="T59" s="6"/>
      <c r="U59" s="41"/>
    </row>
    <row r="60" spans="1:48" ht="16" x14ac:dyDescent="0.2">
      <c r="A60" s="23"/>
      <c r="B60" s="7"/>
      <c r="C60" s="29"/>
      <c r="D60" s="29"/>
      <c r="E60" s="29"/>
      <c r="F60" s="27"/>
      <c r="G60" s="27"/>
      <c r="H60" s="29"/>
      <c r="I60" s="9"/>
      <c r="J60" s="27"/>
      <c r="K60" s="29"/>
      <c r="L60" s="6"/>
      <c r="M60" s="6"/>
      <c r="N60" s="27"/>
      <c r="O60" s="27"/>
      <c r="P60" s="6"/>
      <c r="Q60" s="14"/>
      <c r="R60" s="7"/>
      <c r="S60" s="7"/>
      <c r="T60" s="6"/>
      <c r="U60" s="41"/>
    </row>
    <row r="61" spans="1:48" ht="16" x14ac:dyDescent="0.2">
      <c r="A61" s="7"/>
      <c r="B61" s="7"/>
      <c r="C61" s="7"/>
      <c r="D61" s="7"/>
      <c r="E61" s="7"/>
      <c r="F61" s="27"/>
      <c r="G61" s="27"/>
      <c r="H61" s="7"/>
      <c r="I61" s="9"/>
      <c r="J61" s="27"/>
      <c r="K61" s="6"/>
      <c r="L61" s="6"/>
      <c r="M61" s="6"/>
      <c r="P61" s="6"/>
      <c r="Q61" s="14"/>
      <c r="R61" s="7"/>
      <c r="S61" s="7"/>
      <c r="T61" s="6"/>
      <c r="U61" s="41"/>
    </row>
    <row r="62" spans="1:48" ht="16" x14ac:dyDescent="0.2">
      <c r="A62" s="7"/>
      <c r="B62" s="7"/>
      <c r="C62" s="7"/>
      <c r="D62" s="7"/>
      <c r="E62" s="7"/>
      <c r="F62" s="27"/>
      <c r="G62" s="27"/>
      <c r="H62" s="7"/>
      <c r="I62" s="9"/>
      <c r="J62" s="27"/>
      <c r="K62" s="7"/>
      <c r="L62" s="7"/>
      <c r="M62" s="7"/>
      <c r="N62" s="7"/>
      <c r="O62" s="7"/>
      <c r="P62" s="7"/>
      <c r="Q62" s="7"/>
      <c r="R62" s="7"/>
      <c r="S62" s="7"/>
      <c r="T62" s="32"/>
      <c r="U62" s="33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5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6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34"/>
      <c r="U64" s="35"/>
    </row>
    <row r="65" spans="1:21" ht="16" x14ac:dyDescent="0.2">
      <c r="A65" s="7"/>
      <c r="B65" s="6"/>
      <c r="C65" s="7"/>
      <c r="D65" s="6"/>
      <c r="E65" s="42"/>
      <c r="F65" s="42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4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41"/>
    </row>
    <row r="67" spans="1:21" ht="16" x14ac:dyDescent="0.2">
      <c r="A67" s="43"/>
      <c r="B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41"/>
    </row>
    <row r="68" spans="1:21" ht="16" x14ac:dyDescent="0.2">
      <c r="D68" s="10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41"/>
    </row>
    <row r="69" spans="1:21" ht="16" x14ac:dyDescent="0.2"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41"/>
    </row>
    <row r="70" spans="1:21" ht="16" x14ac:dyDescent="0.2">
      <c r="A70" s="7"/>
      <c r="B70" s="32"/>
      <c r="C70" s="23"/>
      <c r="D70" s="23"/>
      <c r="E70" s="6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7"/>
      <c r="T70" s="6"/>
      <c r="U70" s="41"/>
    </row>
    <row r="71" spans="1:21" ht="16" x14ac:dyDescent="0.2">
      <c r="C71" s="45"/>
      <c r="D71" s="45"/>
      <c r="E71" s="6"/>
      <c r="S71" s="44"/>
      <c r="T71" s="32"/>
      <c r="U71" s="36"/>
    </row>
    <row r="72" spans="1:21" x14ac:dyDescent="0.2">
      <c r="E72" s="6"/>
    </row>
    <row r="73" spans="1:21" x14ac:dyDescent="0.2">
      <c r="E73" s="6"/>
    </row>
    <row r="74" spans="1:21" x14ac:dyDescent="0.2">
      <c r="D74" s="10"/>
      <c r="E74" s="10"/>
      <c r="F74" s="10"/>
    </row>
  </sheetData>
  <conditionalFormatting sqref="X31:X38">
    <cfRule type="colorScale" priority="4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pageMargins left="0.75" right="0.75" top="0.75" bottom="0.5" header="0.5" footer="0.75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 enableFormatConditionsCalculation="0"/>
  <dimension ref="A1:AV70"/>
  <sheetViews>
    <sheetView topLeftCell="A5" workbookViewId="0">
      <selection activeCell="B44" sqref="B44"/>
    </sheetView>
  </sheetViews>
  <sheetFormatPr baseColWidth="10" defaultColWidth="8.83203125" defaultRowHeight="15" x14ac:dyDescent="0.2"/>
  <cols>
    <col min="1" max="1" width="21.5" style="2" customWidth="1"/>
    <col min="2" max="16" width="10.1640625" style="2" customWidth="1"/>
    <col min="17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66</v>
      </c>
      <c r="Q2" s="38"/>
      <c r="R2" s="8"/>
      <c r="AH2" s="38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70</v>
      </c>
      <c r="H3" s="6" t="s">
        <v>6</v>
      </c>
      <c r="I3" s="6" t="s">
        <v>5</v>
      </c>
      <c r="J3" s="6" t="s">
        <v>7</v>
      </c>
      <c r="K3" s="6" t="s">
        <v>8</v>
      </c>
      <c r="L3" s="6" t="s">
        <v>75</v>
      </c>
      <c r="M3" s="6"/>
      <c r="N3" s="6"/>
      <c r="O3" s="7" t="s">
        <v>11</v>
      </c>
      <c r="Q3" s="38"/>
      <c r="R3" s="38"/>
      <c r="AH3" s="38"/>
      <c r="AI3" s="38"/>
    </row>
    <row r="4" spans="1:35" ht="15.75" x14ac:dyDescent="0.25">
      <c r="A4" s="5" t="s">
        <v>76</v>
      </c>
      <c r="B4" s="52">
        <f>238*0.95</f>
        <v>226.1</v>
      </c>
      <c r="Q4" s="38"/>
      <c r="R4" s="38"/>
      <c r="AH4" s="38"/>
      <c r="AI4" s="38"/>
    </row>
    <row r="5" spans="1:35" ht="15.75" x14ac:dyDescent="0.25">
      <c r="A5" s="38"/>
      <c r="Q5" s="38"/>
      <c r="R5" s="38"/>
      <c r="AH5" s="38"/>
      <c r="AI5" s="38"/>
    </row>
    <row r="6" spans="1:35" ht="16" x14ac:dyDescent="0.2">
      <c r="A6" s="8" t="s">
        <v>12</v>
      </c>
      <c r="B6" s="46">
        <v>7547</v>
      </c>
      <c r="C6" s="46">
        <v>0</v>
      </c>
      <c r="D6" s="46">
        <v>0</v>
      </c>
      <c r="E6" s="46">
        <v>0</v>
      </c>
      <c r="F6" s="46">
        <v>0</v>
      </c>
      <c r="G6" s="56">
        <v>0</v>
      </c>
      <c r="H6" s="46">
        <v>0</v>
      </c>
      <c r="I6" s="46"/>
      <c r="J6" s="46"/>
      <c r="K6" s="46"/>
      <c r="L6" s="46"/>
      <c r="M6" s="46"/>
      <c r="N6" s="46"/>
      <c r="O6" s="56">
        <v>0</v>
      </c>
      <c r="Q6" s="38"/>
      <c r="R6" s="38"/>
      <c r="AH6" s="38"/>
      <c r="AI6" s="38"/>
    </row>
    <row r="7" spans="1:35" ht="16" x14ac:dyDescent="0.2">
      <c r="A7" s="8" t="s">
        <v>13</v>
      </c>
      <c r="B7" s="46">
        <v>12310689</v>
      </c>
      <c r="C7" s="46">
        <v>10510</v>
      </c>
      <c r="D7" s="5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56">
        <v>31051307</v>
      </c>
      <c r="M7" s="46"/>
      <c r="N7" s="46"/>
      <c r="O7" s="46">
        <v>31061817</v>
      </c>
      <c r="P7" s="38"/>
      <c r="Q7" s="38"/>
      <c r="R7" s="38"/>
      <c r="AH7" s="38"/>
      <c r="AI7" s="38"/>
    </row>
    <row r="8" spans="1:35" ht="15.75" x14ac:dyDescent="0.25">
      <c r="A8" s="8" t="s">
        <v>14</v>
      </c>
      <c r="B8" s="55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38"/>
      <c r="Q8" s="38"/>
      <c r="R8" s="38"/>
      <c r="AH8" s="38"/>
      <c r="AI8" s="38"/>
    </row>
    <row r="9" spans="1:35" ht="15.75" x14ac:dyDescent="0.25">
      <c r="A9" s="8" t="s">
        <v>15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38"/>
      <c r="Q9" s="38"/>
      <c r="R9" s="38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38"/>
      <c r="AI9" s="38"/>
    </row>
    <row r="10" spans="1:35" ht="16" x14ac:dyDescent="0.2">
      <c r="A10" s="8" t="s">
        <v>16</v>
      </c>
      <c r="B10" s="55">
        <f>SUM(B4:B9)</f>
        <v>12318462.1</v>
      </c>
      <c r="C10" s="46">
        <v>10510</v>
      </c>
      <c r="D10" s="56">
        <v>0</v>
      </c>
      <c r="E10" s="46">
        <v>0</v>
      </c>
      <c r="F10" s="46">
        <v>0</v>
      </c>
      <c r="G10" s="56">
        <v>0</v>
      </c>
      <c r="H10" s="46">
        <v>0</v>
      </c>
      <c r="I10" s="46"/>
      <c r="J10" s="46"/>
      <c r="K10" s="46"/>
      <c r="L10" s="56">
        <v>31051307</v>
      </c>
      <c r="M10" s="46"/>
      <c r="N10" s="46"/>
      <c r="O10" s="56">
        <f>SUM(O6:O9)</f>
        <v>31061817</v>
      </c>
      <c r="P10" s="38"/>
      <c r="Q10" s="38"/>
      <c r="R10" s="38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38"/>
      <c r="AI10" s="38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66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70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56">
        <f>115864+18044+4147</f>
        <v>138055</v>
      </c>
      <c r="C17" s="46">
        <v>888</v>
      </c>
      <c r="D17" s="46">
        <v>0</v>
      </c>
      <c r="E17" s="46">
        <v>0</v>
      </c>
      <c r="F17" s="46">
        <v>15934</v>
      </c>
      <c r="G17" s="56">
        <f>123684+9521</f>
        <v>133205</v>
      </c>
      <c r="H17" s="46">
        <v>0</v>
      </c>
      <c r="I17" s="46"/>
      <c r="J17" s="46"/>
      <c r="K17" s="46"/>
      <c r="L17" s="46"/>
      <c r="M17" s="46"/>
      <c r="N17" s="56">
        <f>4147*0.33</f>
        <v>1368.51</v>
      </c>
      <c r="O17" s="56">
        <f>SUM(C17:N17)</f>
        <v>151395.51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/>
      <c r="J18" s="46"/>
      <c r="K18" s="46"/>
      <c r="L18" s="46"/>
      <c r="M18" s="46"/>
      <c r="N18" s="46"/>
      <c r="O18" s="46">
        <v>0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5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52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364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935.32542999999998</v>
      </c>
      <c r="U21" s="3"/>
    </row>
    <row r="22" spans="1:21" ht="16" x14ac:dyDescent="0.2">
      <c r="A22" s="8" t="s">
        <v>25</v>
      </c>
      <c r="B22" s="5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138419</v>
      </c>
      <c r="C23" s="46">
        <v>888</v>
      </c>
      <c r="D23" s="46">
        <v>0</v>
      </c>
      <c r="E23" s="46">
        <v>0</v>
      </c>
      <c r="F23" s="46">
        <v>15934</v>
      </c>
      <c r="G23" s="56">
        <f>SUM(G17:G22)</f>
        <v>133205</v>
      </c>
      <c r="H23" s="46">
        <v>0</v>
      </c>
      <c r="I23" s="46"/>
      <c r="J23" s="46"/>
      <c r="K23" s="46"/>
      <c r="L23" s="46"/>
      <c r="M23" s="46"/>
      <c r="N23" s="56">
        <f>SUM(N17:N22)</f>
        <v>1368.51</v>
      </c>
      <c r="O23" s="56">
        <f>SUM(O17:O22)</f>
        <v>151395.51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357.21343000000002</v>
      </c>
      <c r="U24" s="14">
        <f>N43</f>
        <v>0.3819135228687196</v>
      </c>
    </row>
    <row r="25" spans="1:21" ht="16" x14ac:dyDescent="0.2">
      <c r="B25" s="5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70</v>
      </c>
      <c r="T25" s="13">
        <f>G42/1000</f>
        <v>192.143</v>
      </c>
      <c r="U25" s="15">
        <f>G43</f>
        <v>0.20542903446985292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33.979999999999997</v>
      </c>
      <c r="U27" s="14">
        <f>F43</f>
        <v>3.6329601345277227E-2</v>
      </c>
    </row>
    <row r="28" spans="1:21" ht="15.75" x14ac:dyDescent="0.25">
      <c r="A28" s="4" t="s">
        <v>66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2.0760000000000001</v>
      </c>
      <c r="U28" s="14">
        <f>E43</f>
        <v>2.2195483341022814E-3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70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0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40">
        <f>K43</f>
        <v>0</v>
      </c>
    </row>
    <row r="31" spans="1:21" ht="15.75" x14ac:dyDescent="0.25">
      <c r="A31" s="8" t="s">
        <v>33</v>
      </c>
      <c r="B31" s="46">
        <v>0</v>
      </c>
      <c r="C31" s="46">
        <v>4210</v>
      </c>
      <c r="D31" s="46">
        <v>0</v>
      </c>
      <c r="E31" s="46">
        <v>0</v>
      </c>
      <c r="F31" s="46">
        <v>427</v>
      </c>
      <c r="G31" s="46">
        <v>0</v>
      </c>
      <c r="H31" s="46">
        <v>0</v>
      </c>
      <c r="I31" s="46"/>
      <c r="J31" s="46"/>
      <c r="K31" s="46"/>
      <c r="L31" s="46"/>
      <c r="M31" s="38"/>
      <c r="N31" s="46">
        <v>6122</v>
      </c>
      <c r="O31" s="46">
        <v>10759</v>
      </c>
      <c r="P31" s="17">
        <f>O31/O$39</f>
        <v>1.2077636335062078E-2</v>
      </c>
      <c r="Q31" s="18" t="s">
        <v>34</v>
      </c>
      <c r="R31" s="3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46">
        <v>47646</v>
      </c>
      <c r="C32" s="55">
        <f>O32-N32-G32-E32-B32</f>
        <v>50188</v>
      </c>
      <c r="D32" s="46">
        <v>0</v>
      </c>
      <c r="E32" s="46">
        <v>2076</v>
      </c>
      <c r="F32" s="46">
        <v>0</v>
      </c>
      <c r="G32" s="55">
        <v>600</v>
      </c>
      <c r="H32" s="46">
        <v>0</v>
      </c>
      <c r="I32" s="46"/>
      <c r="J32" s="46"/>
      <c r="K32" s="46"/>
      <c r="L32" s="46"/>
      <c r="M32" s="38"/>
      <c r="N32" s="46">
        <v>105451</v>
      </c>
      <c r="O32" s="46">
        <v>205961</v>
      </c>
      <c r="P32" s="17">
        <f>O32/O$39</f>
        <v>0.23120383466918121</v>
      </c>
      <c r="Q32" s="18" t="s">
        <v>37</v>
      </c>
      <c r="R32" s="3"/>
      <c r="S32" s="3" t="s">
        <v>6</v>
      </c>
      <c r="T32" s="13">
        <f>H42/1000</f>
        <v>0</v>
      </c>
      <c r="U32" s="14">
        <f>H43</f>
        <v>0</v>
      </c>
    </row>
    <row r="33" spans="1:48" ht="15.75" x14ac:dyDescent="0.25">
      <c r="A33" s="8" t="s">
        <v>38</v>
      </c>
      <c r="B33" s="46">
        <v>13428</v>
      </c>
      <c r="C33" s="46">
        <v>4982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38"/>
      <c r="N33" s="46">
        <v>48197</v>
      </c>
      <c r="O33" s="46">
        <v>66607</v>
      </c>
      <c r="P33" s="17">
        <f>O33/O$39</f>
        <v>7.4770436227296205E-2</v>
      </c>
      <c r="Q33" s="18" t="s">
        <v>39</v>
      </c>
      <c r="R33" s="3"/>
      <c r="S33" s="3" t="s">
        <v>35</v>
      </c>
      <c r="T33" s="13">
        <f>C42/1000</f>
        <v>349.91300000000001</v>
      </c>
      <c r="U33" s="15">
        <f>C43</f>
        <v>0.37410829298204801</v>
      </c>
    </row>
    <row r="34" spans="1:48" ht="15.75" x14ac:dyDescent="0.25">
      <c r="A34" s="8" t="s">
        <v>40</v>
      </c>
      <c r="B34" s="46">
        <v>0</v>
      </c>
      <c r="C34" s="46">
        <v>218578</v>
      </c>
      <c r="D34" s="46">
        <v>0</v>
      </c>
      <c r="E34" s="46">
        <v>0</v>
      </c>
      <c r="F34" s="46">
        <v>17619</v>
      </c>
      <c r="G34" s="46">
        <v>0</v>
      </c>
      <c r="H34" s="46">
        <v>0</v>
      </c>
      <c r="I34" s="46"/>
      <c r="J34" s="46"/>
      <c r="K34" s="46"/>
      <c r="L34" s="46"/>
      <c r="M34" s="38"/>
      <c r="N34" s="46">
        <v>790</v>
      </c>
      <c r="O34" s="46">
        <v>236987</v>
      </c>
      <c r="P34" s="17">
        <f>O34/O$39</f>
        <v>0.26603241956848744</v>
      </c>
      <c r="Q34" s="18" t="s">
        <v>41</v>
      </c>
      <c r="R34" s="3"/>
      <c r="S34" s="3"/>
      <c r="T34" s="13">
        <f>SUM(T24:T33)</f>
        <v>935.3254300000001</v>
      </c>
      <c r="U34" s="14">
        <f>SUM(U24:U33)</f>
        <v>1</v>
      </c>
    </row>
    <row r="35" spans="1:48" ht="16" x14ac:dyDescent="0.2">
      <c r="A35" s="8" t="s">
        <v>42</v>
      </c>
      <c r="B35" s="46">
        <v>10552</v>
      </c>
      <c r="C35" s="46">
        <v>69038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38"/>
      <c r="N35" s="46">
        <v>69963</v>
      </c>
      <c r="O35" s="46">
        <v>149553</v>
      </c>
      <c r="P35" s="17">
        <f>O35/O$39</f>
        <v>0.16788240048494646</v>
      </c>
      <c r="Q35" s="18" t="s">
        <v>43</v>
      </c>
      <c r="R35" s="18"/>
    </row>
    <row r="36" spans="1:48" ht="16" x14ac:dyDescent="0.2">
      <c r="A36" s="8" t="s">
        <v>44</v>
      </c>
      <c r="B36" s="46">
        <v>4406</v>
      </c>
      <c r="C36" s="46">
        <v>2029</v>
      </c>
      <c r="D36" s="46">
        <v>0</v>
      </c>
      <c r="E36" s="46">
        <v>0</v>
      </c>
      <c r="F36" s="46">
        <v>0</v>
      </c>
      <c r="G36" s="46">
        <v>58338</v>
      </c>
      <c r="H36" s="46">
        <v>0</v>
      </c>
      <c r="I36" s="46"/>
      <c r="J36" s="46"/>
      <c r="K36" s="46"/>
      <c r="L36" s="46"/>
      <c r="M36" s="38"/>
      <c r="N36" s="46">
        <v>77790</v>
      </c>
      <c r="O36" s="46">
        <v>142563</v>
      </c>
      <c r="P36" s="18"/>
      <c r="Q36" s="18"/>
      <c r="R36" s="3"/>
      <c r="S36" s="7"/>
      <c r="T36" s="7"/>
      <c r="U36" s="7"/>
    </row>
    <row r="37" spans="1:48" ht="15.75" x14ac:dyDescent="0.25">
      <c r="A37" s="8" t="s">
        <v>45</v>
      </c>
      <c r="B37" s="46">
        <v>50228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38"/>
      <c r="N37" s="46">
        <v>19398</v>
      </c>
      <c r="O37" s="46">
        <v>69626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38"/>
      <c r="N38" s="46">
        <v>8763</v>
      </c>
      <c r="O38" s="46">
        <v>8763</v>
      </c>
      <c r="P38" s="18">
        <f>SUM(P31:P35)</f>
        <v>0.75196672728497349</v>
      </c>
      <c r="Q38" s="18"/>
      <c r="R38" s="3"/>
      <c r="S38" s="7" t="s">
        <v>47</v>
      </c>
      <c r="T38" s="19">
        <f>O45/1000</f>
        <v>39.076920000000001</v>
      </c>
      <c r="U38" s="7"/>
    </row>
    <row r="39" spans="1:48" ht="16" x14ac:dyDescent="0.2">
      <c r="A39" s="8" t="s">
        <v>16</v>
      </c>
      <c r="B39" s="46">
        <v>126260</v>
      </c>
      <c r="C39" s="55">
        <f>SUM(C31:C38)</f>
        <v>349025</v>
      </c>
      <c r="D39" s="46">
        <v>0</v>
      </c>
      <c r="E39" s="46">
        <v>2076</v>
      </c>
      <c r="F39" s="46">
        <v>18046</v>
      </c>
      <c r="G39" s="55">
        <f>SUM(G31:G38)</f>
        <v>58938</v>
      </c>
      <c r="H39" s="46">
        <v>0</v>
      </c>
      <c r="I39" s="46"/>
      <c r="J39" s="46"/>
      <c r="K39" s="46"/>
      <c r="L39" s="46"/>
      <c r="M39" s="38"/>
      <c r="N39" s="46">
        <v>336474</v>
      </c>
      <c r="O39" s="46">
        <v>890820</v>
      </c>
      <c r="P39" s="3"/>
      <c r="Q39" s="3"/>
      <c r="R39" s="3"/>
      <c r="S39" s="7" t="s">
        <v>48</v>
      </c>
      <c r="T39" s="20">
        <f>O41/1000</f>
        <v>220.952</v>
      </c>
      <c r="U39" s="14">
        <f>P41</f>
        <v>0.24803215015379088</v>
      </c>
    </row>
    <row r="40" spans="1:48" x14ac:dyDescent="0.2">
      <c r="H40" s="10">
        <f>G36+G32</f>
        <v>58938</v>
      </c>
      <c r="S40" s="7" t="s">
        <v>49</v>
      </c>
      <c r="T40" s="20">
        <f>O35/1000</f>
        <v>149.553</v>
      </c>
      <c r="U40" s="15">
        <f>P35</f>
        <v>0.16788240048494646</v>
      </c>
    </row>
    <row r="41" spans="1:48" ht="16" x14ac:dyDescent="0.2">
      <c r="A41" s="21" t="s">
        <v>50</v>
      </c>
      <c r="B41" s="22">
        <f>B38+B37+B36</f>
        <v>54634</v>
      </c>
      <c r="C41" s="22">
        <f t="shared" ref="C41:O41" si="0">C38+C37+C36</f>
        <v>2029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58338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105951</v>
      </c>
      <c r="O41" s="22">
        <f t="shared" si="0"/>
        <v>220952</v>
      </c>
      <c r="P41" s="17">
        <f>O41/O$39</f>
        <v>0.24803215015379088</v>
      </c>
      <c r="Q41" s="17" t="s">
        <v>51</v>
      </c>
      <c r="R41" s="7"/>
      <c r="S41" s="7" t="s">
        <v>52</v>
      </c>
      <c r="T41" s="20">
        <f>O33/1000</f>
        <v>66.606999999999999</v>
      </c>
      <c r="U41" s="14">
        <f>P33</f>
        <v>7.4770436227296205E-2</v>
      </c>
    </row>
    <row r="42" spans="1:48" ht="16" x14ac:dyDescent="0.2">
      <c r="A42" s="23" t="s">
        <v>53</v>
      </c>
      <c r="B42" s="22"/>
      <c r="C42" s="24">
        <f>C39+C23</f>
        <v>349913</v>
      </c>
      <c r="D42" s="24">
        <f t="shared" ref="D42:M42" si="1">D39+D23+D10</f>
        <v>0</v>
      </c>
      <c r="E42" s="24">
        <f t="shared" si="1"/>
        <v>2076</v>
      </c>
      <c r="F42" s="24">
        <f t="shared" si="1"/>
        <v>33980</v>
      </c>
      <c r="G42" s="24">
        <f t="shared" si="1"/>
        <v>192143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>L39+L23</f>
        <v>0</v>
      </c>
      <c r="M42" s="24">
        <f t="shared" si="1"/>
        <v>0</v>
      </c>
      <c r="N42" s="24">
        <f>N39+N23-B6+N45</f>
        <v>357213.43</v>
      </c>
      <c r="O42" s="25">
        <f>SUM(C42:N42)</f>
        <v>935325.42999999993</v>
      </c>
      <c r="P42" s="7"/>
      <c r="Q42" s="7"/>
      <c r="R42" s="7"/>
      <c r="S42" s="7" t="s">
        <v>34</v>
      </c>
      <c r="T42" s="20">
        <f>O31/1000</f>
        <v>10.759</v>
      </c>
      <c r="U42" s="14">
        <f>P31</f>
        <v>1.2077636335062078E-2</v>
      </c>
    </row>
    <row r="43" spans="1:48" ht="16" x14ac:dyDescent="0.2">
      <c r="A43" s="23" t="s">
        <v>54</v>
      </c>
      <c r="B43" s="22"/>
      <c r="C43" s="17">
        <f t="shared" ref="C43:N43" si="2">C42/$O42</f>
        <v>0.37410829298204801</v>
      </c>
      <c r="D43" s="17">
        <f t="shared" si="2"/>
        <v>0</v>
      </c>
      <c r="E43" s="17">
        <f t="shared" si="2"/>
        <v>2.2195483341022814E-3</v>
      </c>
      <c r="F43" s="17">
        <f t="shared" si="2"/>
        <v>3.6329601345277227E-2</v>
      </c>
      <c r="G43" s="17">
        <f t="shared" si="2"/>
        <v>0.20542903446985292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0.3819135228687196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205.96100000000001</v>
      </c>
      <c r="U43" s="15">
        <f>P32</f>
        <v>0.23120383466918121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236.98699999999999</v>
      </c>
      <c r="U44" s="15">
        <f>P34</f>
        <v>0.26603241956848744</v>
      </c>
    </row>
    <row r="45" spans="1:48" ht="16" x14ac:dyDescent="0.2">
      <c r="A45" s="6" t="s">
        <v>57</v>
      </c>
      <c r="B45" s="6">
        <f>B23-B39</f>
        <v>12159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26917.920000000002</v>
      </c>
      <c r="O45" s="25">
        <f>B45+N45</f>
        <v>39076.92</v>
      </c>
      <c r="P45" s="7"/>
      <c r="Q45" s="7"/>
      <c r="R45" s="7"/>
      <c r="S45" s="7" t="s">
        <v>58</v>
      </c>
      <c r="T45" s="20">
        <f>SUM(T39:T44)</f>
        <v>890.81899999999996</v>
      </c>
      <c r="U45" s="14">
        <f>SUM(U39:U44)</f>
        <v>0.99999887743876437</v>
      </c>
    </row>
    <row r="46" spans="1:48" ht="16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8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8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8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8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8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8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8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6"/>
      <c r="N57" s="30"/>
      <c r="O57" s="7"/>
      <c r="P57" s="6"/>
      <c r="Q57" s="14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6"/>
      <c r="N58" s="30"/>
      <c r="O58" s="7"/>
      <c r="P58" s="6"/>
      <c r="Q58" s="14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6"/>
      <c r="N59" s="30"/>
      <c r="O59" s="7"/>
      <c r="P59" s="6"/>
      <c r="Q59" s="14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6"/>
      <c r="N60" s="30"/>
      <c r="O60" s="7"/>
      <c r="P60" s="6"/>
      <c r="Q60" s="14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/>
  <dimension ref="A1:AV70"/>
  <sheetViews>
    <sheetView topLeftCell="O19" workbookViewId="0">
      <selection activeCell="B44" sqref="B44"/>
    </sheetView>
  </sheetViews>
  <sheetFormatPr baseColWidth="10" defaultColWidth="8.83203125" defaultRowHeight="15" x14ac:dyDescent="0.2"/>
  <cols>
    <col min="1" max="1" width="21.5" style="2" customWidth="1"/>
    <col min="2" max="16" width="10.1640625" style="2" customWidth="1"/>
    <col min="17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67</v>
      </c>
      <c r="Q2" s="38"/>
      <c r="R2" s="8"/>
      <c r="AH2" s="38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70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38"/>
      <c r="R3" s="38"/>
      <c r="AH3" s="38"/>
      <c r="AI3" s="38"/>
    </row>
    <row r="4" spans="1:35" ht="15.75" x14ac:dyDescent="0.25">
      <c r="A4" s="5" t="s">
        <v>76</v>
      </c>
      <c r="B4" s="52">
        <f>1033*0.95</f>
        <v>981.34999999999991</v>
      </c>
      <c r="Q4" s="38"/>
      <c r="R4" s="38"/>
      <c r="AH4" s="38"/>
      <c r="AI4" s="38"/>
    </row>
    <row r="5" spans="1:35" ht="15.75" x14ac:dyDescent="0.25">
      <c r="A5" s="38"/>
      <c r="Q5" s="38"/>
      <c r="R5" s="38"/>
      <c r="AH5" s="38"/>
      <c r="AI5" s="38"/>
    </row>
    <row r="6" spans="1:35" ht="16" x14ac:dyDescent="0.2">
      <c r="A6" s="8" t="s">
        <v>12</v>
      </c>
      <c r="B6" s="46">
        <v>18709</v>
      </c>
      <c r="C6" s="56">
        <v>0</v>
      </c>
      <c r="D6" s="56">
        <v>0</v>
      </c>
      <c r="E6" s="46">
        <v>0</v>
      </c>
      <c r="F6" s="46">
        <v>0</v>
      </c>
      <c r="G6" s="56">
        <v>0</v>
      </c>
      <c r="H6" s="46">
        <v>0</v>
      </c>
      <c r="I6" s="46"/>
      <c r="J6" s="46"/>
      <c r="K6" s="46"/>
      <c r="L6" s="46"/>
      <c r="M6" s="46"/>
      <c r="N6" s="46"/>
      <c r="O6" s="56">
        <v>0</v>
      </c>
      <c r="Q6" s="38"/>
      <c r="R6" s="38"/>
      <c r="AH6" s="38"/>
      <c r="AI6" s="38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38"/>
      <c r="R7" s="38"/>
      <c r="AH7" s="38"/>
      <c r="AI7" s="38"/>
    </row>
    <row r="8" spans="1:35" ht="15.75" x14ac:dyDescent="0.25">
      <c r="A8" s="8" t="s">
        <v>14</v>
      </c>
      <c r="B8" s="55">
        <f>B10-B9-B6-981</f>
        <v>16064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38"/>
      <c r="R8" s="38"/>
      <c r="AH8" s="38"/>
      <c r="AI8" s="38"/>
    </row>
    <row r="9" spans="1:35" ht="15.75" x14ac:dyDescent="0.25">
      <c r="A9" s="8" t="s">
        <v>15</v>
      </c>
      <c r="B9" s="53">
        <v>33470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38"/>
      <c r="R9" s="38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38"/>
      <c r="AI9" s="38"/>
    </row>
    <row r="10" spans="1:35" ht="16" x14ac:dyDescent="0.2">
      <c r="A10" s="8" t="s">
        <v>16</v>
      </c>
      <c r="B10" s="56">
        <f>68243+981</f>
        <v>69224</v>
      </c>
      <c r="C10" s="56">
        <v>0</v>
      </c>
      <c r="D10" s="56">
        <v>0</v>
      </c>
      <c r="E10" s="46">
        <v>0</v>
      </c>
      <c r="F10" s="46">
        <v>0</v>
      </c>
      <c r="G10" s="56">
        <v>0</v>
      </c>
      <c r="H10" s="46">
        <v>0</v>
      </c>
      <c r="I10" s="46"/>
      <c r="J10" s="46"/>
      <c r="K10" s="46"/>
      <c r="L10" s="46"/>
      <c r="M10" s="46"/>
      <c r="N10" s="46"/>
      <c r="O10" s="56">
        <v>0</v>
      </c>
      <c r="P10" s="46"/>
      <c r="Q10" s="38"/>
      <c r="R10" s="38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38"/>
      <c r="AI10" s="38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56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56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67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70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56">
        <f>185926+18178</f>
        <v>204104</v>
      </c>
      <c r="C17" s="56">
        <f>3383+869</f>
        <v>4252</v>
      </c>
      <c r="D17" s="52">
        <v>0</v>
      </c>
      <c r="E17" s="46">
        <v>0</v>
      </c>
      <c r="F17" s="46">
        <v>0</v>
      </c>
      <c r="G17" s="56">
        <f>120666-(K17-83130)+9972*2</f>
        <v>60505</v>
      </c>
      <c r="H17" s="46">
        <v>0</v>
      </c>
      <c r="I17" s="46"/>
      <c r="J17" s="46"/>
      <c r="K17" s="52">
        <f>143291+9972*2</f>
        <v>163235</v>
      </c>
      <c r="L17" s="46"/>
      <c r="M17" s="46"/>
      <c r="N17" s="46"/>
      <c r="O17" s="56">
        <f>SUM(C17:N17)</f>
        <v>227992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v>36375</v>
      </c>
      <c r="C18" s="46">
        <v>1672</v>
      </c>
      <c r="D18" s="59">
        <v>0</v>
      </c>
      <c r="E18" s="46">
        <v>0</v>
      </c>
      <c r="F18" s="46">
        <v>0</v>
      </c>
      <c r="G18" s="46">
        <v>38011</v>
      </c>
      <c r="H18" s="46">
        <v>0</v>
      </c>
      <c r="I18" s="46"/>
      <c r="J18" s="46"/>
      <c r="K18" s="46"/>
      <c r="L18" s="46"/>
      <c r="M18" s="46"/>
      <c r="N18" s="46"/>
      <c r="O18" s="46">
        <f>SUM(C18:N18)</f>
        <v>39683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1146.46272</v>
      </c>
      <c r="U21" s="3"/>
    </row>
    <row r="22" spans="1:21" ht="16" x14ac:dyDescent="0.2">
      <c r="A22" s="8" t="s">
        <v>25</v>
      </c>
      <c r="B22" s="5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240479</v>
      </c>
      <c r="C23" s="56">
        <f>SUM(C17:C22)</f>
        <v>5924</v>
      </c>
      <c r="D23" s="52">
        <v>0</v>
      </c>
      <c r="E23" s="46">
        <v>0</v>
      </c>
      <c r="F23" s="46">
        <v>0</v>
      </c>
      <c r="G23" s="56">
        <f>SUM(G17:G22)</f>
        <v>98516</v>
      </c>
      <c r="H23" s="46">
        <v>0</v>
      </c>
      <c r="I23" s="46"/>
      <c r="J23" s="46"/>
      <c r="K23" s="52">
        <f>SUM(K17:K22)</f>
        <v>163235</v>
      </c>
      <c r="L23" s="46"/>
      <c r="M23" s="46"/>
      <c r="N23" s="46"/>
      <c r="O23" s="56">
        <f>SUM(O17:O22)</f>
        <v>267675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382.43971999999997</v>
      </c>
      <c r="U24" s="14">
        <f>N43</f>
        <v>0.33358234273854104</v>
      </c>
    </row>
    <row r="25" spans="1:21" ht="16" x14ac:dyDescent="0.2">
      <c r="B25" s="5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70</v>
      </c>
      <c r="T25" s="13">
        <f>G42/1000</f>
        <v>166.02699999999999</v>
      </c>
      <c r="U25" s="15">
        <f>G43</f>
        <v>0.14481674554581242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28.38</v>
      </c>
      <c r="U27" s="14">
        <f>F43</f>
        <v>2.4754402829600949E-2</v>
      </c>
    </row>
    <row r="28" spans="1:21" ht="16" x14ac:dyDescent="0.2">
      <c r="A28" s="4" t="s">
        <v>67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3.1760000000000002</v>
      </c>
      <c r="U28" s="14">
        <f>E43</f>
        <v>2.7702601616213041E-3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70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0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163.23500000000001</v>
      </c>
      <c r="U30" s="40">
        <f>K43</f>
        <v>0.14238142867829143</v>
      </c>
    </row>
    <row r="31" spans="1:21" ht="15.75" x14ac:dyDescent="0.25">
      <c r="A31" s="8" t="s">
        <v>33</v>
      </c>
      <c r="B31" s="46">
        <v>0</v>
      </c>
      <c r="C31" s="46">
        <v>15677</v>
      </c>
      <c r="D31" s="46">
        <v>0</v>
      </c>
      <c r="E31" s="46">
        <v>0</v>
      </c>
      <c r="F31" s="46">
        <v>1588</v>
      </c>
      <c r="G31" s="46">
        <v>0</v>
      </c>
      <c r="H31" s="46">
        <v>0</v>
      </c>
      <c r="I31" s="46"/>
      <c r="J31" s="46"/>
      <c r="K31" s="46"/>
      <c r="L31" s="46"/>
      <c r="M31" s="38"/>
      <c r="N31" s="46">
        <v>19979</v>
      </c>
      <c r="O31" s="46">
        <v>37244</v>
      </c>
      <c r="P31" s="17">
        <f>O31/O$39</f>
        <v>3.497640942420964E-2</v>
      </c>
      <c r="Q31" s="18" t="s">
        <v>34</v>
      </c>
      <c r="R31" s="3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46">
        <v>11308</v>
      </c>
      <c r="C32" s="55">
        <f>O32-N32-G32-E32-B32</f>
        <v>14977</v>
      </c>
      <c r="D32" s="55">
        <v>0</v>
      </c>
      <c r="E32" s="55">
        <f>E39</f>
        <v>3176</v>
      </c>
      <c r="F32" s="46">
        <v>0</v>
      </c>
      <c r="G32" s="55">
        <f>G39-G36</f>
        <v>511</v>
      </c>
      <c r="H32" s="46">
        <v>0</v>
      </c>
      <c r="I32" s="46"/>
      <c r="J32" s="46"/>
      <c r="K32" s="46"/>
      <c r="L32" s="46"/>
      <c r="M32" s="38"/>
      <c r="N32" s="46">
        <v>92294</v>
      </c>
      <c r="O32" s="46">
        <v>122266</v>
      </c>
      <c r="P32" s="17">
        <f>O32/O$39</f>
        <v>0.11482186861401611</v>
      </c>
      <c r="Q32" s="18" t="s">
        <v>37</v>
      </c>
      <c r="R32" s="3"/>
      <c r="S32" s="3" t="s">
        <v>6</v>
      </c>
      <c r="T32" s="13">
        <f>H42/1000</f>
        <v>0</v>
      </c>
      <c r="U32" s="14">
        <f>H43</f>
        <v>0</v>
      </c>
    </row>
    <row r="33" spans="1:48" ht="15.75" x14ac:dyDescent="0.25">
      <c r="A33" s="8" t="s">
        <v>38</v>
      </c>
      <c r="B33" s="46">
        <v>29031</v>
      </c>
      <c r="C33" s="46">
        <v>2643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38"/>
      <c r="N33" s="46">
        <v>35796</v>
      </c>
      <c r="O33" s="46">
        <v>67470</v>
      </c>
      <c r="P33" s="17">
        <f>O33/O$39</f>
        <v>6.3362107825459785E-2</v>
      </c>
      <c r="Q33" s="18" t="s">
        <v>39</v>
      </c>
      <c r="R33" s="3"/>
      <c r="S33" s="3" t="s">
        <v>35</v>
      </c>
      <c r="T33" s="13">
        <f>C42/1000</f>
        <v>403.20499999999998</v>
      </c>
      <c r="U33" s="15">
        <f>C43</f>
        <v>0.35169482004613284</v>
      </c>
    </row>
    <row r="34" spans="1:48" ht="15.75" x14ac:dyDescent="0.25">
      <c r="A34" s="8" t="s">
        <v>40</v>
      </c>
      <c r="B34" s="46">
        <v>0</v>
      </c>
      <c r="C34" s="46">
        <v>330017</v>
      </c>
      <c r="D34" s="46">
        <v>0</v>
      </c>
      <c r="E34" s="46">
        <v>0</v>
      </c>
      <c r="F34" s="46">
        <v>26791</v>
      </c>
      <c r="G34" s="46">
        <v>0</v>
      </c>
      <c r="H34" s="46">
        <v>0</v>
      </c>
      <c r="I34" s="46"/>
      <c r="J34" s="46"/>
      <c r="K34" s="46"/>
      <c r="L34" s="46"/>
      <c r="M34" s="38"/>
      <c r="N34" s="46">
        <v>747</v>
      </c>
      <c r="O34" s="46">
        <v>357555</v>
      </c>
      <c r="P34" s="17">
        <f>O34/O$39</f>
        <v>0.33578536332491887</v>
      </c>
      <c r="Q34" s="18" t="s">
        <v>41</v>
      </c>
      <c r="R34" s="3"/>
      <c r="S34" s="3"/>
      <c r="T34" s="13">
        <f>SUM(T24:T33)</f>
        <v>1146.46272</v>
      </c>
      <c r="U34" s="14">
        <f>SUM(U24:U33)</f>
        <v>0.99999999999999989</v>
      </c>
    </row>
    <row r="35" spans="1:48" ht="16" x14ac:dyDescent="0.2">
      <c r="A35" s="8" t="s">
        <v>42</v>
      </c>
      <c r="B35" s="46">
        <v>33790</v>
      </c>
      <c r="C35" s="46">
        <v>31659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38"/>
      <c r="N35" s="46">
        <v>91670</v>
      </c>
      <c r="O35" s="46">
        <v>157119</v>
      </c>
      <c r="P35" s="17">
        <f>O35/O$39</f>
        <v>0.14755285340786153</v>
      </c>
      <c r="Q35" s="18" t="s">
        <v>43</v>
      </c>
      <c r="R35" s="18"/>
    </row>
    <row r="36" spans="1:48" ht="16" x14ac:dyDescent="0.2">
      <c r="A36" s="8" t="s">
        <v>44</v>
      </c>
      <c r="B36" s="46">
        <v>46039</v>
      </c>
      <c r="C36" s="55">
        <f>C39-C38-C37-C35-C34-C33-C32-C31</f>
        <v>1852</v>
      </c>
      <c r="D36" s="46">
        <v>0</v>
      </c>
      <c r="E36" s="46">
        <v>0</v>
      </c>
      <c r="F36" s="46">
        <v>0</v>
      </c>
      <c r="G36" s="55">
        <v>67000</v>
      </c>
      <c r="H36" s="46">
        <v>0</v>
      </c>
      <c r="I36" s="46"/>
      <c r="J36" s="46"/>
      <c r="K36" s="46"/>
      <c r="L36" s="46"/>
      <c r="M36" s="38"/>
      <c r="N36" s="46">
        <v>90394</v>
      </c>
      <c r="O36" s="46">
        <v>205285</v>
      </c>
      <c r="P36" s="18"/>
      <c r="Q36" s="18"/>
      <c r="R36" s="3"/>
      <c r="S36" s="7"/>
      <c r="T36" s="7"/>
      <c r="U36" s="7"/>
    </row>
    <row r="37" spans="1:48" ht="15.75" x14ac:dyDescent="0.25">
      <c r="A37" s="8" t="s">
        <v>45</v>
      </c>
      <c r="B37" s="46">
        <v>76882</v>
      </c>
      <c r="C37" s="46">
        <v>456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38"/>
      <c r="N37" s="46">
        <v>22226</v>
      </c>
      <c r="O37" s="46">
        <v>99564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38"/>
      <c r="N38" s="46">
        <v>18328</v>
      </c>
      <c r="O38" s="46">
        <v>18328</v>
      </c>
      <c r="P38" s="18">
        <f>SUM(P31:P35)</f>
        <v>0.6964986025964659</v>
      </c>
      <c r="Q38" s="18"/>
      <c r="R38" s="3"/>
      <c r="S38" s="7" t="s">
        <v>47</v>
      </c>
      <c r="T38" s="19">
        <f>O45/1000</f>
        <v>73.143720000000002</v>
      </c>
      <c r="U38" s="7"/>
    </row>
    <row r="39" spans="1:48" ht="16" x14ac:dyDescent="0.2">
      <c r="A39" s="8" t="s">
        <v>16</v>
      </c>
      <c r="B39" s="46">
        <v>197050</v>
      </c>
      <c r="C39" s="46">
        <v>397281</v>
      </c>
      <c r="D39" s="55">
        <v>0</v>
      </c>
      <c r="E39" s="55">
        <f>O39-N39-G39-F39-C39-B39</f>
        <v>3176</v>
      </c>
      <c r="F39" s="46">
        <v>28380</v>
      </c>
      <c r="G39" s="46">
        <v>67511</v>
      </c>
      <c r="H39" s="46">
        <v>0</v>
      </c>
      <c r="I39" s="46"/>
      <c r="J39" s="46"/>
      <c r="K39" s="46"/>
      <c r="L39" s="46"/>
      <c r="M39" s="38"/>
      <c r="N39" s="46">
        <v>371434</v>
      </c>
      <c r="O39" s="46">
        <v>1064832</v>
      </c>
      <c r="P39" s="3"/>
      <c r="Q39" s="3"/>
      <c r="R39" s="3"/>
      <c r="S39" s="7" t="s">
        <v>48</v>
      </c>
      <c r="T39" s="20">
        <f>O41/1000</f>
        <v>323.17700000000002</v>
      </c>
      <c r="U39" s="14">
        <f>P41</f>
        <v>0.30350045828825578</v>
      </c>
    </row>
    <row r="40" spans="1:48" x14ac:dyDescent="0.2">
      <c r="C40" s="10">
        <f>C39-C37-C35-C34-C33-C31</f>
        <v>16829</v>
      </c>
      <c r="F40" s="10"/>
      <c r="S40" s="7" t="s">
        <v>49</v>
      </c>
      <c r="T40" s="20">
        <f>O35/1000</f>
        <v>157.119</v>
      </c>
      <c r="U40" s="15">
        <f>P35</f>
        <v>0.14755285340786153</v>
      </c>
    </row>
    <row r="41" spans="1:48" ht="16" x14ac:dyDescent="0.2">
      <c r="A41" s="21" t="s">
        <v>50</v>
      </c>
      <c r="B41" s="22">
        <f>B38+B37+B36</f>
        <v>122921</v>
      </c>
      <c r="C41" s="22">
        <f t="shared" ref="C41:O41" si="0">C38+C37+C36</f>
        <v>2308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67000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130948</v>
      </c>
      <c r="O41" s="22">
        <f t="shared" si="0"/>
        <v>323177</v>
      </c>
      <c r="P41" s="17">
        <f>O41/O$39</f>
        <v>0.30350045828825578</v>
      </c>
      <c r="Q41" s="17" t="s">
        <v>51</v>
      </c>
      <c r="R41" s="7"/>
      <c r="S41" s="7" t="s">
        <v>52</v>
      </c>
      <c r="T41" s="20">
        <f>O33/1000</f>
        <v>67.47</v>
      </c>
      <c r="U41" s="14">
        <f>P33</f>
        <v>6.3362107825459785E-2</v>
      </c>
    </row>
    <row r="42" spans="1:48" ht="16" x14ac:dyDescent="0.2">
      <c r="A42" s="23" t="s">
        <v>53</v>
      </c>
      <c r="B42" s="22"/>
      <c r="C42" s="24">
        <f>C39+C23+C10</f>
        <v>403205</v>
      </c>
      <c r="D42" s="24">
        <f t="shared" ref="D42:M42" si="1">D39+D23+D10</f>
        <v>0</v>
      </c>
      <c r="E42" s="24">
        <f t="shared" si="1"/>
        <v>3176</v>
      </c>
      <c r="F42" s="24">
        <f t="shared" si="1"/>
        <v>28380</v>
      </c>
      <c r="G42" s="24">
        <f t="shared" si="1"/>
        <v>166027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163235</v>
      </c>
      <c r="L42" s="24">
        <f t="shared" si="1"/>
        <v>0</v>
      </c>
      <c r="M42" s="24">
        <f t="shared" si="1"/>
        <v>0</v>
      </c>
      <c r="N42" s="24">
        <f>N39+N23-B6+N45</f>
        <v>382439.72</v>
      </c>
      <c r="O42" s="25">
        <f>SUM(C42:N42)</f>
        <v>1146462.72</v>
      </c>
      <c r="P42" s="7"/>
      <c r="Q42" s="7"/>
      <c r="R42" s="7"/>
      <c r="S42" s="7" t="s">
        <v>34</v>
      </c>
      <c r="T42" s="20">
        <f>O31/1000</f>
        <v>37.244</v>
      </c>
      <c r="U42" s="14">
        <f>P31</f>
        <v>3.497640942420964E-2</v>
      </c>
    </row>
    <row r="43" spans="1:48" ht="16" x14ac:dyDescent="0.2">
      <c r="A43" s="23" t="s">
        <v>54</v>
      </c>
      <c r="B43" s="22"/>
      <c r="C43" s="17">
        <f t="shared" ref="C43:N43" si="2">C42/$O42</f>
        <v>0.35169482004613284</v>
      </c>
      <c r="D43" s="17">
        <f t="shared" si="2"/>
        <v>0</v>
      </c>
      <c r="E43" s="17">
        <f t="shared" si="2"/>
        <v>2.7702601616213041E-3</v>
      </c>
      <c r="F43" s="17">
        <f t="shared" si="2"/>
        <v>2.4754402829600949E-2</v>
      </c>
      <c r="G43" s="17">
        <f t="shared" si="2"/>
        <v>0.14481674554581242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0.14238142867829143</v>
      </c>
      <c r="L43" s="17">
        <f t="shared" si="2"/>
        <v>0</v>
      </c>
      <c r="M43" s="17">
        <f t="shared" si="2"/>
        <v>0</v>
      </c>
      <c r="N43" s="17">
        <f t="shared" si="2"/>
        <v>0.33358234273854104</v>
      </c>
      <c r="O43" s="17">
        <f>SUM(C43:N43)</f>
        <v>0.99999999999999989</v>
      </c>
      <c r="P43" s="7"/>
      <c r="Q43" s="7"/>
      <c r="R43" s="7"/>
      <c r="S43" s="7" t="s">
        <v>55</v>
      </c>
      <c r="T43" s="20">
        <f>O32/1000</f>
        <v>122.26600000000001</v>
      </c>
      <c r="U43" s="15">
        <f>P32</f>
        <v>0.11482186861401611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357.55500000000001</v>
      </c>
      <c r="U44" s="15">
        <f>P34</f>
        <v>0.33578536332491887</v>
      </c>
    </row>
    <row r="45" spans="1:48" ht="16" x14ac:dyDescent="0.2">
      <c r="A45" s="6" t="s">
        <v>57</v>
      </c>
      <c r="B45" s="6">
        <f>B23-B39</f>
        <v>43429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29714.720000000001</v>
      </c>
      <c r="O45" s="25">
        <f>B45+N45</f>
        <v>73143.72</v>
      </c>
      <c r="P45" s="7"/>
      <c r="Q45" s="7"/>
      <c r="R45" s="7"/>
      <c r="S45" s="7" t="s">
        <v>58</v>
      </c>
      <c r="T45" s="20">
        <f>SUM(T39:T44)</f>
        <v>1064.8310000000001</v>
      </c>
      <c r="U45" s="14">
        <f>SUM(U39:U44)</f>
        <v>0.99999906088472179</v>
      </c>
    </row>
    <row r="46" spans="1:48" ht="16" x14ac:dyDescent="0.2">
      <c r="A46" s="6"/>
      <c r="B46" s="5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8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8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8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8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8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8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6"/>
      <c r="N57" s="30"/>
      <c r="O57" s="7"/>
      <c r="P57" s="6"/>
      <c r="Q57" s="14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6"/>
      <c r="N58" s="30"/>
      <c r="O58" s="7"/>
      <c r="P58" s="6"/>
      <c r="Q58" s="14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6"/>
      <c r="N59" s="30"/>
      <c r="O59" s="7"/>
      <c r="P59" s="6"/>
      <c r="Q59" s="14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6"/>
      <c r="N60" s="30"/>
      <c r="O60" s="7"/>
      <c r="P60" s="6"/>
      <c r="Q60" s="14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AV71"/>
  <sheetViews>
    <sheetView topLeftCell="O20" workbookViewId="0">
      <selection activeCell="B44" sqref="B44"/>
    </sheetView>
  </sheetViews>
  <sheetFormatPr baseColWidth="10" defaultColWidth="8.83203125" defaultRowHeight="15" x14ac:dyDescent="0.2"/>
  <cols>
    <col min="1" max="1" width="21.5" style="2" customWidth="1"/>
    <col min="2" max="16" width="10.1640625" style="2" customWidth="1"/>
    <col min="17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68</v>
      </c>
      <c r="Q2" s="38"/>
      <c r="R2" s="8"/>
      <c r="AH2" s="38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70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38"/>
      <c r="R3" s="38"/>
      <c r="AH3" s="38"/>
      <c r="AI3" s="38"/>
    </row>
    <row r="4" spans="1:35" ht="15.75" x14ac:dyDescent="0.25">
      <c r="A4" s="5" t="s">
        <v>76</v>
      </c>
      <c r="B4" s="52">
        <f>530*0.95</f>
        <v>503.5</v>
      </c>
      <c r="Q4" s="38"/>
      <c r="R4" s="38"/>
      <c r="AH4" s="38"/>
      <c r="AI4" s="38"/>
    </row>
    <row r="5" spans="1:35" ht="15.75" x14ac:dyDescent="0.25">
      <c r="A5" s="38"/>
      <c r="Q5" s="38"/>
      <c r="R5" s="38"/>
      <c r="AH5" s="38"/>
      <c r="AI5" s="38"/>
    </row>
    <row r="6" spans="1:35" ht="16" x14ac:dyDescent="0.2">
      <c r="A6" s="8" t="s">
        <v>12</v>
      </c>
      <c r="B6" s="51">
        <v>10600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38"/>
      <c r="R6" s="38"/>
      <c r="AH6" s="38"/>
      <c r="AI6" s="38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38"/>
      <c r="R7" s="38"/>
      <c r="AH7" s="38"/>
      <c r="AI7" s="38"/>
    </row>
    <row r="8" spans="1:35" ht="15.75" x14ac:dyDescent="0.25">
      <c r="A8" s="8" t="s">
        <v>14</v>
      </c>
      <c r="B8" s="55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38"/>
      <c r="R8" s="38"/>
      <c r="AH8" s="38"/>
      <c r="AI8" s="38"/>
    </row>
    <row r="9" spans="1:35" ht="15.75" x14ac:dyDescent="0.25">
      <c r="A9" s="8" t="s">
        <v>15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38"/>
      <c r="R9" s="38"/>
      <c r="S9" s="8"/>
      <c r="T9" s="46"/>
      <c r="U9" s="47"/>
      <c r="V9" s="46"/>
      <c r="W9" s="46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38"/>
      <c r="AI9" s="38"/>
    </row>
    <row r="10" spans="1:35" ht="16" x14ac:dyDescent="0.2">
      <c r="A10" s="8" t="s">
        <v>16</v>
      </c>
      <c r="B10" s="55">
        <f>SUM(B4:B9)</f>
        <v>11103.5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38"/>
      <c r="R10" s="38"/>
      <c r="S10" s="8"/>
      <c r="T10" s="46"/>
      <c r="U10" s="47"/>
      <c r="V10" s="46"/>
      <c r="W10" s="46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38"/>
      <c r="AI10" s="38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68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70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 t="s">
        <v>72</v>
      </c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51">
        <f>95900</f>
        <v>95900</v>
      </c>
      <c r="C17" s="51">
        <v>0</v>
      </c>
      <c r="D17" s="46">
        <v>0</v>
      </c>
      <c r="E17" s="46">
        <v>0</v>
      </c>
      <c r="F17" s="46">
        <v>0</v>
      </c>
      <c r="G17" s="51">
        <v>128100</v>
      </c>
      <c r="H17" s="46">
        <v>0</v>
      </c>
      <c r="I17" s="46"/>
      <c r="J17" s="46"/>
      <c r="K17" s="46"/>
      <c r="L17" s="46"/>
      <c r="M17" s="46"/>
      <c r="N17" s="46"/>
      <c r="O17" s="51">
        <f>SUM(C17:N17)</f>
        <v>128100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53">
        <f>27700+23800</f>
        <v>51500</v>
      </c>
      <c r="C18" s="51">
        <v>615</v>
      </c>
      <c r="D18" s="46">
        <v>0</v>
      </c>
      <c r="E18" s="46">
        <v>0</v>
      </c>
      <c r="F18" s="51">
        <v>1700</v>
      </c>
      <c r="G18" s="51">
        <f>22800+23800</f>
        <v>46600</v>
      </c>
      <c r="H18" s="51">
        <v>836</v>
      </c>
      <c r="I18" s="47"/>
      <c r="J18" s="47"/>
      <c r="K18" s="47"/>
      <c r="L18" s="47"/>
      <c r="M18" s="49"/>
      <c r="N18" s="47"/>
      <c r="O18" s="51">
        <f>SUM(C18:N18)</f>
        <v>49751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51">
        <v>5900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874.97235999999998</v>
      </c>
      <c r="U21" s="3"/>
    </row>
    <row r="22" spans="1:21" ht="16" x14ac:dyDescent="0.2">
      <c r="A22" s="8" t="s">
        <v>25</v>
      </c>
      <c r="B22" s="5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56">
        <f>SUM(B17:B22)</f>
        <v>153300</v>
      </c>
      <c r="C23" s="51">
        <f>SUM(C17:C22)</f>
        <v>615</v>
      </c>
      <c r="D23" s="46">
        <v>0</v>
      </c>
      <c r="E23" s="46">
        <v>0</v>
      </c>
      <c r="F23" s="51">
        <f>SUM(F17:F22)</f>
        <v>1700</v>
      </c>
      <c r="G23" s="51">
        <f>SUM(G17:G22)</f>
        <v>174700</v>
      </c>
      <c r="H23" s="51">
        <f>SUM(H17:H22)</f>
        <v>836</v>
      </c>
      <c r="I23" s="47"/>
      <c r="J23" s="47"/>
      <c r="K23" s="47"/>
      <c r="L23" s="47"/>
      <c r="M23" s="47"/>
      <c r="N23" s="47"/>
      <c r="O23" s="51">
        <f>SUM(O17:O22)</f>
        <v>177851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249.96835999999999</v>
      </c>
      <c r="U24" s="14">
        <f>N43</f>
        <v>0.28568715016323487</v>
      </c>
    </row>
    <row r="25" spans="1:21" ht="16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70</v>
      </c>
      <c r="T25" s="13">
        <f>G42/1000</f>
        <v>380.983</v>
      </c>
      <c r="U25" s="15">
        <f>G43</f>
        <v>0.43542289724443412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15.346</v>
      </c>
      <c r="U27" s="14">
        <f>F43</f>
        <v>1.7538839741177654E-2</v>
      </c>
    </row>
    <row r="28" spans="1:21" ht="15.75" x14ac:dyDescent="0.25">
      <c r="A28" s="4" t="s">
        <v>68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29.552</v>
      </c>
      <c r="U28" s="14">
        <f>E43</f>
        <v>3.3774781182802166E-2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70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0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40">
        <f>K43</f>
        <v>0</v>
      </c>
    </row>
    <row r="31" spans="1:21" ht="15.75" x14ac:dyDescent="0.25">
      <c r="A31" s="8" t="s">
        <v>33</v>
      </c>
      <c r="B31" s="46">
        <v>0</v>
      </c>
      <c r="C31" s="46">
        <v>7592</v>
      </c>
      <c r="D31" s="46">
        <v>0</v>
      </c>
      <c r="E31" s="46">
        <v>0</v>
      </c>
      <c r="F31" s="55">
        <v>700</v>
      </c>
      <c r="G31" s="46">
        <v>0</v>
      </c>
      <c r="H31" s="46">
        <v>0</v>
      </c>
      <c r="I31" s="46"/>
      <c r="J31" s="46"/>
      <c r="K31" s="46"/>
      <c r="L31" s="46"/>
      <c r="M31" s="38"/>
      <c r="N31" s="56">
        <v>13822</v>
      </c>
      <c r="O31" s="56">
        <f>SUM(B31:N31)</f>
        <v>22114</v>
      </c>
      <c r="P31" s="17">
        <f>O31/O$39</f>
        <v>2.7315128188658923E-2</v>
      </c>
      <c r="Q31" s="18" t="s">
        <v>34</v>
      </c>
      <c r="R31" s="3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56">
        <v>28473</v>
      </c>
      <c r="C32" s="56">
        <f>10737+8700</f>
        <v>19437</v>
      </c>
      <c r="D32" s="46">
        <v>0</v>
      </c>
      <c r="E32" s="46">
        <v>29552</v>
      </c>
      <c r="F32" s="46">
        <v>0</v>
      </c>
      <c r="G32" s="55">
        <f>40845+122700</f>
        <v>163545</v>
      </c>
      <c r="H32" s="46">
        <v>0</v>
      </c>
      <c r="I32" s="46"/>
      <c r="J32" s="46"/>
      <c r="K32" s="46"/>
      <c r="L32" s="46"/>
      <c r="M32" s="38"/>
      <c r="N32" s="56">
        <f>O32-G32-E32-C32-B32</f>
        <v>143295</v>
      </c>
      <c r="O32" s="56">
        <f>252902+122700+8700</f>
        <v>384302</v>
      </c>
      <c r="P32" s="17">
        <f>O32/O$39</f>
        <v>0.47468836000533604</v>
      </c>
      <c r="Q32" s="18" t="s">
        <v>37</v>
      </c>
      <c r="R32" s="3"/>
      <c r="S32" s="3" t="s">
        <v>6</v>
      </c>
      <c r="T32" s="13">
        <f>H42/1000</f>
        <v>0.83599999999999997</v>
      </c>
      <c r="U32" s="14">
        <f>H43</f>
        <v>9.5545875300563784E-4</v>
      </c>
    </row>
    <row r="33" spans="1:48" ht="15.75" x14ac:dyDescent="0.25">
      <c r="A33" s="8" t="s">
        <v>38</v>
      </c>
      <c r="B33" s="56">
        <f>(B39-B37-B36-B32)*18232/(20849+18232)</f>
        <v>17911.968475729893</v>
      </c>
      <c r="C33" s="46">
        <v>347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38"/>
      <c r="N33" s="56">
        <v>16626</v>
      </c>
      <c r="O33" s="56">
        <f>SUM(B33:N33)</f>
        <v>34884.968475729896</v>
      </c>
      <c r="P33" s="17">
        <f>O33/O$39</f>
        <v>4.308977958632032E-2</v>
      </c>
      <c r="Q33" s="18" t="s">
        <v>39</v>
      </c>
      <c r="R33" s="3"/>
      <c r="S33" s="3" t="s">
        <v>35</v>
      </c>
      <c r="T33" s="13">
        <f>C42/1000</f>
        <v>198.28700000000001</v>
      </c>
      <c r="U33" s="15">
        <f>C43</f>
        <v>0.22662087291534558</v>
      </c>
    </row>
    <row r="34" spans="1:48" ht="15.75" x14ac:dyDescent="0.25">
      <c r="A34" s="8" t="s">
        <v>40</v>
      </c>
      <c r="B34" s="46">
        <v>0</v>
      </c>
      <c r="C34" s="46">
        <v>159123</v>
      </c>
      <c r="D34" s="46">
        <v>0</v>
      </c>
      <c r="E34" s="46">
        <v>0</v>
      </c>
      <c r="F34" s="55">
        <f>F39-F31</f>
        <v>12946</v>
      </c>
      <c r="G34" s="46">
        <v>0</v>
      </c>
      <c r="H34" s="46">
        <v>0</v>
      </c>
      <c r="I34" s="46"/>
      <c r="J34" s="46"/>
      <c r="K34" s="46"/>
      <c r="L34" s="46"/>
      <c r="M34" s="46"/>
      <c r="N34" s="55">
        <f>O34-F34-C34</f>
        <v>456</v>
      </c>
      <c r="O34" s="46">
        <v>172525</v>
      </c>
      <c r="P34" s="17">
        <f>O34/O$39</f>
        <v>0.21310221989456365</v>
      </c>
      <c r="Q34" s="18" t="s">
        <v>41</v>
      </c>
      <c r="R34" s="3"/>
      <c r="S34" s="3"/>
      <c r="T34" s="13">
        <f>SUM(T24:T33)</f>
        <v>874.97236000000009</v>
      </c>
      <c r="U34" s="14">
        <f>SUM(U24:U33)</f>
        <v>1</v>
      </c>
    </row>
    <row r="35" spans="1:48" ht="16" x14ac:dyDescent="0.2">
      <c r="A35" s="8" t="s">
        <v>42</v>
      </c>
      <c r="B35" s="56">
        <f>(B39-B37-B36-B32)*20849/(20849+18232)</f>
        <v>20483.031524270107</v>
      </c>
      <c r="C35" s="46">
        <v>10500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38"/>
      <c r="N35" s="56">
        <f>N39-N38-N37-N36-N34-N33-N32-N31</f>
        <v>19787</v>
      </c>
      <c r="O35" s="56">
        <f>SUM(B35:N35)</f>
        <v>50770.031524270104</v>
      </c>
      <c r="P35" s="17">
        <f>O35/O$39</f>
        <v>6.2710948685343784E-2</v>
      </c>
      <c r="Q35" s="18" t="s">
        <v>43</v>
      </c>
      <c r="R35" s="18"/>
    </row>
    <row r="36" spans="1:48" ht="16" x14ac:dyDescent="0.2">
      <c r="A36" s="8" t="s">
        <v>44</v>
      </c>
      <c r="B36" s="51">
        <v>30300</v>
      </c>
      <c r="C36" s="46">
        <v>542</v>
      </c>
      <c r="D36" s="46">
        <v>0</v>
      </c>
      <c r="E36" s="46">
        <v>0</v>
      </c>
      <c r="F36" s="46">
        <v>0</v>
      </c>
      <c r="G36" s="55">
        <f>O36-N36-C36-B36</f>
        <v>42738</v>
      </c>
      <c r="H36" s="46">
        <v>0</v>
      </c>
      <c r="I36" s="46"/>
      <c r="J36" s="46"/>
      <c r="K36" s="46"/>
      <c r="L36" s="46"/>
      <c r="M36" s="38"/>
      <c r="N36" s="55">
        <v>37240</v>
      </c>
      <c r="O36" s="46">
        <v>110820</v>
      </c>
      <c r="P36" s="18"/>
      <c r="Q36" s="18"/>
      <c r="R36" s="3"/>
      <c r="S36" s="7"/>
      <c r="T36" s="7"/>
      <c r="U36" s="7"/>
    </row>
    <row r="37" spans="1:48" ht="15.75" x14ac:dyDescent="0.25">
      <c r="A37" s="8" t="s">
        <v>45</v>
      </c>
      <c r="B37" s="51">
        <v>24000</v>
      </c>
      <c r="C37" s="46">
        <v>131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38"/>
      <c r="N37" s="55">
        <v>7397</v>
      </c>
      <c r="O37" s="55">
        <f>SUM(B37:N37)</f>
        <v>31528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38"/>
      <c r="N38" s="55">
        <v>2644</v>
      </c>
      <c r="O38" s="55">
        <f>N38</f>
        <v>2644</v>
      </c>
      <c r="P38" s="18">
        <f>SUM(P31:P35)</f>
        <v>0.82090643636022276</v>
      </c>
      <c r="Q38" s="18"/>
      <c r="R38" s="3"/>
      <c r="S38" s="7" t="s">
        <v>47</v>
      </c>
      <c r="T38" s="19">
        <f>O45/1000</f>
        <v>51.43336</v>
      </c>
      <c r="U38" s="7"/>
    </row>
    <row r="39" spans="1:48" ht="16" x14ac:dyDescent="0.2">
      <c r="A39" s="8" t="s">
        <v>16</v>
      </c>
      <c r="B39" s="46">
        <v>121168</v>
      </c>
      <c r="C39" s="56">
        <f>188972+8700</f>
        <v>197672</v>
      </c>
      <c r="D39" s="46">
        <v>0</v>
      </c>
      <c r="E39" s="46">
        <v>29552</v>
      </c>
      <c r="F39" s="46">
        <v>13646</v>
      </c>
      <c r="G39" s="56">
        <f>83583+122700</f>
        <v>206283</v>
      </c>
      <c r="H39" s="46">
        <v>0</v>
      </c>
      <c r="I39" s="46"/>
      <c r="J39" s="46"/>
      <c r="K39" s="46"/>
      <c r="L39" s="46"/>
      <c r="M39" s="38"/>
      <c r="N39" s="46">
        <v>241267</v>
      </c>
      <c r="O39" s="56">
        <f>678188+122700+8700</f>
        <v>809588</v>
      </c>
      <c r="P39" s="3"/>
      <c r="Q39" s="3"/>
      <c r="R39" s="3"/>
      <c r="S39" s="7" t="s">
        <v>48</v>
      </c>
      <c r="T39" s="20">
        <f>O41/1000</f>
        <v>144.99199999999999</v>
      </c>
      <c r="U39" s="14">
        <f>P41</f>
        <v>0.17909356363977727</v>
      </c>
    </row>
    <row r="40" spans="1:48" x14ac:dyDescent="0.2">
      <c r="B40" s="10"/>
      <c r="N40" s="10"/>
      <c r="O40" s="10"/>
      <c r="S40" s="7" t="s">
        <v>49</v>
      </c>
      <c r="T40" s="20">
        <f>O35/1000</f>
        <v>50.770031524270102</v>
      </c>
      <c r="U40" s="15">
        <f>P35</f>
        <v>6.2710948685343784E-2</v>
      </c>
    </row>
    <row r="41" spans="1:48" ht="16" x14ac:dyDescent="0.2">
      <c r="A41" s="21" t="s">
        <v>50</v>
      </c>
      <c r="B41" s="22">
        <f>B38+B37+B36</f>
        <v>54300</v>
      </c>
      <c r="C41" s="22">
        <f t="shared" ref="C41:O41" si="0">C38+C37+C36</f>
        <v>673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42738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47281</v>
      </c>
      <c r="O41" s="22">
        <f t="shared" si="0"/>
        <v>144992</v>
      </c>
      <c r="P41" s="17">
        <f>O41/O$39</f>
        <v>0.17909356363977727</v>
      </c>
      <c r="Q41" s="17" t="s">
        <v>51</v>
      </c>
      <c r="R41" s="7"/>
      <c r="S41" s="7" t="s">
        <v>52</v>
      </c>
      <c r="T41" s="20">
        <f>O33/1000</f>
        <v>34.884968475729899</v>
      </c>
      <c r="U41" s="14">
        <f>P33</f>
        <v>4.308977958632032E-2</v>
      </c>
    </row>
    <row r="42" spans="1:48" ht="16" x14ac:dyDescent="0.2">
      <c r="A42" s="23" t="s">
        <v>53</v>
      </c>
      <c r="B42" s="22"/>
      <c r="C42" s="24">
        <f>C39+C23+C10</f>
        <v>198287</v>
      </c>
      <c r="D42" s="24">
        <f t="shared" ref="D42:M42" si="1">D39+D23+D10</f>
        <v>0</v>
      </c>
      <c r="E42" s="24">
        <f t="shared" si="1"/>
        <v>29552</v>
      </c>
      <c r="F42" s="24">
        <f t="shared" si="1"/>
        <v>15346</v>
      </c>
      <c r="G42" s="24">
        <f t="shared" si="1"/>
        <v>380983</v>
      </c>
      <c r="H42" s="24">
        <f t="shared" si="1"/>
        <v>836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249968.36</v>
      </c>
      <c r="O42" s="25">
        <f>SUM(C42:N42)</f>
        <v>874972.36</v>
      </c>
      <c r="P42" s="7"/>
      <c r="Q42" s="7"/>
      <c r="R42" s="7"/>
      <c r="S42" s="7" t="s">
        <v>34</v>
      </c>
      <c r="T42" s="20">
        <f>O31/1000</f>
        <v>22.114000000000001</v>
      </c>
      <c r="U42" s="14">
        <f>P31</f>
        <v>2.7315128188658923E-2</v>
      </c>
    </row>
    <row r="43" spans="1:48" ht="16" x14ac:dyDescent="0.2">
      <c r="A43" s="23" t="s">
        <v>54</v>
      </c>
      <c r="B43" s="22"/>
      <c r="C43" s="17">
        <f t="shared" ref="C43:N43" si="2">C42/$O42</f>
        <v>0.22662087291534558</v>
      </c>
      <c r="D43" s="17">
        <f t="shared" si="2"/>
        <v>0</v>
      </c>
      <c r="E43" s="17">
        <f t="shared" si="2"/>
        <v>3.3774781182802166E-2</v>
      </c>
      <c r="F43" s="17">
        <f t="shared" si="2"/>
        <v>1.7538839741177654E-2</v>
      </c>
      <c r="G43" s="17">
        <f t="shared" si="2"/>
        <v>0.43542289724443412</v>
      </c>
      <c r="H43" s="17">
        <f t="shared" si="2"/>
        <v>9.5545875300563784E-4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0.28568715016323487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384.30200000000002</v>
      </c>
      <c r="U43" s="15">
        <f>P32</f>
        <v>0.47468836000533604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172.52500000000001</v>
      </c>
      <c r="U44" s="15">
        <f>P34</f>
        <v>0.21310221989456365</v>
      </c>
    </row>
    <row r="45" spans="1:48" ht="16" x14ac:dyDescent="0.2">
      <c r="A45" s="6" t="s">
        <v>57</v>
      </c>
      <c r="B45" s="6">
        <f>B23-B39</f>
        <v>32132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19301.36</v>
      </c>
      <c r="O45" s="25">
        <f>B45+N45</f>
        <v>51433.36</v>
      </c>
      <c r="P45" s="7"/>
      <c r="Q45" s="7"/>
      <c r="R45" s="7"/>
      <c r="S45" s="7" t="s">
        <v>58</v>
      </c>
      <c r="T45" s="20">
        <f>SUM(T39:T44)</f>
        <v>809.58799999999997</v>
      </c>
      <c r="U45" s="14">
        <f>SUM(U39:U44)</f>
        <v>1</v>
      </c>
    </row>
    <row r="46" spans="1:48" ht="16" x14ac:dyDescent="0.2">
      <c r="A46" s="6"/>
      <c r="B46" s="5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ht="16" x14ac:dyDescent="0.2">
      <c r="A51" s="4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ht="16" x14ac:dyDescent="0.2">
      <c r="A52" s="4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ht="16" x14ac:dyDescent="0.2">
      <c r="A53" s="4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ht="16" x14ac:dyDescent="0.2">
      <c r="A54" s="4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ht="16" x14ac:dyDescent="0.2">
      <c r="A55" s="4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27"/>
      <c r="Q56" s="27"/>
      <c r="R56" s="4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x14ac:dyDescent="0.2">
      <c r="E57" s="9"/>
      <c r="F57" s="9"/>
      <c r="G57" s="9"/>
      <c r="H57" s="9"/>
      <c r="I57" s="9"/>
      <c r="J57" s="9"/>
      <c r="K57" s="9"/>
      <c r="L57" s="9"/>
      <c r="M57" s="27"/>
      <c r="N57" s="9"/>
      <c r="O57" s="9"/>
      <c r="P57" s="27"/>
      <c r="Q57" s="27"/>
      <c r="R57" s="4"/>
      <c r="S57" s="4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4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</row>
    <row r="58" spans="1:48" ht="16" x14ac:dyDescent="0.2">
      <c r="E58" s="9"/>
      <c r="F58" s="16"/>
      <c r="G58" s="9"/>
      <c r="H58" s="9"/>
      <c r="I58" s="9"/>
      <c r="J58" s="9"/>
      <c r="K58" s="9"/>
      <c r="L58" s="9"/>
      <c r="M58" s="27"/>
      <c r="N58" s="9"/>
      <c r="O58" s="9"/>
      <c r="P58" s="27"/>
      <c r="Q58" s="27"/>
      <c r="R58" s="4"/>
      <c r="S58" s="7"/>
      <c r="T58" s="6"/>
      <c r="U58" s="31"/>
    </row>
    <row r="59" spans="1:48" ht="16" x14ac:dyDescent="0.2">
      <c r="A59" s="5"/>
      <c r="B59" s="7"/>
      <c r="C59" s="29"/>
      <c r="D59" s="29"/>
      <c r="E59" s="9"/>
      <c r="F59" s="16"/>
      <c r="G59" s="9"/>
      <c r="H59" s="9"/>
      <c r="I59" s="9"/>
      <c r="J59" s="9"/>
      <c r="K59" s="9"/>
      <c r="L59" s="9"/>
      <c r="M59" s="27"/>
      <c r="N59" s="9"/>
      <c r="O59" s="9"/>
      <c r="P59" s="27"/>
      <c r="Q59" s="27"/>
      <c r="R59" s="4"/>
      <c r="S59" s="7"/>
      <c r="T59" s="6"/>
      <c r="U59" s="31"/>
    </row>
    <row r="60" spans="1:48" ht="16" x14ac:dyDescent="0.2">
      <c r="A60" s="5"/>
      <c r="C60" s="6"/>
      <c r="D60" s="6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7"/>
      <c r="T60" s="6"/>
      <c r="U60" s="31"/>
    </row>
    <row r="61" spans="1:48" ht="16" x14ac:dyDescent="0.2">
      <c r="A61" s="5"/>
      <c r="B61" s="60"/>
      <c r="C61" s="6"/>
      <c r="D61" s="6"/>
      <c r="E61" s="29"/>
      <c r="F61" s="29"/>
      <c r="G61" s="29"/>
      <c r="H61" s="29"/>
      <c r="I61" s="29"/>
      <c r="J61" s="29"/>
      <c r="K61" s="29"/>
      <c r="L61" s="6"/>
      <c r="M61" s="30"/>
      <c r="N61" s="7"/>
      <c r="O61" s="6"/>
      <c r="P61" s="14"/>
      <c r="Q61" s="7"/>
      <c r="R61" s="7"/>
      <c r="S61" s="7"/>
      <c r="T61" s="6"/>
      <c r="U61" s="31"/>
    </row>
    <row r="62" spans="1:48" ht="16" x14ac:dyDescent="0.2">
      <c r="A62" s="5"/>
      <c r="B62" s="60"/>
      <c r="C62" s="6"/>
      <c r="D62" s="32"/>
      <c r="E62" s="29"/>
      <c r="F62" s="29"/>
      <c r="G62" s="29"/>
      <c r="H62" s="29"/>
      <c r="I62" s="29"/>
      <c r="J62" s="29"/>
      <c r="K62" s="29"/>
      <c r="L62" s="6"/>
      <c r="M62" s="30"/>
      <c r="N62" s="7"/>
      <c r="O62" s="6"/>
      <c r="P62" s="14"/>
      <c r="Q62" s="7"/>
      <c r="R62" s="7"/>
      <c r="S62" s="7"/>
      <c r="T62" s="32"/>
      <c r="U62" s="33"/>
    </row>
    <row r="63" spans="1:48" ht="16" x14ac:dyDescent="0.2">
      <c r="A63" s="5"/>
      <c r="B63" s="60"/>
      <c r="C63" s="6"/>
      <c r="E63" s="29"/>
      <c r="F63" s="29"/>
      <c r="G63" s="29"/>
      <c r="H63" s="29"/>
      <c r="I63" s="29"/>
      <c r="J63" s="29"/>
      <c r="K63" s="29"/>
      <c r="L63" s="6"/>
      <c r="M63" s="30"/>
      <c r="N63" s="7"/>
      <c r="O63" s="6"/>
      <c r="P63" s="14"/>
      <c r="Q63" s="7"/>
      <c r="R63" s="7"/>
      <c r="S63" s="7"/>
      <c r="T63" s="7"/>
      <c r="U63" s="6"/>
    </row>
    <row r="64" spans="1:48" ht="16" x14ac:dyDescent="0.2">
      <c r="A64" s="5"/>
      <c r="B64" s="60"/>
      <c r="C64" s="6"/>
      <c r="E64" s="7"/>
      <c r="F64" s="7"/>
      <c r="G64" s="7"/>
      <c r="H64" s="7"/>
      <c r="I64" s="7"/>
      <c r="J64" s="7"/>
      <c r="K64" s="7"/>
      <c r="L64" s="6"/>
      <c r="M64" s="30"/>
      <c r="N64" s="7"/>
      <c r="O64" s="6"/>
      <c r="P64" s="14"/>
      <c r="Q64" s="7"/>
      <c r="R64" s="7"/>
      <c r="S64" s="7"/>
      <c r="T64" s="34"/>
      <c r="U64" s="35"/>
    </row>
    <row r="65" spans="1:21" ht="16" x14ac:dyDescent="0.2">
      <c r="A65" s="5"/>
      <c r="B65" s="60"/>
      <c r="C65" s="6"/>
      <c r="D65" s="10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5"/>
      <c r="B66" s="60"/>
      <c r="C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C67" s="10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6"/>
      <c r="C70" s="6"/>
      <c r="D70" s="6"/>
      <c r="E70" s="6"/>
      <c r="F70" s="6"/>
      <c r="G70" s="6"/>
      <c r="H70" s="6"/>
      <c r="I70" s="6"/>
      <c r="J70" s="7"/>
      <c r="K70" s="7"/>
      <c r="L70" s="7"/>
      <c r="M70" s="7"/>
      <c r="N70" s="7"/>
      <c r="O70" s="7"/>
      <c r="P70" s="6"/>
      <c r="Q70" s="30"/>
      <c r="R70" s="7"/>
      <c r="S70" s="7"/>
      <c r="T70" s="6"/>
      <c r="U70" s="31"/>
    </row>
    <row r="71" spans="1:21" ht="16" x14ac:dyDescent="0.2">
      <c r="A71" s="7"/>
      <c r="B71" s="32"/>
      <c r="C71" s="32"/>
      <c r="D71" s="32"/>
      <c r="E71" s="32"/>
      <c r="F71" s="32"/>
      <c r="G71" s="32"/>
      <c r="H71" s="32"/>
      <c r="I71" s="32"/>
      <c r="J71" s="7"/>
      <c r="K71" s="7"/>
      <c r="L71" s="7"/>
      <c r="M71" s="7"/>
      <c r="N71" s="7"/>
      <c r="O71" s="7"/>
      <c r="P71" s="32"/>
      <c r="Q71" s="36"/>
      <c r="R71" s="7"/>
      <c r="S71" s="37"/>
      <c r="T71" s="32"/>
      <c r="U71" s="36"/>
    </row>
  </sheetData>
  <pageMargins left="0.75" right="0.75" top="0.75" bottom="0.5" header="0.5" footer="0.75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 enableFormatConditionsCalculation="0"/>
  <dimension ref="A1:AV70"/>
  <sheetViews>
    <sheetView workbookViewId="0">
      <selection activeCell="B44" sqref="B44"/>
    </sheetView>
  </sheetViews>
  <sheetFormatPr baseColWidth="10" defaultColWidth="8.83203125" defaultRowHeight="15" x14ac:dyDescent="0.2"/>
  <cols>
    <col min="1" max="1" width="21.5" style="2" customWidth="1"/>
    <col min="2" max="16" width="10.1640625" style="2" customWidth="1"/>
    <col min="17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69</v>
      </c>
      <c r="Q2" s="38"/>
      <c r="R2" s="8"/>
      <c r="AH2" s="38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70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38"/>
      <c r="R3" s="38"/>
      <c r="AH3" s="38"/>
      <c r="AI3" s="38"/>
    </row>
    <row r="4" spans="1:35" ht="15.75" x14ac:dyDescent="0.25">
      <c r="A4" s="5" t="s">
        <v>76</v>
      </c>
      <c r="B4" s="52">
        <f>457*0.95</f>
        <v>434.15</v>
      </c>
      <c r="Q4" s="38"/>
      <c r="R4" s="38"/>
      <c r="AH4" s="38"/>
      <c r="AI4" s="38"/>
    </row>
    <row r="5" spans="1:35" ht="15.75" x14ac:dyDescent="0.25">
      <c r="A5" s="38"/>
      <c r="Q5" s="38"/>
      <c r="R5" s="38"/>
      <c r="AH5" s="38"/>
      <c r="AI5" s="38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38"/>
      <c r="R6" s="38"/>
      <c r="AH6" s="38"/>
      <c r="AI6" s="38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38"/>
      <c r="R7" s="38"/>
      <c r="AH7" s="38"/>
      <c r="AI7" s="38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38"/>
      <c r="R8" s="38"/>
      <c r="AH8" s="38"/>
      <c r="AI8" s="38"/>
    </row>
    <row r="9" spans="1:35" ht="15.75" x14ac:dyDescent="0.25">
      <c r="A9" s="8" t="s">
        <v>15</v>
      </c>
      <c r="B9" s="46">
        <v>437091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38"/>
      <c r="R9" s="38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38"/>
      <c r="AI9" s="38"/>
    </row>
    <row r="10" spans="1:35" ht="16" x14ac:dyDescent="0.2">
      <c r="A10" s="8" t="s">
        <v>16</v>
      </c>
      <c r="B10" s="56">
        <f>SUM(B4:B9)</f>
        <v>437525.15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38"/>
      <c r="R10" s="38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38"/>
      <c r="AI10" s="38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69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73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56">
        <f>25820+4397</f>
        <v>30217</v>
      </c>
      <c r="C18" s="46">
        <v>179</v>
      </c>
      <c r="D18" s="46">
        <v>0</v>
      </c>
      <c r="E18" s="46">
        <v>0</v>
      </c>
      <c r="F18" s="46">
        <v>0</v>
      </c>
      <c r="G18" s="46">
        <v>30792</v>
      </c>
      <c r="H18" s="46">
        <v>0</v>
      </c>
      <c r="I18" s="46"/>
      <c r="J18" s="46"/>
      <c r="K18" s="46"/>
      <c r="L18" s="46"/>
      <c r="M18" s="46"/>
      <c r="N18" s="46"/>
      <c r="O18" s="46">
        <v>30971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350.30859999999996</v>
      </c>
      <c r="U21" s="3"/>
    </row>
    <row r="22" spans="1:21" ht="16" x14ac:dyDescent="0.2">
      <c r="A22" s="8" t="s">
        <v>25</v>
      </c>
      <c r="B22" s="5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30217</v>
      </c>
      <c r="C23" s="46">
        <v>179</v>
      </c>
      <c r="D23" s="46">
        <v>0</v>
      </c>
      <c r="E23" s="46">
        <v>0</v>
      </c>
      <c r="F23" s="46">
        <v>0</v>
      </c>
      <c r="G23" s="46">
        <v>30792</v>
      </c>
      <c r="H23" s="46">
        <v>0</v>
      </c>
      <c r="I23" s="46"/>
      <c r="J23" s="46"/>
      <c r="K23" s="46"/>
      <c r="L23" s="46"/>
      <c r="M23" s="46"/>
      <c r="N23" s="46"/>
      <c r="O23" s="46">
        <v>30971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159.83459999999999</v>
      </c>
      <c r="U24" s="14">
        <f>N43</f>
        <v>0.45626798771140653</v>
      </c>
    </row>
    <row r="25" spans="1:21" ht="16" x14ac:dyDescent="0.2">
      <c r="B25" s="5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70</v>
      </c>
      <c r="T25" s="13">
        <f>G42/1000</f>
        <v>58.832000000000001</v>
      </c>
      <c r="U25" s="15">
        <f>G43</f>
        <v>0.1679433505200843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9.4169999999999998</v>
      </c>
      <c r="U27" s="14">
        <f>F43</f>
        <v>2.6882012031677213E-2</v>
      </c>
    </row>
    <row r="28" spans="1:21" ht="15.75" x14ac:dyDescent="0.25">
      <c r="A28" s="4" t="s">
        <v>69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0</v>
      </c>
      <c r="U28" s="14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70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0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40">
        <f>K43</f>
        <v>0</v>
      </c>
    </row>
    <row r="31" spans="1:21" ht="15.75" x14ac:dyDescent="0.25">
      <c r="A31" s="8" t="s">
        <v>33</v>
      </c>
      <c r="B31" s="46">
        <v>0</v>
      </c>
      <c r="C31" s="46">
        <v>23491</v>
      </c>
      <c r="D31" s="46">
        <v>0</v>
      </c>
      <c r="E31" s="46">
        <v>0</v>
      </c>
      <c r="F31" s="46">
        <v>2420</v>
      </c>
      <c r="G31" s="46">
        <v>0</v>
      </c>
      <c r="H31" s="46">
        <v>0</v>
      </c>
      <c r="I31" s="46"/>
      <c r="J31" s="46"/>
      <c r="K31" s="46"/>
      <c r="L31" s="46"/>
      <c r="M31" s="38"/>
      <c r="N31" s="46">
        <v>23354</v>
      </c>
      <c r="O31" s="46">
        <v>49264</v>
      </c>
      <c r="P31" s="17">
        <f>O31/O$39</f>
        <v>0.14762120226897479</v>
      </c>
      <c r="Q31" s="18" t="s">
        <v>34</v>
      </c>
      <c r="R31" s="3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46">
        <v>325</v>
      </c>
      <c r="C32" s="55">
        <f>C39-C36-C35-C34-C33-C31</f>
        <v>858</v>
      </c>
      <c r="D32" s="46">
        <v>0</v>
      </c>
      <c r="E32" s="46">
        <v>0</v>
      </c>
      <c r="F32" s="46">
        <v>0</v>
      </c>
      <c r="G32" s="46">
        <v>56</v>
      </c>
      <c r="H32" s="46">
        <v>0</v>
      </c>
      <c r="I32" s="46"/>
      <c r="J32" s="46"/>
      <c r="K32" s="46"/>
      <c r="L32" s="46"/>
      <c r="M32" s="38"/>
      <c r="N32" s="55">
        <f>O32-G32-C32-B32</f>
        <v>6728</v>
      </c>
      <c r="O32" s="46">
        <v>7967</v>
      </c>
      <c r="P32" s="17">
        <f>O32/O$39</f>
        <v>2.3873378501074256E-2</v>
      </c>
      <c r="Q32" s="18" t="s">
        <v>37</v>
      </c>
      <c r="R32" s="3"/>
      <c r="S32" s="3" t="s">
        <v>6</v>
      </c>
      <c r="T32" s="13">
        <f>H42/1000</f>
        <v>0</v>
      </c>
      <c r="U32" s="14">
        <f>H43</f>
        <v>0</v>
      </c>
    </row>
    <row r="33" spans="1:48" ht="15.75" x14ac:dyDescent="0.25">
      <c r="A33" s="8" t="s">
        <v>38</v>
      </c>
      <c r="B33" s="46">
        <v>5390</v>
      </c>
      <c r="C33" s="46">
        <v>311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38"/>
      <c r="N33" s="46">
        <v>9410</v>
      </c>
      <c r="O33" s="46">
        <v>15111</v>
      </c>
      <c r="P33" s="17">
        <f>O33/O$39</f>
        <v>4.5280610333843743E-2</v>
      </c>
      <c r="Q33" s="18" t="s">
        <v>39</v>
      </c>
      <c r="R33" s="3"/>
      <c r="S33" s="3" t="s">
        <v>35</v>
      </c>
      <c r="T33" s="13">
        <f>C42/1000</f>
        <v>122.22499999999999</v>
      </c>
      <c r="U33" s="15">
        <f>C43</f>
        <v>0.34890664973683205</v>
      </c>
    </row>
    <row r="34" spans="1:48" ht="15.75" x14ac:dyDescent="0.25">
      <c r="A34" s="8" t="s">
        <v>40</v>
      </c>
      <c r="B34" s="46">
        <v>0</v>
      </c>
      <c r="C34" s="46">
        <v>93191</v>
      </c>
      <c r="D34" s="46">
        <v>0</v>
      </c>
      <c r="E34" s="46">
        <v>0</v>
      </c>
      <c r="F34" s="46">
        <v>6998</v>
      </c>
      <c r="G34" s="46">
        <v>0</v>
      </c>
      <c r="H34" s="46">
        <v>0</v>
      </c>
      <c r="I34" s="46"/>
      <c r="J34" s="46"/>
      <c r="K34" s="46"/>
      <c r="L34" s="46"/>
      <c r="M34" s="38"/>
      <c r="N34" s="46">
        <v>29</v>
      </c>
      <c r="O34" s="46">
        <v>100218</v>
      </c>
      <c r="P34" s="17">
        <f>O34/O$39</f>
        <v>0.30030654532705658</v>
      </c>
      <c r="Q34" s="18" t="s">
        <v>41</v>
      </c>
      <c r="R34" s="3"/>
      <c r="S34" s="3"/>
      <c r="T34" s="13">
        <f>SUM(T24:T33)</f>
        <v>350.30859999999996</v>
      </c>
      <c r="U34" s="14">
        <f>SUM(U24:U33)</f>
        <v>1</v>
      </c>
    </row>
    <row r="35" spans="1:48" ht="16" x14ac:dyDescent="0.2">
      <c r="A35" s="8" t="s">
        <v>42</v>
      </c>
      <c r="B35" s="46">
        <v>6148</v>
      </c>
      <c r="C35" s="46">
        <v>3755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38"/>
      <c r="N35" s="46">
        <v>33791</v>
      </c>
      <c r="O35" s="46">
        <v>43694</v>
      </c>
      <c r="P35" s="17">
        <f>O35/O$39</f>
        <v>0.13093051339600081</v>
      </c>
      <c r="Q35" s="18" t="s">
        <v>43</v>
      </c>
      <c r="R35" s="18"/>
    </row>
    <row r="36" spans="1:48" ht="16" x14ac:dyDescent="0.2">
      <c r="A36" s="8" t="s">
        <v>44</v>
      </c>
      <c r="B36" s="46">
        <v>7015</v>
      </c>
      <c r="C36" s="55">
        <v>440</v>
      </c>
      <c r="D36" s="46">
        <v>0</v>
      </c>
      <c r="E36" s="46">
        <v>0</v>
      </c>
      <c r="F36" s="46">
        <v>0</v>
      </c>
      <c r="G36" s="46">
        <v>27983</v>
      </c>
      <c r="H36" s="46">
        <v>0</v>
      </c>
      <c r="I36" s="46"/>
      <c r="J36" s="46"/>
      <c r="K36" s="46"/>
      <c r="L36" s="46"/>
      <c r="M36" s="38"/>
      <c r="N36" s="55">
        <f>O36-G36-C36-B36</f>
        <v>39887</v>
      </c>
      <c r="O36" s="46">
        <v>75325</v>
      </c>
      <c r="P36" s="18"/>
      <c r="Q36" s="18"/>
      <c r="R36" s="3"/>
      <c r="S36" s="7"/>
      <c r="T36" s="7"/>
      <c r="U36" s="7"/>
    </row>
    <row r="37" spans="1:48" ht="15.75" x14ac:dyDescent="0.25">
      <c r="A37" s="8" t="s">
        <v>45</v>
      </c>
      <c r="B37" s="46">
        <v>7343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38"/>
      <c r="N37" s="46">
        <v>4406</v>
      </c>
      <c r="O37" s="46">
        <v>11749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38"/>
      <c r="N38" s="46">
        <v>30391</v>
      </c>
      <c r="O38" s="46">
        <v>30391</v>
      </c>
      <c r="P38" s="18">
        <f>SUM(P31:P35)</f>
        <v>0.64801224982695027</v>
      </c>
      <c r="Q38" s="18"/>
      <c r="R38" s="3"/>
      <c r="S38" s="7" t="s">
        <v>47</v>
      </c>
      <c r="T38" s="19">
        <f>O45/1000</f>
        <v>15.835600000000001</v>
      </c>
      <c r="U38" s="7"/>
    </row>
    <row r="39" spans="1:48" ht="16" x14ac:dyDescent="0.2">
      <c r="A39" s="8" t="s">
        <v>16</v>
      </c>
      <c r="B39" s="46">
        <v>26221</v>
      </c>
      <c r="C39" s="46">
        <v>122046</v>
      </c>
      <c r="D39" s="46">
        <v>0</v>
      </c>
      <c r="E39" s="46">
        <v>0</v>
      </c>
      <c r="F39" s="46">
        <v>9417</v>
      </c>
      <c r="G39" s="46">
        <v>28040</v>
      </c>
      <c r="H39" s="46">
        <v>0</v>
      </c>
      <c r="I39" s="46"/>
      <c r="J39" s="46"/>
      <c r="K39" s="46"/>
      <c r="L39" s="46"/>
      <c r="M39" s="38"/>
      <c r="N39" s="46">
        <v>147995</v>
      </c>
      <c r="O39" s="46">
        <v>333719</v>
      </c>
      <c r="P39" s="3"/>
      <c r="Q39" s="3"/>
      <c r="R39" s="3"/>
      <c r="S39" s="7" t="s">
        <v>48</v>
      </c>
      <c r="T39" s="20">
        <f>O41/1000</f>
        <v>117.465</v>
      </c>
      <c r="U39" s="14">
        <f>P41</f>
        <v>0.35198775017304978</v>
      </c>
    </row>
    <row r="40" spans="1:48" x14ac:dyDescent="0.2">
      <c r="N40" s="10"/>
      <c r="O40" s="10"/>
      <c r="S40" s="7" t="s">
        <v>49</v>
      </c>
      <c r="T40" s="20">
        <f>O35/1000</f>
        <v>43.694000000000003</v>
      </c>
      <c r="U40" s="15">
        <f>P35</f>
        <v>0.13093051339600081</v>
      </c>
    </row>
    <row r="41" spans="1:48" ht="16" x14ac:dyDescent="0.2">
      <c r="A41" s="21" t="s">
        <v>50</v>
      </c>
      <c r="B41" s="22">
        <f>B38+B37+B36</f>
        <v>14358</v>
      </c>
      <c r="C41" s="22">
        <f t="shared" ref="C41:O41" si="0">C38+C37+C36</f>
        <v>440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27983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74684</v>
      </c>
      <c r="O41" s="22">
        <f t="shared" si="0"/>
        <v>117465</v>
      </c>
      <c r="P41" s="17">
        <f>O41/O$39</f>
        <v>0.35198775017304978</v>
      </c>
      <c r="Q41" s="17" t="s">
        <v>51</v>
      </c>
      <c r="R41" s="7"/>
      <c r="S41" s="7" t="s">
        <v>52</v>
      </c>
      <c r="T41" s="20">
        <f>O33/1000</f>
        <v>15.111000000000001</v>
      </c>
      <c r="U41" s="14">
        <f>P33</f>
        <v>4.5280610333843743E-2</v>
      </c>
    </row>
    <row r="42" spans="1:48" ht="16" x14ac:dyDescent="0.2">
      <c r="A42" s="23" t="s">
        <v>53</v>
      </c>
      <c r="B42" s="22"/>
      <c r="C42" s="24">
        <f>C39+C23+C10</f>
        <v>122225</v>
      </c>
      <c r="D42" s="24">
        <f t="shared" ref="D42:M42" si="1">D39+D23+D10</f>
        <v>0</v>
      </c>
      <c r="E42" s="24">
        <f t="shared" si="1"/>
        <v>0</v>
      </c>
      <c r="F42" s="24">
        <f t="shared" si="1"/>
        <v>9417</v>
      </c>
      <c r="G42" s="24">
        <f t="shared" si="1"/>
        <v>58832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159834.6</v>
      </c>
      <c r="O42" s="25">
        <f>SUM(C42:N42)</f>
        <v>350308.6</v>
      </c>
      <c r="P42" s="7"/>
      <c r="Q42" s="7"/>
      <c r="R42" s="7"/>
      <c r="S42" s="7" t="s">
        <v>34</v>
      </c>
      <c r="T42" s="20">
        <f>O31/1000</f>
        <v>49.264000000000003</v>
      </c>
      <c r="U42" s="14">
        <f>P31</f>
        <v>0.14762120226897479</v>
      </c>
    </row>
    <row r="43" spans="1:48" ht="16" x14ac:dyDescent="0.2">
      <c r="A43" s="23" t="s">
        <v>54</v>
      </c>
      <c r="B43" s="22"/>
      <c r="C43" s="17">
        <f t="shared" ref="C43:N43" si="2">C42/$O42</f>
        <v>0.34890664973683205</v>
      </c>
      <c r="D43" s="17">
        <f t="shared" si="2"/>
        <v>0</v>
      </c>
      <c r="E43" s="17">
        <f t="shared" si="2"/>
        <v>0</v>
      </c>
      <c r="F43" s="17">
        <f t="shared" si="2"/>
        <v>2.6882012031677213E-2</v>
      </c>
      <c r="G43" s="17">
        <f t="shared" si="2"/>
        <v>0.1679433505200843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0.45626798771140653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7.9669999999999996</v>
      </c>
      <c r="U43" s="15">
        <f>P32</f>
        <v>2.3873378501074256E-2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100.218</v>
      </c>
      <c r="U44" s="15">
        <f>P34</f>
        <v>0.30030654532705658</v>
      </c>
    </row>
    <row r="45" spans="1:48" ht="16" x14ac:dyDescent="0.2">
      <c r="A45" s="6" t="s">
        <v>57</v>
      </c>
      <c r="B45" s="6">
        <f>B23-B39</f>
        <v>3996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11839.6</v>
      </c>
      <c r="O45" s="25">
        <f>B45+N45</f>
        <v>15835.6</v>
      </c>
      <c r="P45" s="7"/>
      <c r="Q45" s="7"/>
      <c r="R45" s="7"/>
      <c r="S45" s="7" t="s">
        <v>58</v>
      </c>
      <c r="T45" s="20">
        <f>SUM(T39:T44)</f>
        <v>333.71899999999999</v>
      </c>
      <c r="U45" s="14">
        <f>SUM(U39:U44)</f>
        <v>1</v>
      </c>
    </row>
    <row r="46" spans="1:48" ht="16" x14ac:dyDescent="0.2">
      <c r="A46" s="6"/>
      <c r="B46" s="5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7"/>
      <c r="G48" s="28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8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6"/>
      <c r="N57" s="30"/>
      <c r="O57" s="7"/>
      <c r="P57" s="6"/>
      <c r="Q57" s="14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6"/>
      <c r="N58" s="30"/>
      <c r="O58" s="7"/>
      <c r="P58" s="6"/>
      <c r="Q58" s="14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6"/>
      <c r="N59" s="30"/>
      <c r="O59" s="7"/>
      <c r="P59" s="6"/>
      <c r="Q59" s="14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6"/>
      <c r="N60" s="30"/>
      <c r="O60" s="7"/>
      <c r="P60" s="6"/>
      <c r="Q60" s="14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 enableFormatConditionsCalculation="0"/>
  <dimension ref="A1:AV70"/>
  <sheetViews>
    <sheetView workbookViewId="0">
      <selection activeCell="B44" sqref="B44"/>
    </sheetView>
  </sheetViews>
  <sheetFormatPr baseColWidth="10" defaultColWidth="8.83203125" defaultRowHeight="15" x14ac:dyDescent="0.2"/>
  <cols>
    <col min="1" max="1" width="21.5" style="2" customWidth="1"/>
    <col min="2" max="16" width="10.1640625" style="2" customWidth="1"/>
    <col min="17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1</v>
      </c>
      <c r="Q2" s="38"/>
      <c r="R2" s="8"/>
      <c r="AH2" s="38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70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38"/>
      <c r="R3" s="38"/>
      <c r="AH3" s="38"/>
      <c r="AI3" s="38"/>
    </row>
    <row r="4" spans="1:35" ht="15.75" x14ac:dyDescent="0.25">
      <c r="A4" s="5" t="s">
        <v>76</v>
      </c>
      <c r="B4" s="52">
        <f>129*0.95</f>
        <v>122.55</v>
      </c>
      <c r="Q4" s="38"/>
      <c r="R4" s="38"/>
      <c r="AH4" s="38"/>
      <c r="AI4" s="38"/>
    </row>
    <row r="5" spans="1:35" ht="15.75" x14ac:dyDescent="0.25">
      <c r="A5" s="38"/>
      <c r="Q5" s="38"/>
      <c r="R5" s="38"/>
      <c r="AH5" s="38"/>
      <c r="AI5" s="38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38"/>
      <c r="R6" s="38"/>
      <c r="AH6" s="38"/>
      <c r="AI6" s="38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38"/>
      <c r="R7" s="38"/>
      <c r="AH7" s="38"/>
      <c r="AI7" s="38"/>
    </row>
    <row r="8" spans="1:35" ht="15.75" x14ac:dyDescent="0.25">
      <c r="A8" s="8" t="s">
        <v>14</v>
      </c>
      <c r="B8" s="46">
        <v>12749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38"/>
      <c r="R8" s="38"/>
      <c r="AH8" s="38"/>
      <c r="AI8" s="38"/>
    </row>
    <row r="9" spans="1:35" ht="15.75" x14ac:dyDescent="0.25">
      <c r="A9" s="8" t="s">
        <v>15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38"/>
      <c r="R9" s="38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38"/>
      <c r="AI9" s="38"/>
    </row>
    <row r="10" spans="1:35" ht="16" x14ac:dyDescent="0.2">
      <c r="A10" s="8" t="s">
        <v>16</v>
      </c>
      <c r="B10" s="56">
        <f>SUM(B4:B9)</f>
        <v>12871.55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38"/>
      <c r="R10" s="38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38"/>
      <c r="AI10" s="38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70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/>
      <c r="J18" s="46"/>
      <c r="K18" s="46"/>
      <c r="L18" s="46"/>
      <c r="M18" s="46"/>
      <c r="N18" s="46"/>
      <c r="O18" s="46">
        <v>0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141.56835999999998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/>
      <c r="J23" s="46"/>
      <c r="K23" s="46"/>
      <c r="L23" s="46"/>
      <c r="M23" s="46"/>
      <c r="N23" s="46"/>
      <c r="O23" s="46">
        <v>0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59.22936</v>
      </c>
      <c r="U24" s="14">
        <f>N43</f>
        <v>0.41837992613603781</v>
      </c>
    </row>
    <row r="25" spans="1:21" ht="16" x14ac:dyDescent="0.2">
      <c r="B25" s="5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70</v>
      </c>
      <c r="T25" s="13">
        <f>G42/1000</f>
        <v>34.296999999999997</v>
      </c>
      <c r="U25" s="15">
        <f>G43</f>
        <v>0.24226458510927162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3.35</v>
      </c>
      <c r="U27" s="14">
        <f>F43</f>
        <v>2.3663479608014109E-2</v>
      </c>
    </row>
    <row r="28" spans="1:21" ht="16" x14ac:dyDescent="0.2">
      <c r="A28" s="4" t="s">
        <v>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0</v>
      </c>
      <c r="U28" s="14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70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0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40">
        <f>K43</f>
        <v>0</v>
      </c>
    </row>
    <row r="31" spans="1:21" ht="15.75" x14ac:dyDescent="0.25">
      <c r="A31" s="8" t="s">
        <v>33</v>
      </c>
      <c r="B31" s="46">
        <v>0</v>
      </c>
      <c r="C31" s="46">
        <v>6986</v>
      </c>
      <c r="D31" s="46">
        <v>0</v>
      </c>
      <c r="E31" s="46">
        <v>0</v>
      </c>
      <c r="F31" s="46">
        <v>723</v>
      </c>
      <c r="G31" s="46">
        <v>0</v>
      </c>
      <c r="H31" s="46">
        <v>0</v>
      </c>
      <c r="I31" s="46"/>
      <c r="J31" s="46"/>
      <c r="K31" s="46"/>
      <c r="L31" s="46"/>
      <c r="M31" s="38"/>
      <c r="N31" s="46">
        <v>6353</v>
      </c>
      <c r="O31" s="46">
        <v>14062</v>
      </c>
      <c r="P31" s="17">
        <f>O31/O$39</f>
        <v>0.10250690693317588</v>
      </c>
      <c r="Q31" s="18" t="s">
        <v>34</v>
      </c>
      <c r="R31" s="3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46">
        <v>0</v>
      </c>
      <c r="C32" s="55">
        <v>1053</v>
      </c>
      <c r="D32" s="46">
        <v>0</v>
      </c>
      <c r="E32" s="46">
        <v>0</v>
      </c>
      <c r="F32" s="46">
        <v>0</v>
      </c>
      <c r="G32" s="55">
        <f>O32-N32-C32</f>
        <v>5297</v>
      </c>
      <c r="H32" s="46">
        <v>0</v>
      </c>
      <c r="I32" s="46"/>
      <c r="J32" s="46"/>
      <c r="K32" s="46"/>
      <c r="L32" s="46"/>
      <c r="M32" s="38"/>
      <c r="N32" s="46">
        <v>12291</v>
      </c>
      <c r="O32" s="46">
        <v>18641</v>
      </c>
      <c r="P32" s="17">
        <f>O32/O$39</f>
        <v>0.13588616499369446</v>
      </c>
      <c r="Q32" s="18" t="s">
        <v>37</v>
      </c>
      <c r="R32" s="3"/>
      <c r="S32" s="3" t="s">
        <v>6</v>
      </c>
      <c r="T32" s="13">
        <f>H42/1000</f>
        <v>0</v>
      </c>
      <c r="U32" s="14">
        <f>H43</f>
        <v>0</v>
      </c>
    </row>
    <row r="33" spans="1:48" ht="15.75" x14ac:dyDescent="0.25">
      <c r="A33" s="8" t="s">
        <v>38</v>
      </c>
      <c r="B33" s="46">
        <v>0</v>
      </c>
      <c r="C33" s="46">
        <v>211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38"/>
      <c r="N33" s="46">
        <v>6041</v>
      </c>
      <c r="O33" s="46">
        <v>6252</v>
      </c>
      <c r="P33" s="17">
        <f>O33/O$39</f>
        <v>4.5574824501935396E-2</v>
      </c>
      <c r="Q33" s="18" t="s">
        <v>39</v>
      </c>
      <c r="R33" s="3"/>
      <c r="S33" s="3" t="s">
        <v>35</v>
      </c>
      <c r="T33" s="13">
        <f>C42/1000</f>
        <v>44.692</v>
      </c>
      <c r="U33" s="15">
        <f>C43</f>
        <v>0.31569200914667661</v>
      </c>
    </row>
    <row r="34" spans="1:48" ht="15.75" x14ac:dyDescent="0.25">
      <c r="A34" s="8" t="s">
        <v>40</v>
      </c>
      <c r="B34" s="46">
        <v>0</v>
      </c>
      <c r="C34" s="46">
        <v>34967</v>
      </c>
      <c r="D34" s="46">
        <v>0</v>
      </c>
      <c r="E34" s="46">
        <v>0</v>
      </c>
      <c r="F34" s="46">
        <v>2627</v>
      </c>
      <c r="G34" s="46">
        <v>0</v>
      </c>
      <c r="H34" s="46">
        <v>0</v>
      </c>
      <c r="I34" s="46"/>
      <c r="J34" s="46"/>
      <c r="K34" s="46"/>
      <c r="L34" s="46"/>
      <c r="M34" s="38"/>
      <c r="N34" s="46">
        <v>199</v>
      </c>
      <c r="O34" s="46">
        <v>37793</v>
      </c>
      <c r="P34" s="17">
        <f>O34/O$39</f>
        <v>0.27549733563685935</v>
      </c>
      <c r="Q34" s="18" t="s">
        <v>41</v>
      </c>
      <c r="R34" s="3"/>
      <c r="S34" s="3"/>
      <c r="T34" s="13">
        <f>SUM(T24:T33)</f>
        <v>141.56835999999998</v>
      </c>
      <c r="U34" s="14">
        <f>SUM(U24:U33)</f>
        <v>1</v>
      </c>
    </row>
    <row r="35" spans="1:48" ht="16" x14ac:dyDescent="0.2">
      <c r="A35" s="8" t="s">
        <v>42</v>
      </c>
      <c r="B35" s="46">
        <v>0</v>
      </c>
      <c r="C35" s="46">
        <v>423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38"/>
      <c r="N35" s="46">
        <v>7841</v>
      </c>
      <c r="O35" s="46">
        <v>8264</v>
      </c>
      <c r="P35" s="17">
        <f>O35/O$39</f>
        <v>6.0241578644272896E-2</v>
      </c>
      <c r="Q35" s="18" t="s">
        <v>43</v>
      </c>
      <c r="R35" s="18"/>
    </row>
    <row r="36" spans="1:48" ht="16" x14ac:dyDescent="0.2">
      <c r="A36" s="8" t="s">
        <v>44</v>
      </c>
      <c r="B36" s="46">
        <v>0</v>
      </c>
      <c r="C36" s="55">
        <v>1052</v>
      </c>
      <c r="D36" s="46">
        <v>0</v>
      </c>
      <c r="E36" s="46">
        <v>0</v>
      </c>
      <c r="F36" s="46">
        <v>0</v>
      </c>
      <c r="G36" s="55">
        <v>29000</v>
      </c>
      <c r="H36" s="46">
        <v>0</v>
      </c>
      <c r="I36" s="46"/>
      <c r="J36" s="46"/>
      <c r="K36" s="46"/>
      <c r="L36" s="46"/>
      <c r="M36" s="38"/>
      <c r="N36" s="46">
        <v>18030</v>
      </c>
      <c r="O36" s="55">
        <f>N36+G36+C36</f>
        <v>48082</v>
      </c>
      <c r="P36" s="18"/>
      <c r="Q36" s="18"/>
      <c r="R36" s="3"/>
      <c r="S36" s="7"/>
      <c r="T36" s="7"/>
      <c r="U36" s="7"/>
    </row>
    <row r="37" spans="1:48" ht="15.75" x14ac:dyDescent="0.25">
      <c r="A37" s="8" t="s">
        <v>45</v>
      </c>
      <c r="B37" s="46">
        <v>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38"/>
      <c r="N37" s="46">
        <v>1644</v>
      </c>
      <c r="O37" s="46">
        <v>1644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38"/>
      <c r="N38" s="46">
        <v>2443</v>
      </c>
      <c r="O38" s="46">
        <v>2443</v>
      </c>
      <c r="P38" s="18">
        <f>SUM(P31:P35)</f>
        <v>0.61970681070993794</v>
      </c>
      <c r="Q38" s="18"/>
      <c r="R38" s="3"/>
      <c r="S38" s="7" t="s">
        <v>47</v>
      </c>
      <c r="T38" s="19">
        <f>O45/1000</f>
        <v>4.3873599999999993</v>
      </c>
      <c r="U38" s="7"/>
    </row>
    <row r="39" spans="1:48" ht="16" x14ac:dyDescent="0.2">
      <c r="A39" s="8" t="s">
        <v>16</v>
      </c>
      <c r="B39" s="46">
        <v>0</v>
      </c>
      <c r="C39" s="46">
        <v>44692</v>
      </c>
      <c r="D39" s="46">
        <v>0</v>
      </c>
      <c r="E39" s="46">
        <v>0</v>
      </c>
      <c r="F39" s="46">
        <v>3350</v>
      </c>
      <c r="G39" s="55">
        <f>SUM(G31:G38)</f>
        <v>34297</v>
      </c>
      <c r="H39" s="46">
        <v>0</v>
      </c>
      <c r="I39" s="46"/>
      <c r="J39" s="46"/>
      <c r="K39" s="46"/>
      <c r="L39" s="46"/>
      <c r="M39" s="38"/>
      <c r="N39" s="46">
        <v>54842</v>
      </c>
      <c r="O39" s="55">
        <f>SUM(O31:O38)</f>
        <v>137181</v>
      </c>
      <c r="P39" s="3"/>
      <c r="Q39" s="3"/>
      <c r="R39" s="3"/>
      <c r="S39" s="7" t="s">
        <v>48</v>
      </c>
      <c r="T39" s="20">
        <f>O41/1000</f>
        <v>52.168999999999997</v>
      </c>
      <c r="U39" s="14">
        <f>P41</f>
        <v>0.38029318929006206</v>
      </c>
    </row>
    <row r="40" spans="1:48" x14ac:dyDescent="0.2">
      <c r="C40" s="10"/>
      <c r="J40" s="10"/>
      <c r="N40" s="10"/>
      <c r="S40" s="7" t="s">
        <v>49</v>
      </c>
      <c r="T40" s="20">
        <f>O35/1000</f>
        <v>8.2639999999999993</v>
      </c>
      <c r="U40" s="15">
        <f>P35</f>
        <v>6.0241578644272896E-2</v>
      </c>
    </row>
    <row r="41" spans="1:48" ht="16" x14ac:dyDescent="0.2">
      <c r="A41" s="21" t="s">
        <v>50</v>
      </c>
      <c r="B41" s="22">
        <f>B38+B37+B36</f>
        <v>0</v>
      </c>
      <c r="C41" s="22">
        <f t="shared" ref="C41:O41" si="0">C38+C37+C36</f>
        <v>1052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29000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22117</v>
      </c>
      <c r="O41" s="22">
        <f t="shared" si="0"/>
        <v>52169</v>
      </c>
      <c r="P41" s="17">
        <f>O41/O$39</f>
        <v>0.38029318929006206</v>
      </c>
      <c r="Q41" s="17" t="s">
        <v>51</v>
      </c>
      <c r="R41" s="7"/>
      <c r="S41" s="7" t="s">
        <v>52</v>
      </c>
      <c r="T41" s="20">
        <f>O33/1000</f>
        <v>6.2519999999999998</v>
      </c>
      <c r="U41" s="14">
        <f>P33</f>
        <v>4.5574824501935396E-2</v>
      </c>
    </row>
    <row r="42" spans="1:48" ht="16" x14ac:dyDescent="0.2">
      <c r="A42" s="23" t="s">
        <v>53</v>
      </c>
      <c r="B42" s="22"/>
      <c r="C42" s="24">
        <f>C39+C23+C10</f>
        <v>44692</v>
      </c>
      <c r="D42" s="24">
        <f t="shared" ref="D42:M42" si="1">D39+D23+D10</f>
        <v>0</v>
      </c>
      <c r="E42" s="24">
        <f t="shared" si="1"/>
        <v>0</v>
      </c>
      <c r="F42" s="24">
        <f t="shared" si="1"/>
        <v>3350</v>
      </c>
      <c r="G42" s="24">
        <f t="shared" si="1"/>
        <v>34297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59229.36</v>
      </c>
      <c r="O42" s="25">
        <f>SUM(C42:N42)</f>
        <v>141568.35999999999</v>
      </c>
      <c r="P42" s="7"/>
      <c r="Q42" s="7"/>
      <c r="R42" s="7"/>
      <c r="S42" s="7" t="s">
        <v>34</v>
      </c>
      <c r="T42" s="20">
        <f>O31/1000</f>
        <v>14.061999999999999</v>
      </c>
      <c r="U42" s="14">
        <f>P31</f>
        <v>0.10250690693317588</v>
      </c>
    </row>
    <row r="43" spans="1:48" ht="16" x14ac:dyDescent="0.2">
      <c r="A43" s="23" t="s">
        <v>54</v>
      </c>
      <c r="B43" s="22"/>
      <c r="C43" s="17">
        <f t="shared" ref="C43:N43" si="2">C42/$O42</f>
        <v>0.31569200914667661</v>
      </c>
      <c r="D43" s="17">
        <f t="shared" si="2"/>
        <v>0</v>
      </c>
      <c r="E43" s="17">
        <f t="shared" si="2"/>
        <v>0</v>
      </c>
      <c r="F43" s="17">
        <f t="shared" si="2"/>
        <v>2.3663479608014109E-2</v>
      </c>
      <c r="G43" s="17">
        <f t="shared" si="2"/>
        <v>0.24226458510927162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0.41837992613603781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18.640999999999998</v>
      </c>
      <c r="U43" s="15">
        <f>P32</f>
        <v>0.13588616499369446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37.792999999999999</v>
      </c>
      <c r="U44" s="15">
        <f>P34</f>
        <v>0.27549733563685935</v>
      </c>
    </row>
    <row r="45" spans="1:48" ht="16" x14ac:dyDescent="0.2">
      <c r="A45" s="6" t="s">
        <v>57</v>
      </c>
      <c r="B45" s="6">
        <f>B23-B39</f>
        <v>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4387.3599999999997</v>
      </c>
      <c r="O45" s="25">
        <f>B45+N45</f>
        <v>4387.3599999999997</v>
      </c>
      <c r="P45" s="7"/>
      <c r="Q45" s="7"/>
      <c r="R45" s="7"/>
      <c r="S45" s="7" t="s">
        <v>58</v>
      </c>
      <c r="T45" s="20">
        <f>SUM(T39:T44)</f>
        <v>137.18099999999998</v>
      </c>
      <c r="U45" s="14">
        <f>SUM(U39:U44)</f>
        <v>1</v>
      </c>
    </row>
    <row r="46" spans="1:48" ht="16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8"/>
      <c r="E48" s="27"/>
      <c r="F48" s="27"/>
      <c r="G48" s="28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8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6"/>
      <c r="N57" s="30"/>
      <c r="O57" s="7"/>
      <c r="P57" s="6"/>
      <c r="Q57" s="14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6"/>
      <c r="N58" s="30"/>
      <c r="O58" s="7"/>
      <c r="P58" s="6"/>
      <c r="Q58" s="14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6"/>
      <c r="N59" s="30"/>
      <c r="O59" s="7"/>
      <c r="P59" s="6"/>
      <c r="Q59" s="14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6"/>
      <c r="N60" s="30"/>
      <c r="O60" s="7"/>
      <c r="P60" s="6"/>
      <c r="Q60" s="14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 enableFormatConditionsCalculation="0"/>
  <dimension ref="A1:AV70"/>
  <sheetViews>
    <sheetView workbookViewId="0">
      <selection activeCell="B44" sqref="B44"/>
    </sheetView>
  </sheetViews>
  <sheetFormatPr baseColWidth="10" defaultColWidth="8.83203125" defaultRowHeight="15" x14ac:dyDescent="0.2"/>
  <cols>
    <col min="1" max="1" width="21.5" style="2" customWidth="1"/>
    <col min="2" max="16" width="10.1640625" style="2" customWidth="1"/>
    <col min="17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59</v>
      </c>
      <c r="Q2" s="38"/>
      <c r="R2" s="8"/>
      <c r="AH2" s="38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70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38"/>
      <c r="R3" s="38"/>
      <c r="AH3" s="38"/>
      <c r="AI3" s="38"/>
    </row>
    <row r="4" spans="1:35" ht="15.75" x14ac:dyDescent="0.25">
      <c r="A4" s="5" t="s">
        <v>76</v>
      </c>
      <c r="B4" s="52">
        <f>69*0.95</f>
        <v>65.55</v>
      </c>
      <c r="Q4" s="38"/>
      <c r="R4" s="38"/>
      <c r="AH4" s="38"/>
      <c r="AI4" s="38"/>
    </row>
    <row r="5" spans="1:35" ht="15.75" x14ac:dyDescent="0.25">
      <c r="A5" s="38"/>
      <c r="Q5" s="38"/>
      <c r="R5" s="38"/>
      <c r="AH5" s="38"/>
      <c r="AI5" s="38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38"/>
      <c r="R6" s="38"/>
      <c r="AH6" s="38"/>
      <c r="AI6" s="38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38"/>
      <c r="R7" s="38"/>
      <c r="AH7" s="38"/>
      <c r="AI7" s="38"/>
    </row>
    <row r="8" spans="1:35" ht="15.75" x14ac:dyDescent="0.25">
      <c r="A8" s="8" t="s">
        <v>14</v>
      </c>
      <c r="B8" s="46">
        <v>198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38"/>
      <c r="R8" s="38"/>
      <c r="AH8" s="38"/>
      <c r="AI8" s="38"/>
    </row>
    <row r="9" spans="1:35" ht="15.75" x14ac:dyDescent="0.25">
      <c r="A9" s="8" t="s">
        <v>15</v>
      </c>
      <c r="B9" s="46">
        <v>88698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38"/>
      <c r="R9" s="38"/>
      <c r="S9" s="8"/>
      <c r="T9" s="47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38"/>
      <c r="AI9" s="38"/>
    </row>
    <row r="10" spans="1:35" ht="16" x14ac:dyDescent="0.2">
      <c r="A10" s="8" t="s">
        <v>16</v>
      </c>
      <c r="B10" s="56">
        <f>SUM(B4:B9)</f>
        <v>88961.55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38"/>
      <c r="R10" s="38"/>
      <c r="S10" s="8"/>
      <c r="T10" s="47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38"/>
      <c r="AI10" s="38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59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70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/>
      <c r="J18" s="46"/>
      <c r="K18" s="46"/>
      <c r="L18" s="46"/>
      <c r="M18" s="46"/>
      <c r="N18" s="46"/>
      <c r="O18" s="46">
        <v>0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51">
        <v>17177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204.55856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51">
        <f>SUM(B17:B22)</f>
        <v>17177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/>
      <c r="J23" s="46"/>
      <c r="K23" s="46"/>
      <c r="L23" s="46"/>
      <c r="M23" s="46"/>
      <c r="N23" s="46"/>
      <c r="O23" s="46">
        <v>0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58.867559999999997</v>
      </c>
      <c r="U24" s="14">
        <f>N43</f>
        <v>0.28777852171036011</v>
      </c>
    </row>
    <row r="25" spans="1:21" ht="16" x14ac:dyDescent="0.2">
      <c r="B25" s="5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70</v>
      </c>
      <c r="T25" s="13">
        <f>G42/1000</f>
        <v>70.22</v>
      </c>
      <c r="U25" s="15">
        <f>G43</f>
        <v>0.34327578371689749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5.3739999999999997</v>
      </c>
      <c r="U27" s="14">
        <f>F43</f>
        <v>2.6271205663551796E-2</v>
      </c>
    </row>
    <row r="28" spans="1:21" ht="16" x14ac:dyDescent="0.2">
      <c r="A28" s="4" t="s">
        <v>59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0</v>
      </c>
      <c r="U28" s="14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70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0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40">
        <f>K43</f>
        <v>0</v>
      </c>
    </row>
    <row r="31" spans="1:21" ht="15.75" x14ac:dyDescent="0.25">
      <c r="A31" s="8" t="s">
        <v>33</v>
      </c>
      <c r="B31" s="46">
        <v>0</v>
      </c>
      <c r="C31" s="46">
        <v>10871</v>
      </c>
      <c r="D31" s="46">
        <v>0</v>
      </c>
      <c r="E31" s="46">
        <v>0</v>
      </c>
      <c r="F31" s="46">
        <v>1116</v>
      </c>
      <c r="G31" s="46">
        <v>0</v>
      </c>
      <c r="H31" s="46">
        <v>0</v>
      </c>
      <c r="I31" s="46"/>
      <c r="J31" s="46"/>
      <c r="K31" s="46"/>
      <c r="L31" s="46"/>
      <c r="M31" s="38"/>
      <c r="N31" s="46">
        <v>8786</v>
      </c>
      <c r="O31" s="46">
        <v>20773</v>
      </c>
      <c r="P31" s="17">
        <f>O31/O$39</f>
        <v>9.7298335347403717E-2</v>
      </c>
      <c r="Q31" s="18" t="s">
        <v>34</v>
      </c>
      <c r="R31" s="3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55">
        <f>B39-B37-B36-B33</f>
        <v>4904</v>
      </c>
      <c r="C32" s="55">
        <f>C39-C36-C35-C34-C33-C31-C30</f>
        <v>22</v>
      </c>
      <c r="D32" s="46">
        <v>0</v>
      </c>
      <c r="E32" s="55">
        <v>0</v>
      </c>
      <c r="F32" s="46">
        <v>0</v>
      </c>
      <c r="G32" s="55">
        <f>G39-G36</f>
        <v>38220</v>
      </c>
      <c r="H32" s="46">
        <v>0</v>
      </c>
      <c r="I32" s="46"/>
      <c r="J32" s="46"/>
      <c r="K32" s="46"/>
      <c r="L32" s="46"/>
      <c r="M32" s="38"/>
      <c r="N32" s="46">
        <v>7130</v>
      </c>
      <c r="O32" s="46">
        <v>50276</v>
      </c>
      <c r="P32" s="17">
        <f>O32/O$39</f>
        <v>0.2354869834846228</v>
      </c>
      <c r="Q32" s="18" t="s">
        <v>37</v>
      </c>
      <c r="R32" s="3"/>
      <c r="S32" s="3" t="s">
        <v>6</v>
      </c>
      <c r="T32" s="13">
        <f>H42/1000</f>
        <v>0</v>
      </c>
      <c r="U32" s="14">
        <f>H43</f>
        <v>0</v>
      </c>
    </row>
    <row r="33" spans="1:48" ht="15.75" x14ac:dyDescent="0.25">
      <c r="A33" s="8" t="s">
        <v>38</v>
      </c>
      <c r="B33" s="55">
        <f>O33-N33-C33</f>
        <v>996</v>
      </c>
      <c r="C33" s="46">
        <v>28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38"/>
      <c r="N33" s="55">
        <f>N39-N38-N37-N36-N35-N32-N31</f>
        <v>3745</v>
      </c>
      <c r="O33" s="46">
        <v>4769</v>
      </c>
      <c r="P33" s="17">
        <f>O33/O$39</f>
        <v>2.2337445784035449E-2</v>
      </c>
      <c r="Q33" s="18" t="s">
        <v>39</v>
      </c>
      <c r="R33" s="3"/>
      <c r="S33" s="3" t="s">
        <v>35</v>
      </c>
      <c r="T33" s="13">
        <f>C42/1000</f>
        <v>70.096999999999994</v>
      </c>
      <c r="U33" s="15">
        <f>C43</f>
        <v>0.34267448890919061</v>
      </c>
    </row>
    <row r="34" spans="1:48" ht="15.75" x14ac:dyDescent="0.25">
      <c r="A34" s="8" t="s">
        <v>40</v>
      </c>
      <c r="B34" s="46">
        <v>0</v>
      </c>
      <c r="C34" s="46">
        <v>57866</v>
      </c>
      <c r="D34" s="46">
        <v>0</v>
      </c>
      <c r="E34" s="46">
        <v>0</v>
      </c>
      <c r="F34" s="46">
        <v>4259</v>
      </c>
      <c r="G34" s="46">
        <v>0</v>
      </c>
      <c r="H34" s="46">
        <v>0</v>
      </c>
      <c r="I34" s="46"/>
      <c r="J34" s="46"/>
      <c r="K34" s="46"/>
      <c r="L34" s="46"/>
      <c r="M34" s="38"/>
      <c r="N34" s="46">
        <v>0</v>
      </c>
      <c r="O34" s="46">
        <v>62124</v>
      </c>
      <c r="P34" s="17">
        <f>O34/O$39</f>
        <v>0.29098164854003317</v>
      </c>
      <c r="Q34" s="18" t="s">
        <v>41</v>
      </c>
      <c r="R34" s="3"/>
      <c r="S34" s="3"/>
      <c r="T34" s="13">
        <f>SUM(T24:T33)</f>
        <v>204.55856</v>
      </c>
      <c r="U34" s="14">
        <f>SUM(U24:U33)</f>
        <v>1</v>
      </c>
    </row>
    <row r="35" spans="1:48" ht="16" x14ac:dyDescent="0.2">
      <c r="A35" s="8" t="s">
        <v>42</v>
      </c>
      <c r="B35" s="46">
        <v>0</v>
      </c>
      <c r="C35" s="46">
        <v>642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38"/>
      <c r="N35" s="46">
        <v>6718</v>
      </c>
      <c r="O35" s="46">
        <v>7359</v>
      </c>
      <c r="P35" s="17">
        <f>O35/O$39</f>
        <v>3.4468706966809995E-2</v>
      </c>
      <c r="Q35" s="18" t="s">
        <v>43</v>
      </c>
      <c r="R35" s="18"/>
    </row>
    <row r="36" spans="1:48" ht="16" x14ac:dyDescent="0.2">
      <c r="A36" s="8" t="s">
        <v>44</v>
      </c>
      <c r="B36" s="51">
        <v>4100</v>
      </c>
      <c r="C36" s="55">
        <f>O36-N36-G36-B36</f>
        <v>668</v>
      </c>
      <c r="D36" s="46">
        <v>0</v>
      </c>
      <c r="E36" s="46">
        <v>0</v>
      </c>
      <c r="F36" s="46">
        <v>0</v>
      </c>
      <c r="G36" s="55">
        <v>32000</v>
      </c>
      <c r="H36" s="46">
        <v>0</v>
      </c>
      <c r="I36" s="46"/>
      <c r="J36" s="46"/>
      <c r="K36" s="46"/>
      <c r="L36" s="46"/>
      <c r="M36" s="38"/>
      <c r="N36" s="46">
        <v>21487</v>
      </c>
      <c r="O36" s="46">
        <v>58255</v>
      </c>
      <c r="P36" s="18"/>
      <c r="Q36" s="18"/>
      <c r="R36" s="3"/>
      <c r="S36" s="7"/>
      <c r="T36" s="7"/>
      <c r="U36" s="7"/>
    </row>
    <row r="37" spans="1:48" ht="15.75" x14ac:dyDescent="0.25">
      <c r="A37" s="8" t="s">
        <v>45</v>
      </c>
      <c r="B37" s="51">
        <v>3300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38"/>
      <c r="N37" s="55">
        <f>O37-B37</f>
        <v>2306</v>
      </c>
      <c r="O37" s="46">
        <v>5606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38"/>
      <c r="N38" s="46">
        <v>4335</v>
      </c>
      <c r="O38" s="46">
        <v>4335</v>
      </c>
      <c r="P38" s="18">
        <f>SUM(P31:P35)</f>
        <v>0.68057312012290516</v>
      </c>
      <c r="Q38" s="18"/>
      <c r="R38" s="3"/>
      <c r="S38" s="7" t="s">
        <v>47</v>
      </c>
      <c r="T38" s="19">
        <f>O45/1000</f>
        <v>8.237560000000002</v>
      </c>
      <c r="U38" s="7"/>
    </row>
    <row r="39" spans="1:48" ht="16" x14ac:dyDescent="0.2">
      <c r="A39" s="8" t="s">
        <v>16</v>
      </c>
      <c r="B39" s="51">
        <v>13300</v>
      </c>
      <c r="C39" s="46">
        <v>70097</v>
      </c>
      <c r="D39" s="46">
        <v>0</v>
      </c>
      <c r="E39" s="55">
        <v>0</v>
      </c>
      <c r="F39" s="46">
        <v>5374</v>
      </c>
      <c r="G39" s="55">
        <f>O39-N39-C39-B39-F39</f>
        <v>70220</v>
      </c>
      <c r="H39" s="46">
        <v>0</v>
      </c>
      <c r="I39" s="46"/>
      <c r="J39" s="46"/>
      <c r="K39" s="46"/>
      <c r="L39" s="46"/>
      <c r="M39" s="38"/>
      <c r="N39" s="46">
        <v>54507</v>
      </c>
      <c r="O39" s="46">
        <v>213498</v>
      </c>
      <c r="P39" s="3"/>
      <c r="Q39" s="3"/>
      <c r="R39" s="3"/>
      <c r="S39" s="7" t="s">
        <v>48</v>
      </c>
      <c r="T39" s="20">
        <f>O41/1000</f>
        <v>68.195999999999998</v>
      </c>
      <c r="U39" s="14">
        <f>P41</f>
        <v>0.31942219599246829</v>
      </c>
    </row>
    <row r="40" spans="1:48" x14ac:dyDescent="0.2">
      <c r="E40" s="10"/>
      <c r="S40" s="7" t="s">
        <v>49</v>
      </c>
      <c r="T40" s="20">
        <f>O35/1000</f>
        <v>7.359</v>
      </c>
      <c r="U40" s="15">
        <f>P35</f>
        <v>3.4468706966809995E-2</v>
      </c>
    </row>
    <row r="41" spans="1:48" ht="16" x14ac:dyDescent="0.2">
      <c r="A41" s="21" t="s">
        <v>50</v>
      </c>
      <c r="B41" s="22">
        <f>B38+B37+B36</f>
        <v>7400</v>
      </c>
      <c r="C41" s="22">
        <f t="shared" ref="C41:O41" si="0">C38+C37+C36</f>
        <v>668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32000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28128</v>
      </c>
      <c r="O41" s="22">
        <f t="shared" si="0"/>
        <v>68196</v>
      </c>
      <c r="P41" s="17">
        <f>O41/O$39</f>
        <v>0.31942219599246829</v>
      </c>
      <c r="Q41" s="17" t="s">
        <v>51</v>
      </c>
      <c r="R41" s="7"/>
      <c r="S41" s="7" t="s">
        <v>52</v>
      </c>
      <c r="T41" s="20">
        <f>O33/1000</f>
        <v>4.7690000000000001</v>
      </c>
      <c r="U41" s="14">
        <f>P33</f>
        <v>2.2337445784035449E-2</v>
      </c>
    </row>
    <row r="42" spans="1:48" ht="16" x14ac:dyDescent="0.2">
      <c r="A42" s="23" t="s">
        <v>53</v>
      </c>
      <c r="B42" s="22"/>
      <c r="C42" s="24">
        <f>C39+C23+C10</f>
        <v>70097</v>
      </c>
      <c r="D42" s="24">
        <f t="shared" ref="D42:M42" si="1">D39+D23+D10</f>
        <v>0</v>
      </c>
      <c r="E42" s="24">
        <f t="shared" si="1"/>
        <v>0</v>
      </c>
      <c r="F42" s="24">
        <f t="shared" si="1"/>
        <v>5374</v>
      </c>
      <c r="G42" s="24">
        <f t="shared" si="1"/>
        <v>70220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58867.56</v>
      </c>
      <c r="O42" s="25">
        <f>SUM(C42:N42)</f>
        <v>204558.56</v>
      </c>
      <c r="P42" s="7"/>
      <c r="Q42" s="7"/>
      <c r="R42" s="7"/>
      <c r="S42" s="7" t="s">
        <v>34</v>
      </c>
      <c r="T42" s="20">
        <f>O31/1000</f>
        <v>20.773</v>
      </c>
      <c r="U42" s="14">
        <f>P31</f>
        <v>9.7298335347403717E-2</v>
      </c>
    </row>
    <row r="43" spans="1:48" ht="16" x14ac:dyDescent="0.2">
      <c r="A43" s="23" t="s">
        <v>54</v>
      </c>
      <c r="B43" s="22"/>
      <c r="C43" s="17">
        <f t="shared" ref="C43:N43" si="2">C42/$O42</f>
        <v>0.34267448890919061</v>
      </c>
      <c r="D43" s="17">
        <f t="shared" si="2"/>
        <v>0</v>
      </c>
      <c r="E43" s="17">
        <f t="shared" si="2"/>
        <v>0</v>
      </c>
      <c r="F43" s="17">
        <f t="shared" si="2"/>
        <v>2.6271205663551796E-2</v>
      </c>
      <c r="G43" s="17">
        <f t="shared" si="2"/>
        <v>0.34327578371689749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0.28777852171036011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50.276000000000003</v>
      </c>
      <c r="U43" s="15">
        <f>P32</f>
        <v>0.2354869834846228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62.124000000000002</v>
      </c>
      <c r="U44" s="15">
        <f>P34</f>
        <v>0.29098164854003317</v>
      </c>
    </row>
    <row r="45" spans="1:48" ht="16" x14ac:dyDescent="0.2">
      <c r="A45" s="6" t="s">
        <v>57</v>
      </c>
      <c r="B45" s="6">
        <f>B23-B39</f>
        <v>3877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4360.5600000000004</v>
      </c>
      <c r="O45" s="25">
        <f>B45+N45</f>
        <v>8237.5600000000013</v>
      </c>
      <c r="P45" s="7"/>
      <c r="Q45" s="7"/>
      <c r="R45" s="7"/>
      <c r="S45" s="7" t="s">
        <v>58</v>
      </c>
      <c r="T45" s="20">
        <f>SUM(T39:T44)</f>
        <v>213.49699999999999</v>
      </c>
      <c r="U45" s="14">
        <f>SUM(U39:U44)</f>
        <v>0.9999953161153734</v>
      </c>
    </row>
    <row r="46" spans="1:48" ht="16" x14ac:dyDescent="0.2">
      <c r="A46" s="6"/>
      <c r="B46" s="5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8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8"/>
      <c r="E48" s="27"/>
      <c r="F48" s="28"/>
      <c r="G48" s="28"/>
      <c r="H48" s="28"/>
      <c r="I48" s="27"/>
      <c r="J48" s="27"/>
      <c r="K48" s="27"/>
      <c r="L48" s="27"/>
      <c r="M48" s="27"/>
      <c r="N48" s="27"/>
      <c r="O48" s="27"/>
      <c r="P48" s="28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8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8"/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6"/>
      <c r="N57" s="30"/>
      <c r="O57" s="7"/>
      <c r="P57" s="6"/>
      <c r="Q57" s="14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6"/>
      <c r="N58" s="30"/>
      <c r="O58" s="7"/>
      <c r="P58" s="6"/>
      <c r="Q58" s="14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6"/>
      <c r="N59" s="30"/>
      <c r="O59" s="7"/>
      <c r="P59" s="6"/>
      <c r="Q59" s="14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6"/>
      <c r="N60" s="30"/>
      <c r="O60" s="7"/>
      <c r="P60" s="6"/>
      <c r="Q60" s="14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30"/>
      <c r="O61" s="7"/>
      <c r="P61" s="6"/>
      <c r="Q61" s="14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 enableFormatConditionsCalculation="0"/>
  <dimension ref="A1:AV70"/>
  <sheetViews>
    <sheetView workbookViewId="0">
      <selection activeCell="B44" sqref="B44"/>
    </sheetView>
  </sheetViews>
  <sheetFormatPr baseColWidth="10" defaultColWidth="8.83203125" defaultRowHeight="15" x14ac:dyDescent="0.2"/>
  <cols>
    <col min="1" max="1" width="21.5" style="2" customWidth="1"/>
    <col min="2" max="16" width="10.1640625" style="2" customWidth="1"/>
    <col min="17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60</v>
      </c>
      <c r="Q2" s="38"/>
      <c r="R2" s="8"/>
      <c r="AH2" s="38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70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38"/>
      <c r="R3" s="38"/>
      <c r="AH3" s="38"/>
      <c r="AI3" s="38"/>
    </row>
    <row r="4" spans="1:35" ht="15.75" x14ac:dyDescent="0.25">
      <c r="A4" s="5" t="s">
        <v>76</v>
      </c>
      <c r="B4" s="52">
        <f>379*0.95</f>
        <v>360.05</v>
      </c>
      <c r="Q4" s="38"/>
      <c r="R4" s="38"/>
      <c r="AH4" s="38"/>
      <c r="AI4" s="38"/>
    </row>
    <row r="5" spans="1:35" ht="15.75" x14ac:dyDescent="0.25">
      <c r="A5" s="38"/>
      <c r="Q5" s="38"/>
      <c r="R5" s="38"/>
      <c r="AH5" s="38"/>
      <c r="AI5" s="38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38"/>
      <c r="R6" s="38"/>
      <c r="AH6" s="38"/>
      <c r="AI6" s="38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38"/>
      <c r="R7" s="38"/>
      <c r="AH7" s="38"/>
      <c r="AI7" s="38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38"/>
      <c r="R8" s="38"/>
      <c r="AH8" s="38"/>
      <c r="AI8" s="38"/>
    </row>
    <row r="9" spans="1:35" ht="15.75" x14ac:dyDescent="0.25">
      <c r="A9" s="8" t="s">
        <v>15</v>
      </c>
      <c r="B9" s="46">
        <v>67133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</row>
    <row r="10" spans="1:35" ht="16" x14ac:dyDescent="0.2">
      <c r="A10" s="8" t="s">
        <v>16</v>
      </c>
      <c r="B10" s="56">
        <f>SUM(B4:B9)</f>
        <v>67493.05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60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70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52">
        <v>16900</v>
      </c>
      <c r="C18" s="56">
        <f>O18/2</f>
        <v>10350</v>
      </c>
      <c r="D18" s="46">
        <v>0</v>
      </c>
      <c r="E18" s="46">
        <v>0</v>
      </c>
      <c r="F18" s="46">
        <v>0</v>
      </c>
      <c r="G18" s="56">
        <f>O18/2</f>
        <v>10350</v>
      </c>
      <c r="H18" s="46">
        <v>0</v>
      </c>
      <c r="I18" s="46"/>
      <c r="J18" s="46"/>
      <c r="K18" s="46"/>
      <c r="L18" s="46"/>
      <c r="M18" s="46"/>
      <c r="N18" s="46"/>
      <c r="O18" s="52">
        <v>20700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749.91307999999992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52">
        <f>SUM(B17:B22)</f>
        <v>16900</v>
      </c>
      <c r="C23" s="56">
        <f>SUM(C17:C22)</f>
        <v>10350</v>
      </c>
      <c r="D23" s="46">
        <v>0</v>
      </c>
      <c r="E23" s="46">
        <v>0</v>
      </c>
      <c r="F23" s="46">
        <v>0</v>
      </c>
      <c r="G23" s="56">
        <f>SUM(G17:G22)</f>
        <v>10350</v>
      </c>
      <c r="H23" s="46">
        <v>0</v>
      </c>
      <c r="I23" s="46"/>
      <c r="J23" s="46"/>
      <c r="K23" s="46"/>
      <c r="L23" s="46"/>
      <c r="M23" s="46"/>
      <c r="N23" s="46"/>
      <c r="O23" s="52">
        <f>SUM(O17:O22)</f>
        <v>20700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212.86908</v>
      </c>
      <c r="U24" s="14">
        <f>N43</f>
        <v>0.28385833728890286</v>
      </c>
    </row>
    <row r="25" spans="1:21" ht="16" x14ac:dyDescent="0.2">
      <c r="B25" s="5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70</v>
      </c>
      <c r="T25" s="13">
        <f>G42/1000</f>
        <v>38.423999999999999</v>
      </c>
      <c r="U25" s="15">
        <f>G43</f>
        <v>5.1237938135443646E-2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9.6489999999999991</v>
      </c>
      <c r="U27" s="14">
        <f>F43</f>
        <v>1.2866824512515505E-2</v>
      </c>
    </row>
    <row r="28" spans="1:21" ht="16" x14ac:dyDescent="0.2">
      <c r="A28" s="4" t="s">
        <v>60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2</v>
      </c>
      <c r="U28" s="14">
        <f>E43</f>
        <v>2.6669757513764132E-3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70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287.25400000000002</v>
      </c>
      <c r="U29" s="40">
        <f>D43</f>
        <v>0.38304972624294009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40">
        <f>K43</f>
        <v>0</v>
      </c>
    </row>
    <row r="31" spans="1:21" ht="15.75" x14ac:dyDescent="0.25">
      <c r="A31" s="8" t="s">
        <v>33</v>
      </c>
      <c r="B31" s="46">
        <v>0</v>
      </c>
      <c r="C31" s="46">
        <v>16413</v>
      </c>
      <c r="D31" s="46">
        <v>0</v>
      </c>
      <c r="E31" s="46">
        <v>0</v>
      </c>
      <c r="F31" s="46">
        <v>1660</v>
      </c>
      <c r="G31" s="46">
        <v>0</v>
      </c>
      <c r="H31" s="46">
        <v>0</v>
      </c>
      <c r="I31" s="46"/>
      <c r="J31" s="46"/>
      <c r="K31" s="46"/>
      <c r="L31" s="46"/>
      <c r="M31" s="38"/>
      <c r="N31" s="46">
        <v>22216</v>
      </c>
      <c r="O31" s="46">
        <v>40289</v>
      </c>
      <c r="P31" s="17">
        <f>O31/O$39</f>
        <v>5.527036370420773E-2</v>
      </c>
      <c r="Q31" s="18" t="s">
        <v>34</v>
      </c>
      <c r="R31" s="3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46">
        <v>0</v>
      </c>
      <c r="C32" s="56">
        <v>59463</v>
      </c>
      <c r="D32" s="61">
        <v>287254</v>
      </c>
      <c r="E32" s="56">
        <v>2000</v>
      </c>
      <c r="F32" s="56">
        <v>0</v>
      </c>
      <c r="G32" s="46">
        <v>165</v>
      </c>
      <c r="H32" s="46">
        <v>0</v>
      </c>
      <c r="I32" s="46"/>
      <c r="J32" s="46"/>
      <c r="K32" s="46"/>
      <c r="L32" s="46"/>
      <c r="M32" s="38"/>
      <c r="N32" s="46">
        <v>59012</v>
      </c>
      <c r="O32" s="56">
        <f>SUM(C32:N32)</f>
        <v>407894</v>
      </c>
      <c r="P32" s="17">
        <f>O32/O$39</f>
        <v>0.55956836190434378</v>
      </c>
      <c r="Q32" s="18" t="s">
        <v>37</v>
      </c>
      <c r="R32" s="3"/>
      <c r="S32" s="3" t="s">
        <v>6</v>
      </c>
      <c r="T32" s="13">
        <f>H42/1000</f>
        <v>0</v>
      </c>
      <c r="U32" s="14">
        <f>H43</f>
        <v>0</v>
      </c>
    </row>
    <row r="33" spans="1:48" ht="15.75" x14ac:dyDescent="0.25">
      <c r="A33" s="8" t="s">
        <v>38</v>
      </c>
      <c r="B33" s="56">
        <f>(B39-B37-B36)/2</f>
        <v>2300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38"/>
      <c r="N33" s="46">
        <v>14637</v>
      </c>
      <c r="O33" s="56">
        <f>SUM(B33:N33)</f>
        <v>16937</v>
      </c>
      <c r="P33" s="17">
        <f>O33/O$39</f>
        <v>2.3234981013630678E-2</v>
      </c>
      <c r="Q33" s="18" t="s">
        <v>39</v>
      </c>
      <c r="R33" s="3"/>
      <c r="S33" s="3" t="s">
        <v>35</v>
      </c>
      <c r="T33" s="13">
        <f>C42/1000</f>
        <v>199.71700000000001</v>
      </c>
      <c r="U33" s="15">
        <f>C43</f>
        <v>0.26632019806882151</v>
      </c>
    </row>
    <row r="34" spans="1:48" ht="15.75" x14ac:dyDescent="0.25">
      <c r="A34" s="8" t="s">
        <v>40</v>
      </c>
      <c r="B34" s="46">
        <v>0</v>
      </c>
      <c r="C34" s="46">
        <v>110115</v>
      </c>
      <c r="D34" s="46">
        <v>0</v>
      </c>
      <c r="E34" s="46">
        <v>0</v>
      </c>
      <c r="F34" s="46">
        <v>7989</v>
      </c>
      <c r="G34" s="46">
        <v>0</v>
      </c>
      <c r="H34" s="46">
        <v>0</v>
      </c>
      <c r="I34" s="46"/>
      <c r="J34" s="46"/>
      <c r="K34" s="46"/>
      <c r="L34" s="46"/>
      <c r="M34" s="38"/>
      <c r="N34" s="46">
        <v>46</v>
      </c>
      <c r="O34" s="46">
        <v>118150</v>
      </c>
      <c r="P34" s="17">
        <f>O34/O$39</f>
        <v>0.16208378147018151</v>
      </c>
      <c r="Q34" s="18" t="s">
        <v>41</v>
      </c>
      <c r="R34" s="3"/>
      <c r="S34" s="3"/>
      <c r="T34" s="13">
        <f>SUM(T24:T33)</f>
        <v>749.91307999999992</v>
      </c>
      <c r="U34" s="14">
        <f>SUM(U24:U33)</f>
        <v>1</v>
      </c>
    </row>
    <row r="35" spans="1:48" ht="16" x14ac:dyDescent="0.2">
      <c r="A35" s="8" t="s">
        <v>42</v>
      </c>
      <c r="B35" s="56">
        <f>(B39-B37-B36)/2</f>
        <v>2300</v>
      </c>
      <c r="C35" s="46">
        <v>2410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38"/>
      <c r="N35" s="46">
        <v>24358</v>
      </c>
      <c r="O35" s="56">
        <f>SUM(B35:N35)</f>
        <v>29068</v>
      </c>
      <c r="P35" s="17">
        <f>O35/O$39</f>
        <v>3.9876862968897475E-2</v>
      </c>
      <c r="Q35" s="18" t="s">
        <v>43</v>
      </c>
      <c r="R35" s="18"/>
    </row>
    <row r="36" spans="1:48" ht="16" x14ac:dyDescent="0.2">
      <c r="A36" s="8" t="s">
        <v>44</v>
      </c>
      <c r="B36" s="52">
        <v>2900</v>
      </c>
      <c r="C36" s="46">
        <v>966</v>
      </c>
      <c r="D36" s="46">
        <v>0</v>
      </c>
      <c r="E36" s="46">
        <v>0</v>
      </c>
      <c r="F36" s="46">
        <v>0</v>
      </c>
      <c r="G36" s="46">
        <v>27908</v>
      </c>
      <c r="H36" s="46">
        <v>0</v>
      </c>
      <c r="I36" s="46"/>
      <c r="J36" s="46"/>
      <c r="K36" s="46"/>
      <c r="L36" s="46"/>
      <c r="M36" s="38"/>
      <c r="N36" s="46">
        <v>56214</v>
      </c>
      <c r="O36" s="56">
        <f>SUM(B36:N36)</f>
        <v>87988</v>
      </c>
      <c r="P36" s="18"/>
      <c r="Q36" s="18"/>
      <c r="R36" s="3"/>
      <c r="S36" s="7"/>
      <c r="T36" s="7"/>
      <c r="U36" s="7"/>
    </row>
    <row r="37" spans="1:48" ht="15.75" x14ac:dyDescent="0.25">
      <c r="A37" s="8" t="s">
        <v>45</v>
      </c>
      <c r="B37" s="52">
        <v>8000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38"/>
      <c r="N37" s="46">
        <v>3231</v>
      </c>
      <c r="O37" s="56">
        <f>SUM(B37:N37)</f>
        <v>11231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38"/>
      <c r="N38" s="46">
        <v>17387</v>
      </c>
      <c r="O38" s="46">
        <v>17387</v>
      </c>
      <c r="P38" s="18">
        <f>SUM(P31:P35)</f>
        <v>0.84003435106126112</v>
      </c>
      <c r="Q38" s="18"/>
      <c r="R38" s="3"/>
      <c r="S38" s="7" t="s">
        <v>47</v>
      </c>
      <c r="T38" s="19">
        <f>O45/1000</f>
        <v>17.168080000000003</v>
      </c>
      <c r="U38" s="7"/>
    </row>
    <row r="39" spans="1:48" ht="16" x14ac:dyDescent="0.2">
      <c r="A39" s="8" t="s">
        <v>16</v>
      </c>
      <c r="B39" s="52">
        <v>15500</v>
      </c>
      <c r="C39" s="56">
        <f>SUM(C31:C38)</f>
        <v>189367</v>
      </c>
      <c r="D39" s="61">
        <f>SUM(D31:D38)</f>
        <v>287254</v>
      </c>
      <c r="E39" s="56">
        <f>SUM(E31:E38)</f>
        <v>2000</v>
      </c>
      <c r="F39" s="56">
        <f>SUM(F31:F38)</f>
        <v>9649</v>
      </c>
      <c r="G39" s="46">
        <v>28074</v>
      </c>
      <c r="H39" s="46">
        <v>0</v>
      </c>
      <c r="I39" s="46"/>
      <c r="J39" s="46"/>
      <c r="K39" s="46"/>
      <c r="L39" s="46"/>
      <c r="M39" s="38"/>
      <c r="N39" s="46">
        <v>197101</v>
      </c>
      <c r="O39" s="56">
        <f>SUM(O31:O38)</f>
        <v>728944</v>
      </c>
      <c r="P39" s="3"/>
      <c r="Q39" s="3"/>
      <c r="R39" s="3"/>
      <c r="S39" s="7" t="s">
        <v>48</v>
      </c>
      <c r="T39" s="20">
        <f>O41/1000</f>
        <v>116.60599999999999</v>
      </c>
      <c r="U39" s="14">
        <f>P41</f>
        <v>0.15996564893873877</v>
      </c>
    </row>
    <row r="40" spans="1:48" x14ac:dyDescent="0.2">
      <c r="O40" s="10"/>
      <c r="S40" s="7" t="s">
        <v>49</v>
      </c>
      <c r="T40" s="20">
        <f>O35/1000</f>
        <v>29.068000000000001</v>
      </c>
      <c r="U40" s="15">
        <f>P35</f>
        <v>3.9876862968897475E-2</v>
      </c>
    </row>
    <row r="41" spans="1:48" ht="16" x14ac:dyDescent="0.2">
      <c r="A41" s="21" t="s">
        <v>50</v>
      </c>
      <c r="B41" s="22">
        <f>B38+B37+B36</f>
        <v>10900</v>
      </c>
      <c r="C41" s="22">
        <f t="shared" ref="C41:O41" si="0">C38+C37+C36</f>
        <v>966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27908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76832</v>
      </c>
      <c r="O41" s="22">
        <f t="shared" si="0"/>
        <v>116606</v>
      </c>
      <c r="P41" s="17">
        <f>O41/O$39</f>
        <v>0.15996564893873877</v>
      </c>
      <c r="Q41" s="17" t="s">
        <v>51</v>
      </c>
      <c r="R41" s="7"/>
      <c r="S41" s="7" t="s">
        <v>52</v>
      </c>
      <c r="T41" s="20">
        <f>O33/1000</f>
        <v>16.937000000000001</v>
      </c>
      <c r="U41" s="14">
        <f>P33</f>
        <v>2.3234981013630678E-2</v>
      </c>
    </row>
    <row r="42" spans="1:48" ht="16" x14ac:dyDescent="0.2">
      <c r="A42" s="23" t="s">
        <v>53</v>
      </c>
      <c r="B42" s="22"/>
      <c r="C42" s="24">
        <f>C39+C23+C10</f>
        <v>199717</v>
      </c>
      <c r="D42" s="24">
        <f t="shared" ref="D42:M42" si="1">D39+D23+D10</f>
        <v>287254</v>
      </c>
      <c r="E42" s="24">
        <f t="shared" si="1"/>
        <v>2000</v>
      </c>
      <c r="F42" s="24">
        <f t="shared" si="1"/>
        <v>9649</v>
      </c>
      <c r="G42" s="24">
        <f t="shared" si="1"/>
        <v>38424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212869.08</v>
      </c>
      <c r="O42" s="25">
        <f>SUM(C42:N42)</f>
        <v>749913.08</v>
      </c>
      <c r="P42" s="7"/>
      <c r="Q42" s="7"/>
      <c r="R42" s="7"/>
      <c r="S42" s="7" t="s">
        <v>34</v>
      </c>
      <c r="T42" s="20">
        <f>O31/1000</f>
        <v>40.289000000000001</v>
      </c>
      <c r="U42" s="14">
        <f>P31</f>
        <v>5.527036370420773E-2</v>
      </c>
    </row>
    <row r="43" spans="1:48" ht="16" x14ac:dyDescent="0.2">
      <c r="A43" s="23" t="s">
        <v>54</v>
      </c>
      <c r="B43" s="22"/>
      <c r="C43" s="17">
        <f t="shared" ref="C43:N43" si="2">C42/$O42</f>
        <v>0.26632019806882151</v>
      </c>
      <c r="D43" s="17">
        <f t="shared" si="2"/>
        <v>0.38304972624294009</v>
      </c>
      <c r="E43" s="17">
        <f t="shared" si="2"/>
        <v>2.6669757513764132E-3</v>
      </c>
      <c r="F43" s="17">
        <f t="shared" si="2"/>
        <v>1.2866824512515505E-2</v>
      </c>
      <c r="G43" s="17">
        <f t="shared" si="2"/>
        <v>5.1237938135443646E-2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0.28385833728890286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407.89400000000001</v>
      </c>
      <c r="U43" s="15">
        <f>P32</f>
        <v>0.55956836190434378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118.15</v>
      </c>
      <c r="U44" s="15">
        <f>P34</f>
        <v>0.16208378147018151</v>
      </c>
    </row>
    <row r="45" spans="1:48" ht="16" x14ac:dyDescent="0.2">
      <c r="A45" s="6" t="s">
        <v>57</v>
      </c>
      <c r="B45" s="6">
        <f>B23-B39</f>
        <v>1400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15768.08</v>
      </c>
      <c r="O45" s="25">
        <f>B45+N45</f>
        <v>17168.080000000002</v>
      </c>
      <c r="P45" s="7"/>
      <c r="Q45" s="7"/>
      <c r="R45" s="7"/>
      <c r="S45" s="7" t="s">
        <v>58</v>
      </c>
      <c r="T45" s="20">
        <f>SUM(T39:T44)</f>
        <v>728.94400000000007</v>
      </c>
      <c r="U45" s="14">
        <f>SUM(U39:U44)</f>
        <v>0.99999999999999989</v>
      </c>
    </row>
    <row r="46" spans="1:48" ht="16" x14ac:dyDescent="0.2">
      <c r="A46" s="6"/>
      <c r="B46" s="5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8"/>
      <c r="E48" s="28"/>
      <c r="F48" s="28"/>
      <c r="G48" s="28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ht="16" x14ac:dyDescent="0.2">
      <c r="A50" s="4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ht="16" x14ac:dyDescent="0.2">
      <c r="A51" s="4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ht="16" x14ac:dyDescent="0.2">
      <c r="A52" s="4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ht="16" x14ac:dyDescent="0.2">
      <c r="A53" s="4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27"/>
      <c r="Q54" s="27"/>
      <c r="R54" s="4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E55" s="9"/>
      <c r="F55" s="9"/>
      <c r="G55" s="9"/>
      <c r="H55" s="9"/>
      <c r="I55" s="9"/>
      <c r="J55" s="9"/>
      <c r="K55" s="9"/>
      <c r="L55" s="9"/>
      <c r="M55" s="27"/>
      <c r="N55" s="9"/>
      <c r="O55" s="9"/>
      <c r="P55" s="27"/>
      <c r="Q55" s="27"/>
      <c r="R55" s="4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E56" s="9"/>
      <c r="F56" s="16"/>
      <c r="G56" s="9"/>
      <c r="H56" s="9"/>
      <c r="I56" s="9"/>
      <c r="J56" s="9"/>
      <c r="K56" s="9"/>
      <c r="L56" s="9"/>
      <c r="M56" s="27"/>
      <c r="N56" s="9"/>
      <c r="O56" s="9"/>
      <c r="P56" s="27"/>
      <c r="Q56" s="27"/>
      <c r="R56" s="4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5"/>
      <c r="B57" s="7"/>
      <c r="C57" s="29"/>
      <c r="D57" s="29"/>
      <c r="E57" s="9"/>
      <c r="F57" s="16"/>
      <c r="G57" s="9"/>
      <c r="H57" s="9"/>
      <c r="I57" s="9"/>
      <c r="J57" s="9"/>
      <c r="K57" s="9"/>
      <c r="L57" s="9"/>
      <c r="M57" s="27"/>
      <c r="N57" s="9"/>
      <c r="O57" s="9"/>
      <c r="P57" s="27"/>
      <c r="Q57" s="27"/>
      <c r="R57" s="4"/>
      <c r="S57" s="7"/>
      <c r="T57" s="6"/>
      <c r="U57" s="31"/>
    </row>
    <row r="58" spans="1:48" ht="16" x14ac:dyDescent="0.2">
      <c r="A58" s="5"/>
      <c r="C58" s="6"/>
      <c r="D58" s="6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7"/>
      <c r="T58" s="6"/>
      <c r="U58" s="31"/>
    </row>
    <row r="59" spans="1:48" ht="16" x14ac:dyDescent="0.2">
      <c r="A59" s="5"/>
      <c r="B59" s="60"/>
      <c r="C59" s="6"/>
      <c r="D59" s="6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7"/>
      <c r="T59" s="6"/>
      <c r="U59" s="31"/>
    </row>
    <row r="60" spans="1:48" ht="16" x14ac:dyDescent="0.2">
      <c r="A60" s="5"/>
      <c r="B60" s="60"/>
      <c r="C60" s="6"/>
      <c r="D60" s="32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7"/>
      <c r="T60" s="6"/>
      <c r="U60" s="31"/>
    </row>
    <row r="61" spans="1:48" ht="16" x14ac:dyDescent="0.2">
      <c r="A61" s="5"/>
      <c r="B61" s="60"/>
      <c r="C61" s="6"/>
      <c r="E61" s="29"/>
      <c r="F61" s="29"/>
      <c r="G61" s="29"/>
      <c r="H61" s="29"/>
      <c r="I61" s="29"/>
      <c r="J61" s="29"/>
      <c r="K61" s="29"/>
      <c r="L61" s="6"/>
      <c r="M61" s="30"/>
      <c r="N61" s="7"/>
      <c r="O61" s="6"/>
      <c r="P61" s="14"/>
      <c r="Q61" s="7"/>
      <c r="R61" s="7"/>
      <c r="S61" s="7"/>
      <c r="T61" s="32"/>
      <c r="U61" s="33"/>
    </row>
    <row r="62" spans="1:48" ht="16" x14ac:dyDescent="0.2">
      <c r="A62" s="5"/>
      <c r="B62" s="60"/>
      <c r="C62" s="6"/>
      <c r="E62" s="7"/>
      <c r="F62" s="7"/>
      <c r="G62" s="7"/>
      <c r="H62" s="7"/>
      <c r="I62" s="7"/>
      <c r="J62" s="7"/>
      <c r="K62" s="7"/>
      <c r="L62" s="6"/>
      <c r="M62" s="30"/>
      <c r="N62" s="7"/>
      <c r="O62" s="6"/>
      <c r="P62" s="14"/>
      <c r="Q62" s="7"/>
      <c r="R62" s="7"/>
      <c r="S62" s="7"/>
      <c r="T62" s="7"/>
      <c r="U62" s="6"/>
    </row>
    <row r="63" spans="1:48" ht="16" x14ac:dyDescent="0.2">
      <c r="A63" s="5"/>
      <c r="B63" s="60"/>
      <c r="C63" s="6"/>
      <c r="D63" s="10"/>
      <c r="E63" s="6"/>
      <c r="F63" s="6"/>
      <c r="G63" s="6"/>
      <c r="H63" s="6"/>
      <c r="I63" s="6"/>
      <c r="J63" s="7"/>
      <c r="K63" s="7"/>
      <c r="L63" s="7"/>
      <c r="M63" s="7"/>
      <c r="N63" s="7"/>
      <c r="O63" s="7"/>
      <c r="P63" s="6"/>
      <c r="Q63" s="30"/>
      <c r="R63" s="7"/>
      <c r="S63" s="7"/>
      <c r="T63" s="34"/>
      <c r="U63" s="35"/>
    </row>
    <row r="64" spans="1:48" ht="16" x14ac:dyDescent="0.2">
      <c r="A64" s="5"/>
      <c r="B64" s="60"/>
      <c r="C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C65" s="10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 enableFormatConditionsCalculation="0"/>
  <dimension ref="A1:AV70"/>
  <sheetViews>
    <sheetView workbookViewId="0">
      <selection activeCell="B44" sqref="B44"/>
    </sheetView>
  </sheetViews>
  <sheetFormatPr baseColWidth="10" defaultColWidth="8.83203125" defaultRowHeight="15" x14ac:dyDescent="0.2"/>
  <cols>
    <col min="1" max="1" width="21.5" style="2" customWidth="1"/>
    <col min="2" max="16" width="10.1640625" style="2" customWidth="1"/>
    <col min="17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61</v>
      </c>
      <c r="Q2" s="38"/>
      <c r="R2" s="8"/>
      <c r="AH2" s="38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70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38"/>
      <c r="R3" s="38"/>
      <c r="AH3" s="38"/>
      <c r="AI3" s="38"/>
    </row>
    <row r="4" spans="1:35" ht="15.75" x14ac:dyDescent="0.25">
      <c r="A4" s="5" t="s">
        <v>76</v>
      </c>
      <c r="B4" s="52">
        <f>128*0.95</f>
        <v>121.6</v>
      </c>
      <c r="Q4" s="38"/>
      <c r="R4" s="38"/>
      <c r="AH4" s="38"/>
      <c r="AI4" s="38"/>
    </row>
    <row r="5" spans="1:35" ht="15.75" x14ac:dyDescent="0.25">
      <c r="A5" s="38"/>
      <c r="Q5" s="38"/>
      <c r="R5" s="38"/>
      <c r="AH5" s="38"/>
      <c r="AI5" s="38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38"/>
      <c r="R6" s="38"/>
      <c r="AH6" s="38"/>
      <c r="AI6" s="38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38"/>
      <c r="R7" s="38"/>
      <c r="AH7" s="38"/>
      <c r="AI7" s="38"/>
    </row>
    <row r="8" spans="1:35" ht="15.75" x14ac:dyDescent="0.25">
      <c r="A8" s="8" t="s">
        <v>14</v>
      </c>
      <c r="B8" s="46">
        <v>4847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38"/>
      <c r="R8" s="38"/>
      <c r="AH8" s="38"/>
      <c r="AI8" s="38"/>
    </row>
    <row r="9" spans="1:35" ht="15.75" x14ac:dyDescent="0.25">
      <c r="A9" s="8" t="s">
        <v>15</v>
      </c>
      <c r="B9" s="53">
        <f>21600</f>
        <v>21600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38"/>
      <c r="R9" s="38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38"/>
      <c r="AI9" s="38"/>
    </row>
    <row r="10" spans="1:35" ht="16" x14ac:dyDescent="0.2">
      <c r="A10" s="8" t="s">
        <v>16</v>
      </c>
      <c r="B10" s="55">
        <f>SUM(B4:B9)</f>
        <v>26568.6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38"/>
      <c r="R10" s="38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38"/>
      <c r="AI10" s="38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61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70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f>27256+6536</f>
        <v>33792</v>
      </c>
      <c r="C18" s="46">
        <v>517</v>
      </c>
      <c r="D18" s="46">
        <v>0</v>
      </c>
      <c r="E18" s="46">
        <v>0</v>
      </c>
      <c r="F18" s="46">
        <v>0</v>
      </c>
      <c r="G18" s="46">
        <v>37348</v>
      </c>
      <c r="H18" s="46">
        <v>0</v>
      </c>
      <c r="I18" s="46"/>
      <c r="J18" s="46"/>
      <c r="K18" s="46"/>
      <c r="L18" s="46"/>
      <c r="M18" s="46"/>
      <c r="N18" s="46"/>
      <c r="O18" s="46">
        <v>37866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597.44576000000006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33792</v>
      </c>
      <c r="C23" s="46">
        <v>517</v>
      </c>
      <c r="D23" s="46">
        <v>0</v>
      </c>
      <c r="E23" s="46">
        <v>0</v>
      </c>
      <c r="F23" s="46">
        <v>0</v>
      </c>
      <c r="G23" s="46">
        <v>37348</v>
      </c>
      <c r="H23" s="46">
        <v>0</v>
      </c>
      <c r="I23" s="46"/>
      <c r="J23" s="46"/>
      <c r="K23" s="46"/>
      <c r="L23" s="46"/>
      <c r="M23" s="46"/>
      <c r="N23" s="46"/>
      <c r="O23" s="46">
        <v>37866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212.05476000000002</v>
      </c>
      <c r="U24" s="14">
        <f>N43</f>
        <v>0.35493558444535617</v>
      </c>
    </row>
    <row r="25" spans="1:21" ht="16" x14ac:dyDescent="0.2">
      <c r="B25" s="50"/>
      <c r="C25" s="5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70</v>
      </c>
      <c r="T25" s="13">
        <f>G42/1000</f>
        <v>187.13399999999999</v>
      </c>
      <c r="U25" s="15">
        <f>G43</f>
        <v>0.31322341295049111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13.331</v>
      </c>
      <c r="U27" s="14">
        <f>F43</f>
        <v>2.2313322635346848E-2</v>
      </c>
    </row>
    <row r="28" spans="1:21" ht="15.75" x14ac:dyDescent="0.25">
      <c r="A28" s="4" t="s">
        <v>61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4.4000000000000004</v>
      </c>
      <c r="U28" s="14">
        <f>E43</f>
        <v>7.3646852895901376E-3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70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0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40">
        <f>K43</f>
        <v>0</v>
      </c>
    </row>
    <row r="31" spans="1:21" ht="15.75" x14ac:dyDescent="0.25">
      <c r="A31" s="8" t="s">
        <v>33</v>
      </c>
      <c r="B31" s="46">
        <v>0</v>
      </c>
      <c r="C31" s="46">
        <v>15397</v>
      </c>
      <c r="D31" s="46">
        <v>0</v>
      </c>
      <c r="E31" s="46">
        <v>0</v>
      </c>
      <c r="F31" s="46">
        <v>1586</v>
      </c>
      <c r="G31" s="46">
        <v>0</v>
      </c>
      <c r="H31" s="46">
        <v>0</v>
      </c>
      <c r="I31" s="46"/>
      <c r="J31" s="46"/>
      <c r="K31" s="46"/>
      <c r="L31" s="46"/>
      <c r="M31" s="38"/>
      <c r="N31" s="46">
        <v>10504</v>
      </c>
      <c r="O31" s="46">
        <v>27487</v>
      </c>
      <c r="P31" s="17">
        <f>O31/O$39</f>
        <v>4.7835424004900665E-2</v>
      </c>
      <c r="Q31" s="18" t="s">
        <v>34</v>
      </c>
      <c r="R31" s="3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46">
        <v>3543</v>
      </c>
      <c r="C32" s="46">
        <v>12137</v>
      </c>
      <c r="D32" s="46">
        <v>0</v>
      </c>
      <c r="E32" s="61">
        <v>4400</v>
      </c>
      <c r="F32" s="46">
        <v>0</v>
      </c>
      <c r="G32" s="56">
        <f>O32-N32-E32-C32-B32</f>
        <v>92471</v>
      </c>
      <c r="H32" s="46">
        <v>0</v>
      </c>
      <c r="I32" s="46"/>
      <c r="J32" s="46"/>
      <c r="K32" s="46"/>
      <c r="L32" s="46"/>
      <c r="M32" s="38"/>
      <c r="N32" s="46">
        <v>85863</v>
      </c>
      <c r="O32" s="46">
        <v>198414</v>
      </c>
      <c r="P32" s="17">
        <f>O32/O$39</f>
        <v>0.34529842538321243</v>
      </c>
      <c r="Q32" s="18" t="s">
        <v>37</v>
      </c>
      <c r="R32" s="3"/>
      <c r="S32" s="3" t="s">
        <v>6</v>
      </c>
      <c r="T32" s="13">
        <f>H42/1000</f>
        <v>0</v>
      </c>
      <c r="U32" s="14">
        <f>H43</f>
        <v>0</v>
      </c>
    </row>
    <row r="33" spans="1:48" ht="15.75" x14ac:dyDescent="0.25">
      <c r="A33" s="8" t="s">
        <v>38</v>
      </c>
      <c r="B33" s="46">
        <v>6434</v>
      </c>
      <c r="C33" s="46">
        <v>246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38"/>
      <c r="N33" s="46">
        <v>14149</v>
      </c>
      <c r="O33" s="46">
        <v>20829</v>
      </c>
      <c r="P33" s="17">
        <f>O33/O$39</f>
        <v>3.6248555557102484E-2</v>
      </c>
      <c r="Q33" s="18" t="s">
        <v>39</v>
      </c>
      <c r="R33" s="3"/>
      <c r="S33" s="3" t="s">
        <v>35</v>
      </c>
      <c r="T33" s="13">
        <f>C42/1000</f>
        <v>180.52600000000001</v>
      </c>
      <c r="U33" s="15">
        <f>C43</f>
        <v>0.3021629946792157</v>
      </c>
    </row>
    <row r="34" spans="1:48" ht="15.75" x14ac:dyDescent="0.25">
      <c r="A34" s="8" t="s">
        <v>40</v>
      </c>
      <c r="B34" s="46">
        <v>0</v>
      </c>
      <c r="C34" s="46">
        <v>142463</v>
      </c>
      <c r="D34" s="46">
        <v>0</v>
      </c>
      <c r="E34" s="46">
        <v>0</v>
      </c>
      <c r="F34" s="46">
        <v>11745</v>
      </c>
      <c r="G34" s="46">
        <v>0</v>
      </c>
      <c r="H34" s="46">
        <v>0</v>
      </c>
      <c r="I34" s="46"/>
      <c r="J34" s="46"/>
      <c r="K34" s="46"/>
      <c r="L34" s="46"/>
      <c r="M34" s="38"/>
      <c r="N34" s="46">
        <v>431</v>
      </c>
      <c r="O34" s="46">
        <v>154640</v>
      </c>
      <c r="P34" s="17">
        <f>O34/O$39</f>
        <v>0.26911885502666127</v>
      </c>
      <c r="Q34" s="18" t="s">
        <v>41</v>
      </c>
      <c r="R34" s="3"/>
      <c r="S34" s="3"/>
      <c r="T34" s="13">
        <f>SUM(T24:T33)</f>
        <v>597.44576000000006</v>
      </c>
      <c r="U34" s="14">
        <f>SUM(U24:U33)</f>
        <v>0.99999999999999989</v>
      </c>
    </row>
    <row r="35" spans="1:48" ht="16" x14ac:dyDescent="0.2">
      <c r="A35" s="8" t="s">
        <v>42</v>
      </c>
      <c r="B35" s="46">
        <v>4671</v>
      </c>
      <c r="C35" s="46">
        <v>7357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38"/>
      <c r="N35" s="46">
        <v>32180</v>
      </c>
      <c r="O35" s="46">
        <v>44208</v>
      </c>
      <c r="P35" s="17">
        <f>O35/O$39</f>
        <v>7.6934857365614603E-2</v>
      </c>
      <c r="Q35" s="18" t="s">
        <v>43</v>
      </c>
      <c r="R35" s="18"/>
    </row>
    <row r="36" spans="1:48" ht="16" x14ac:dyDescent="0.2">
      <c r="A36" s="8" t="s">
        <v>44</v>
      </c>
      <c r="B36" s="46">
        <v>1579</v>
      </c>
      <c r="C36" s="46">
        <v>2330</v>
      </c>
      <c r="D36" s="46">
        <v>0</v>
      </c>
      <c r="E36" s="46">
        <v>0</v>
      </c>
      <c r="F36" s="46">
        <v>0</v>
      </c>
      <c r="G36" s="46">
        <v>57315</v>
      </c>
      <c r="H36" s="46">
        <v>0</v>
      </c>
      <c r="I36" s="46"/>
      <c r="J36" s="46"/>
      <c r="K36" s="46"/>
      <c r="L36" s="46"/>
      <c r="M36" s="38"/>
      <c r="N36" s="46">
        <v>44177</v>
      </c>
      <c r="O36" s="46">
        <v>105401</v>
      </c>
      <c r="P36" s="18"/>
      <c r="Q36" s="18"/>
      <c r="R36" s="3"/>
      <c r="S36" s="7"/>
      <c r="T36" s="7"/>
      <c r="U36" s="7"/>
    </row>
    <row r="37" spans="1:48" ht="15.75" x14ac:dyDescent="0.25">
      <c r="A37" s="8" t="s">
        <v>45</v>
      </c>
      <c r="B37" s="46">
        <v>14516</v>
      </c>
      <c r="C37" s="46">
        <v>79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38"/>
      <c r="N37" s="46">
        <v>6797</v>
      </c>
      <c r="O37" s="46">
        <v>21392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38"/>
      <c r="N38" s="46">
        <v>2246</v>
      </c>
      <c r="O38" s="46">
        <v>2246</v>
      </c>
      <c r="P38" s="18">
        <f>SUM(P31:P35)</f>
        <v>0.7754361173374914</v>
      </c>
      <c r="Q38" s="18"/>
      <c r="R38" s="3"/>
      <c r="S38" s="7" t="s">
        <v>47</v>
      </c>
      <c r="T38" s="19">
        <f>O45/1000</f>
        <v>18.756760000000003</v>
      </c>
      <c r="U38" s="7"/>
    </row>
    <row r="39" spans="1:48" ht="16" x14ac:dyDescent="0.2">
      <c r="A39" s="8" t="s">
        <v>16</v>
      </c>
      <c r="B39" s="46">
        <v>30743</v>
      </c>
      <c r="C39" s="46">
        <v>180009</v>
      </c>
      <c r="D39" s="46">
        <v>0</v>
      </c>
      <c r="E39" s="61">
        <f>SUM(E31:E38)</f>
        <v>4400</v>
      </c>
      <c r="F39" s="46">
        <v>13331</v>
      </c>
      <c r="G39" s="56">
        <f>SUM(G31:G38)</f>
        <v>149786</v>
      </c>
      <c r="H39" s="46">
        <v>0</v>
      </c>
      <c r="I39" s="46"/>
      <c r="J39" s="46"/>
      <c r="K39" s="46"/>
      <c r="L39" s="46"/>
      <c r="M39" s="38"/>
      <c r="N39" s="46">
        <v>196347</v>
      </c>
      <c r="O39" s="46">
        <v>574616</v>
      </c>
      <c r="P39" s="3"/>
      <c r="Q39" s="3"/>
      <c r="R39" s="3"/>
      <c r="S39" s="7" t="s">
        <v>48</v>
      </c>
      <c r="T39" s="20">
        <f>O41/1000</f>
        <v>129.03899999999999</v>
      </c>
      <c r="U39" s="14">
        <f>P41</f>
        <v>0.22456562295515614</v>
      </c>
    </row>
    <row r="40" spans="1:48" ht="16" x14ac:dyDescent="0.2">
      <c r="E40" s="46"/>
      <c r="F40" s="46"/>
      <c r="G40" s="46"/>
      <c r="S40" s="7" t="s">
        <v>49</v>
      </c>
      <c r="T40" s="20">
        <f>O35/1000</f>
        <v>44.207999999999998</v>
      </c>
      <c r="U40" s="15">
        <f>P35</f>
        <v>7.6934857365614603E-2</v>
      </c>
    </row>
    <row r="41" spans="1:48" ht="16" x14ac:dyDescent="0.2">
      <c r="A41" s="21" t="s">
        <v>50</v>
      </c>
      <c r="B41" s="22">
        <f>B38+B37+B36</f>
        <v>16095</v>
      </c>
      <c r="C41" s="22">
        <f t="shared" ref="C41:O41" si="0">C38+C37+C36</f>
        <v>2409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57315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53220</v>
      </c>
      <c r="O41" s="22">
        <f t="shared" si="0"/>
        <v>129039</v>
      </c>
      <c r="P41" s="17">
        <f>O41/O$39</f>
        <v>0.22456562295515614</v>
      </c>
      <c r="Q41" s="17" t="s">
        <v>51</v>
      </c>
      <c r="R41" s="7"/>
      <c r="S41" s="7" t="s">
        <v>52</v>
      </c>
      <c r="T41" s="20">
        <f>O33/1000</f>
        <v>20.829000000000001</v>
      </c>
      <c r="U41" s="14">
        <f>P33</f>
        <v>3.6248555557102484E-2</v>
      </c>
    </row>
    <row r="42" spans="1:48" ht="16" x14ac:dyDescent="0.2">
      <c r="A42" s="23" t="s">
        <v>53</v>
      </c>
      <c r="B42" s="22"/>
      <c r="C42" s="24">
        <f>C39+C23+C10</f>
        <v>180526</v>
      </c>
      <c r="D42" s="24">
        <f t="shared" ref="D42:M42" si="1">D39+D23+D10</f>
        <v>0</v>
      </c>
      <c r="E42" s="24">
        <f t="shared" si="1"/>
        <v>4400</v>
      </c>
      <c r="F42" s="24">
        <f t="shared" si="1"/>
        <v>13331</v>
      </c>
      <c r="G42" s="24">
        <f t="shared" si="1"/>
        <v>187134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212054.76</v>
      </c>
      <c r="O42" s="25">
        <f>SUM(C42:N42)</f>
        <v>597445.76</v>
      </c>
      <c r="P42" s="7"/>
      <c r="Q42" s="7"/>
      <c r="R42" s="7"/>
      <c r="S42" s="7" t="s">
        <v>34</v>
      </c>
      <c r="T42" s="20">
        <f>O31/1000</f>
        <v>27.486999999999998</v>
      </c>
      <c r="U42" s="14">
        <f>P31</f>
        <v>4.7835424004900665E-2</v>
      </c>
    </row>
    <row r="43" spans="1:48" ht="16" x14ac:dyDescent="0.2">
      <c r="A43" s="23" t="s">
        <v>54</v>
      </c>
      <c r="B43" s="22"/>
      <c r="C43" s="17">
        <f t="shared" ref="C43:N43" si="2">C42/$O42</f>
        <v>0.3021629946792157</v>
      </c>
      <c r="D43" s="17">
        <f t="shared" si="2"/>
        <v>0</v>
      </c>
      <c r="E43" s="17">
        <f t="shared" si="2"/>
        <v>7.3646852895901376E-3</v>
      </c>
      <c r="F43" s="17">
        <f t="shared" si="2"/>
        <v>2.2313322635346848E-2</v>
      </c>
      <c r="G43" s="17">
        <f t="shared" si="2"/>
        <v>0.31322341295049111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0.35493558444535617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198.41399999999999</v>
      </c>
      <c r="U43" s="15">
        <f>P32</f>
        <v>0.34529842538321243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154.63999999999999</v>
      </c>
      <c r="U44" s="15">
        <f>P34</f>
        <v>0.26911885502666127</v>
      </c>
    </row>
    <row r="45" spans="1:48" ht="16" x14ac:dyDescent="0.2">
      <c r="A45" s="6" t="s">
        <v>57</v>
      </c>
      <c r="B45" s="6">
        <f>B23-B39</f>
        <v>3049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15707.76</v>
      </c>
      <c r="O45" s="25">
        <f>B45+N45</f>
        <v>18756.760000000002</v>
      </c>
      <c r="P45" s="7"/>
      <c r="Q45" s="7"/>
      <c r="R45" s="7"/>
      <c r="S45" s="7" t="s">
        <v>58</v>
      </c>
      <c r="T45" s="20">
        <f>SUM(T39:T44)</f>
        <v>574.61699999999996</v>
      </c>
      <c r="U45" s="14">
        <f>SUM(U39:U44)</f>
        <v>1.0000017402926475</v>
      </c>
    </row>
    <row r="46" spans="1:48" ht="16" x14ac:dyDescent="0.2">
      <c r="A46" s="6"/>
      <c r="B46" s="5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8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ht="16" x14ac:dyDescent="0.2">
      <c r="A50" s="4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ht="16" x14ac:dyDescent="0.2">
      <c r="A51" s="4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ht="16" x14ac:dyDescent="0.2">
      <c r="A52" s="4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ht="16" x14ac:dyDescent="0.2">
      <c r="A53" s="4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27"/>
      <c r="Q54" s="27"/>
      <c r="R54" s="4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E55" s="9"/>
      <c r="F55" s="9"/>
      <c r="G55" s="9"/>
      <c r="H55" s="9"/>
      <c r="I55" s="9"/>
      <c r="J55" s="9"/>
      <c r="K55" s="9"/>
      <c r="L55" s="9"/>
      <c r="M55" s="27"/>
      <c r="N55" s="9"/>
      <c r="O55" s="9"/>
      <c r="P55" s="27"/>
      <c r="Q55" s="27"/>
      <c r="R55" s="4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E56" s="9"/>
      <c r="F56" s="16"/>
      <c r="G56" s="9"/>
      <c r="H56" s="9"/>
      <c r="I56" s="9"/>
      <c r="J56" s="9"/>
      <c r="K56" s="9"/>
      <c r="L56" s="9"/>
      <c r="M56" s="27"/>
      <c r="N56" s="9"/>
      <c r="O56" s="9"/>
      <c r="P56" s="27"/>
      <c r="Q56" s="27"/>
      <c r="R56" s="4"/>
      <c r="S56" s="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5"/>
      <c r="B57" s="7"/>
      <c r="C57" s="29"/>
      <c r="D57" s="29"/>
      <c r="E57" s="9"/>
      <c r="F57" s="16"/>
      <c r="G57" s="9"/>
      <c r="H57" s="9"/>
      <c r="I57" s="9"/>
      <c r="J57" s="9"/>
      <c r="K57" s="9"/>
      <c r="L57" s="9"/>
      <c r="M57" s="27"/>
      <c r="N57" s="9"/>
      <c r="O57" s="9"/>
      <c r="P57" s="27"/>
      <c r="Q57" s="27"/>
      <c r="R57" s="4"/>
      <c r="S57" s="7"/>
      <c r="T57" s="6"/>
      <c r="U57" s="31"/>
    </row>
    <row r="58" spans="1:48" ht="16" x14ac:dyDescent="0.2">
      <c r="A58" s="5"/>
      <c r="C58" s="6"/>
      <c r="D58" s="6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7"/>
      <c r="T58" s="6"/>
      <c r="U58" s="31"/>
    </row>
    <row r="59" spans="1:48" ht="16" x14ac:dyDescent="0.2">
      <c r="A59" s="5"/>
      <c r="B59" s="60"/>
      <c r="C59" s="6"/>
      <c r="D59" s="6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7"/>
      <c r="T59" s="6"/>
      <c r="U59" s="31"/>
    </row>
    <row r="60" spans="1:48" ht="16" x14ac:dyDescent="0.2">
      <c r="A60" s="5"/>
      <c r="B60" s="60"/>
      <c r="C60" s="6"/>
      <c r="D60" s="32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7"/>
      <c r="T60" s="6"/>
      <c r="U60" s="31"/>
    </row>
    <row r="61" spans="1:48" ht="16" x14ac:dyDescent="0.2">
      <c r="A61" s="5"/>
      <c r="B61" s="60"/>
      <c r="C61" s="6"/>
      <c r="E61" s="29"/>
      <c r="F61" s="29"/>
      <c r="G61" s="29"/>
      <c r="H61" s="29"/>
      <c r="I61" s="29"/>
      <c r="J61" s="29"/>
      <c r="K61" s="29"/>
      <c r="L61" s="6"/>
      <c r="M61" s="30"/>
      <c r="N61" s="7"/>
      <c r="O61" s="6"/>
      <c r="P61" s="14"/>
      <c r="Q61" s="7"/>
      <c r="R61" s="7"/>
      <c r="S61" s="7"/>
      <c r="T61" s="32"/>
      <c r="U61" s="33"/>
    </row>
    <row r="62" spans="1:48" ht="16" x14ac:dyDescent="0.2">
      <c r="A62" s="5"/>
      <c r="B62" s="60"/>
      <c r="C62" s="6"/>
      <c r="E62" s="7"/>
      <c r="F62" s="7"/>
      <c r="G62" s="7"/>
      <c r="H62" s="7"/>
      <c r="I62" s="7"/>
      <c r="J62" s="7"/>
      <c r="K62" s="7"/>
      <c r="L62" s="6"/>
      <c r="M62" s="30"/>
      <c r="N62" s="7"/>
      <c r="O62" s="6"/>
      <c r="P62" s="14"/>
      <c r="Q62" s="7"/>
      <c r="R62" s="7"/>
      <c r="S62" s="7"/>
      <c r="T62" s="7"/>
      <c r="U62" s="6"/>
    </row>
    <row r="63" spans="1:48" ht="16" x14ac:dyDescent="0.2">
      <c r="A63" s="5"/>
      <c r="B63" s="60"/>
      <c r="C63" s="6"/>
      <c r="D63" s="10"/>
      <c r="E63" s="6"/>
      <c r="F63" s="6"/>
      <c r="G63" s="6"/>
      <c r="H63" s="6"/>
      <c r="I63" s="6"/>
      <c r="J63" s="7"/>
      <c r="K63" s="7"/>
      <c r="L63" s="7"/>
      <c r="M63" s="7"/>
      <c r="N63" s="7"/>
      <c r="O63" s="7"/>
      <c r="P63" s="6"/>
      <c r="Q63" s="30"/>
      <c r="R63" s="7"/>
      <c r="S63" s="7"/>
      <c r="T63" s="34"/>
      <c r="U63" s="35"/>
    </row>
    <row r="64" spans="1:48" ht="16" x14ac:dyDescent="0.2">
      <c r="A64" s="5"/>
      <c r="B64" s="60"/>
      <c r="C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C65" s="10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 enableFormatConditionsCalculation="0"/>
  <dimension ref="A1:AV70"/>
  <sheetViews>
    <sheetView tabSelected="1" workbookViewId="0">
      <selection activeCell="M32" sqref="M32"/>
    </sheetView>
  </sheetViews>
  <sheetFormatPr baseColWidth="10" defaultColWidth="8.83203125" defaultRowHeight="15" x14ac:dyDescent="0.2"/>
  <cols>
    <col min="1" max="1" width="21.5" style="2" customWidth="1"/>
    <col min="2" max="16" width="10.1640625" style="2" customWidth="1"/>
    <col min="17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62</v>
      </c>
      <c r="Q2" s="38"/>
      <c r="R2" s="8"/>
      <c r="AH2" s="38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70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38"/>
      <c r="R3" s="38"/>
      <c r="AH3" s="38"/>
      <c r="AI3" s="38"/>
    </row>
    <row r="4" spans="1:35" ht="15.75" x14ac:dyDescent="0.25">
      <c r="A4" s="5" t="s">
        <v>76</v>
      </c>
      <c r="B4" s="52">
        <f>628*0.95</f>
        <v>596.6</v>
      </c>
      <c r="Q4" s="38"/>
      <c r="R4" s="38"/>
      <c r="AH4" s="38"/>
      <c r="AI4" s="38"/>
    </row>
    <row r="5" spans="1:35" ht="15.75" x14ac:dyDescent="0.25">
      <c r="A5" s="63" t="s">
        <v>74</v>
      </c>
      <c r="B5" s="61">
        <v>197590</v>
      </c>
      <c r="G5" s="56">
        <f>384233*197590/717063</f>
        <v>105877.16626014729</v>
      </c>
      <c r="I5" s="56">
        <f>993809*197590/717063</f>
        <v>273848.63019009487</v>
      </c>
      <c r="O5" s="62">
        <f>SUM(G5:N5)</f>
        <v>379725.79645024217</v>
      </c>
      <c r="Q5" s="38"/>
      <c r="R5" s="38"/>
      <c r="AH5" s="38"/>
      <c r="AI5" s="38"/>
    </row>
    <row r="6" spans="1:35" ht="16" x14ac:dyDescent="0.2">
      <c r="A6" s="8" t="s">
        <v>20</v>
      </c>
      <c r="B6" s="46">
        <v>0</v>
      </c>
      <c r="C6" s="55">
        <v>0</v>
      </c>
      <c r="D6" s="46">
        <v>0</v>
      </c>
      <c r="E6" s="46">
        <v>0</v>
      </c>
      <c r="F6" s="56">
        <v>0</v>
      </c>
      <c r="G6" s="56">
        <v>0</v>
      </c>
      <c r="H6" s="46">
        <v>0</v>
      </c>
      <c r="J6" s="46"/>
      <c r="K6" s="46"/>
      <c r="L6" s="46"/>
      <c r="M6" s="46"/>
      <c r="N6" s="46"/>
      <c r="O6" s="55">
        <v>0</v>
      </c>
      <c r="Q6" s="38"/>
      <c r="R6" s="38"/>
      <c r="AH6" s="38"/>
      <c r="AI6" s="38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7"/>
      <c r="Q7" s="38"/>
      <c r="R7" s="38"/>
      <c r="AH7" s="38"/>
      <c r="AI7" s="38"/>
    </row>
    <row r="8" spans="1:35" ht="15.75" x14ac:dyDescent="0.25">
      <c r="A8" s="8" t="s">
        <v>14</v>
      </c>
      <c r="B8" s="46">
        <v>19669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7"/>
      <c r="Q8" s="38"/>
      <c r="R8" s="38"/>
      <c r="AH8" s="38"/>
      <c r="AI8" s="38"/>
    </row>
    <row r="9" spans="1:35" ht="15.75" x14ac:dyDescent="0.25">
      <c r="A9" s="8" t="s">
        <v>15</v>
      </c>
      <c r="B9" s="46">
        <v>147072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7"/>
      <c r="Q9" s="38"/>
      <c r="R9" s="38"/>
      <c r="S9" s="8"/>
      <c r="T9" s="47"/>
      <c r="U9" s="46"/>
      <c r="V9" s="46"/>
      <c r="W9" s="46"/>
      <c r="X9" s="46"/>
      <c r="Y9" s="47"/>
      <c r="Z9" s="46"/>
      <c r="AA9" s="46"/>
      <c r="AB9" s="46"/>
      <c r="AC9" s="46"/>
      <c r="AD9" s="46"/>
      <c r="AE9" s="46"/>
      <c r="AF9" s="46"/>
      <c r="AG9" s="47"/>
      <c r="AH9" s="38"/>
      <c r="AI9" s="38"/>
    </row>
    <row r="10" spans="1:35" ht="16" x14ac:dyDescent="0.2">
      <c r="A10" s="8" t="s">
        <v>16</v>
      </c>
      <c r="B10" s="56">
        <f>SUM(B4:B9)</f>
        <v>364927.6</v>
      </c>
      <c r="C10" s="55">
        <v>0</v>
      </c>
      <c r="D10" s="46">
        <v>0</v>
      </c>
      <c r="E10" s="46">
        <v>0</v>
      </c>
      <c r="F10" s="46">
        <v>0</v>
      </c>
      <c r="G10" s="56">
        <f>SUM(G5:G9)</f>
        <v>105877.16626014729</v>
      </c>
      <c r="H10" s="46">
        <v>0</v>
      </c>
      <c r="I10" s="56">
        <f>SUM(I5:I9)</f>
        <v>273848.63019009487</v>
      </c>
      <c r="J10" s="46"/>
      <c r="K10" s="46"/>
      <c r="L10" s="46"/>
      <c r="M10" s="46"/>
      <c r="N10" s="46"/>
      <c r="O10" s="55">
        <f>SUM(O5:O9)</f>
        <v>379725.79645024217</v>
      </c>
      <c r="P10" s="47"/>
      <c r="Q10" s="38"/>
      <c r="R10" s="38"/>
      <c r="S10" s="8"/>
      <c r="T10" s="47"/>
      <c r="U10" s="46"/>
      <c r="V10" s="46"/>
      <c r="W10" s="46"/>
      <c r="X10" s="46"/>
      <c r="Y10" s="47"/>
      <c r="Z10" s="46"/>
      <c r="AA10" s="46"/>
      <c r="AB10" s="46"/>
      <c r="AC10" s="46"/>
      <c r="AD10" s="46"/>
      <c r="AE10" s="46"/>
      <c r="AF10" s="46"/>
      <c r="AG10" s="47"/>
      <c r="AH10" s="38"/>
      <c r="AI10" s="38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6" x14ac:dyDescent="0.2">
      <c r="A14" s="4" t="s">
        <v>62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70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57">
        <f>1700+0.85*C18</f>
        <v>1776.5</v>
      </c>
      <c r="C18" s="46">
        <v>90</v>
      </c>
      <c r="D18" s="46">
        <v>0</v>
      </c>
      <c r="E18" s="46">
        <v>0</v>
      </c>
      <c r="F18" s="46">
        <v>0</v>
      </c>
      <c r="G18" s="52">
        <v>1900</v>
      </c>
      <c r="H18" s="46">
        <v>0</v>
      </c>
      <c r="I18" s="46"/>
      <c r="J18" s="46"/>
      <c r="K18" s="46"/>
      <c r="L18" s="46"/>
      <c r="M18" s="46"/>
      <c r="N18" s="46"/>
      <c r="O18" s="51">
        <f>SUM(C18:N18)</f>
        <v>1990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61">
        <v>63193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5992.51656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56">
        <f>SUM(B17:B22)</f>
        <v>64969.5</v>
      </c>
      <c r="C23" s="46">
        <v>90</v>
      </c>
      <c r="D23" s="46">
        <v>0</v>
      </c>
      <c r="E23" s="46">
        <v>0</v>
      </c>
      <c r="F23" s="46">
        <v>0</v>
      </c>
      <c r="G23" s="52">
        <f>SUM(G17:G22)</f>
        <v>1900</v>
      </c>
      <c r="H23" s="46">
        <v>0</v>
      </c>
      <c r="I23" s="46"/>
      <c r="J23" s="46"/>
      <c r="K23" s="46"/>
      <c r="L23" s="46"/>
      <c r="M23" s="46"/>
      <c r="N23" s="46"/>
      <c r="O23" s="51">
        <f>SUM(O17:O22)</f>
        <v>1990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133.16756000000001</v>
      </c>
      <c r="U24" s="14">
        <f>N43</f>
        <v>2.2222309887116942E-2</v>
      </c>
    </row>
    <row r="25" spans="1:21" ht="16" x14ac:dyDescent="0.2">
      <c r="B25" s="5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70</v>
      </c>
      <c r="T25" s="13">
        <f>G42/1000</f>
        <v>713.81</v>
      </c>
      <c r="U25" s="15">
        <f>G43</f>
        <v>0.11911690069655811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53.137</v>
      </c>
      <c r="U27" s="14">
        <f>F43</f>
        <v>8.8672262259046654E-3</v>
      </c>
    </row>
    <row r="28" spans="1:21" ht="16" x14ac:dyDescent="0.2">
      <c r="A28" s="4" t="s">
        <v>62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3</v>
      </c>
      <c r="U28" s="14">
        <f>E43</f>
        <v>5.0062439877512834E-4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70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77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0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>
        <f>N39-N38-N37-N35-N34-N32-N31-N36-N33</f>
        <v>0</v>
      </c>
      <c r="O30" s="10"/>
      <c r="P30" s="3"/>
      <c r="Q30" s="3"/>
      <c r="R30" s="3"/>
      <c r="S30" s="2" t="s">
        <v>77</v>
      </c>
      <c r="T30" s="2">
        <f>L42/1000</f>
        <v>112.89400000000001</v>
      </c>
      <c r="U30" s="40">
        <f>L43</f>
        <v>1.8839163625106445E-2</v>
      </c>
    </row>
    <row r="31" spans="1:21" ht="15.75" x14ac:dyDescent="0.25">
      <c r="A31" s="8" t="s">
        <v>33</v>
      </c>
      <c r="B31" s="46">
        <v>0</v>
      </c>
      <c r="C31" s="46">
        <v>7430</v>
      </c>
      <c r="D31" s="46">
        <v>0</v>
      </c>
      <c r="E31" s="46">
        <v>0</v>
      </c>
      <c r="F31" s="46">
        <v>769</v>
      </c>
      <c r="G31" s="46">
        <v>0</v>
      </c>
      <c r="H31" s="46">
        <v>0</v>
      </c>
      <c r="I31" s="46"/>
      <c r="J31" s="46"/>
      <c r="K31" s="46"/>
      <c r="L31" s="46"/>
      <c r="M31" s="38"/>
      <c r="N31" s="46">
        <v>7723</v>
      </c>
      <c r="O31" s="46">
        <v>15922</v>
      </c>
      <c r="P31" s="17">
        <f>O31/O$39</f>
        <v>2.7288537724652227E-3</v>
      </c>
      <c r="Q31" s="18" t="s">
        <v>34</v>
      </c>
      <c r="R31" s="3"/>
      <c r="S31" s="3" t="s">
        <v>5</v>
      </c>
      <c r="T31" s="13">
        <f>I42/1000</f>
        <v>4520.2969999999996</v>
      </c>
      <c r="U31" s="14">
        <f>I43</f>
        <v>0.75432365597000539</v>
      </c>
    </row>
    <row r="32" spans="1:21" ht="16" x14ac:dyDescent="0.2">
      <c r="A32" s="8" t="s">
        <v>36</v>
      </c>
      <c r="B32" s="56">
        <f>(B39-B36)*6993/(14418+8681+6993)</f>
        <v>8689.8923966502716</v>
      </c>
      <c r="C32" s="61">
        <v>44849</v>
      </c>
      <c r="D32" s="46">
        <v>0</v>
      </c>
      <c r="E32" s="56">
        <v>3000</v>
      </c>
      <c r="F32" s="61">
        <v>23787</v>
      </c>
      <c r="G32" s="64">
        <f>681910-G5</f>
        <v>576032.83373985277</v>
      </c>
      <c r="H32" s="46">
        <v>0</v>
      </c>
      <c r="I32" s="64">
        <f>4520297-I5</f>
        <v>4246448.3698099051</v>
      </c>
      <c r="J32" s="46"/>
      <c r="K32" s="46"/>
      <c r="L32" s="61">
        <v>112894</v>
      </c>
      <c r="M32" s="61">
        <v>79342</v>
      </c>
      <c r="N32" s="56">
        <f>761065-717063+197590</f>
        <v>241592</v>
      </c>
      <c r="O32" s="56">
        <f>SUM(B32:N32)</f>
        <v>5336635.0959464079</v>
      </c>
      <c r="P32" s="17">
        <f>O32/O$39</f>
        <v>0.91463992047755693</v>
      </c>
      <c r="Q32" s="18" t="s">
        <v>37</v>
      </c>
      <c r="R32" s="3"/>
      <c r="S32" s="3" t="s">
        <v>9</v>
      </c>
      <c r="T32" s="13">
        <f>M42/1000</f>
        <v>79.341999999999999</v>
      </c>
      <c r="U32" s="14">
        <f>M43</f>
        <v>1.324018034920541E-2</v>
      </c>
    </row>
    <row r="33" spans="1:48" ht="15.75" x14ac:dyDescent="0.25">
      <c r="A33" s="8" t="s">
        <v>38</v>
      </c>
      <c r="B33" s="56">
        <f>(B39-B36)*8681/(14418+8681+6993)</f>
        <v>10787.495480526386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38"/>
      <c r="N33" s="55">
        <f>N39-N38-N37-N36-N35-N34-N32-N31</f>
        <v>7209</v>
      </c>
      <c r="O33" s="55">
        <f>SUM(B33:N33)</f>
        <v>17996.495480526384</v>
      </c>
      <c r="P33" s="17">
        <f>O33/O$39</f>
        <v>3.0843992327086898E-3</v>
      </c>
      <c r="Q33" s="18" t="s">
        <v>39</v>
      </c>
      <c r="R33" s="3"/>
      <c r="S33" s="3" t="s">
        <v>35</v>
      </c>
      <c r="T33" s="13">
        <f>C42/1000</f>
        <v>376.86900000000003</v>
      </c>
      <c r="U33" s="15">
        <f>C43</f>
        <v>6.288993884732795E-2</v>
      </c>
    </row>
    <row r="34" spans="1:48" ht="15.75" x14ac:dyDescent="0.25">
      <c r="A34" s="8" t="s">
        <v>40</v>
      </c>
      <c r="B34" s="46">
        <v>0</v>
      </c>
      <c r="C34" s="46">
        <v>302080</v>
      </c>
      <c r="D34" s="46">
        <v>0</v>
      </c>
      <c r="E34" s="46">
        <v>0</v>
      </c>
      <c r="F34" s="46">
        <v>28581</v>
      </c>
      <c r="G34" s="46">
        <v>0</v>
      </c>
      <c r="H34" s="46">
        <v>0</v>
      </c>
      <c r="I34" s="46"/>
      <c r="J34" s="46"/>
      <c r="K34" s="46"/>
      <c r="L34" s="46"/>
      <c r="M34" s="38"/>
      <c r="N34" s="46">
        <v>88</v>
      </c>
      <c r="O34" s="46">
        <v>330749</v>
      </c>
      <c r="P34" s="17">
        <f>O34/O$39</f>
        <v>5.6686701192632832E-2</v>
      </c>
      <c r="Q34" s="18" t="s">
        <v>41</v>
      </c>
      <c r="R34" s="3"/>
      <c r="S34" s="3"/>
      <c r="T34" s="13">
        <f>SUM(T24:T33)</f>
        <v>5992.5165599999991</v>
      </c>
      <c r="U34" s="14">
        <f>SUM(U24:U33)</f>
        <v>1</v>
      </c>
    </row>
    <row r="35" spans="1:48" ht="16" x14ac:dyDescent="0.2">
      <c r="A35" s="8" t="s">
        <v>42</v>
      </c>
      <c r="B35" s="46">
        <v>0</v>
      </c>
      <c r="C35" s="46">
        <v>22115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38"/>
      <c r="N35" s="46">
        <v>9495</v>
      </c>
      <c r="O35" s="46">
        <v>31610</v>
      </c>
      <c r="P35" s="17">
        <f>O35/O$39</f>
        <v>5.4176025466414835E-3</v>
      </c>
      <c r="Q35" s="18" t="s">
        <v>43</v>
      </c>
      <c r="R35" s="18"/>
    </row>
    <row r="36" spans="1:48" ht="16" x14ac:dyDescent="0.2">
      <c r="A36" s="8" t="s">
        <v>44</v>
      </c>
      <c r="B36" s="46">
        <v>13400</v>
      </c>
      <c r="C36" s="46">
        <v>305</v>
      </c>
      <c r="D36" s="46">
        <v>0</v>
      </c>
      <c r="E36" s="46">
        <v>0</v>
      </c>
      <c r="F36" s="46">
        <v>0</v>
      </c>
      <c r="G36" s="55">
        <v>30000</v>
      </c>
      <c r="H36" s="46">
        <v>0</v>
      </c>
      <c r="I36" s="46"/>
      <c r="J36" s="46"/>
      <c r="K36" s="46"/>
      <c r="L36" s="46"/>
      <c r="M36" s="38"/>
      <c r="N36" s="55">
        <f>O36-G36-C36-B36</f>
        <v>31464</v>
      </c>
      <c r="O36" s="46">
        <v>75169</v>
      </c>
      <c r="P36" s="18"/>
      <c r="Q36" s="18"/>
      <c r="R36" s="3"/>
      <c r="S36" s="7"/>
      <c r="T36" s="7"/>
      <c r="U36" s="7"/>
    </row>
    <row r="37" spans="1:48" ht="15.75" x14ac:dyDescent="0.25">
      <c r="A37" s="8" t="s">
        <v>45</v>
      </c>
      <c r="B37" s="56">
        <f>(B39-B36)*14418/(14418+8681+6993)</f>
        <v>17916.612122823342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38"/>
      <c r="N37" s="46">
        <v>3066</v>
      </c>
      <c r="O37" s="55">
        <f>SUM(B37:N37)</f>
        <v>20982.612122823342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38"/>
      <c r="N38" s="46">
        <v>5620</v>
      </c>
      <c r="O38" s="46">
        <v>5620</v>
      </c>
      <c r="P38" s="18">
        <f>SUM(P31:P35)</f>
        <v>0.98255747722200515</v>
      </c>
      <c r="Q38" s="18"/>
      <c r="R38" s="3"/>
      <c r="S38" s="7" t="s">
        <v>47</v>
      </c>
      <c r="T38" s="19">
        <f>O45/1000</f>
        <v>38.67606</v>
      </c>
      <c r="U38" s="7"/>
    </row>
    <row r="39" spans="1:48" ht="16" x14ac:dyDescent="0.2">
      <c r="A39" s="8" t="s">
        <v>16</v>
      </c>
      <c r="B39" s="46">
        <v>50794</v>
      </c>
      <c r="C39" s="55">
        <f>SUM(C31:C38)</f>
        <v>376779</v>
      </c>
      <c r="D39" s="46">
        <v>0</v>
      </c>
      <c r="E39" s="56">
        <f>SUM(E31:E38)</f>
        <v>3000</v>
      </c>
      <c r="F39" s="55">
        <f>SUM(F31:F38)</f>
        <v>53137</v>
      </c>
      <c r="G39" s="55">
        <f>SUM(G31:G38)</f>
        <v>606032.83373985277</v>
      </c>
      <c r="H39" s="46">
        <v>0</v>
      </c>
      <c r="I39" s="64">
        <f>SUM(I32:I38)</f>
        <v>4246448.3698099051</v>
      </c>
      <c r="J39" s="46"/>
      <c r="K39" s="46"/>
      <c r="L39" s="61">
        <f>SUM(L32:L38)</f>
        <v>112894</v>
      </c>
      <c r="M39" s="61">
        <f>SUM(M32:M38)</f>
        <v>79342</v>
      </c>
      <c r="N39" s="56">
        <f>825730-717063+197590</f>
        <v>306257</v>
      </c>
      <c r="O39" s="56">
        <f>SUM(O31:O38)</f>
        <v>5834684.2035497576</v>
      </c>
      <c r="P39" s="3"/>
      <c r="Q39" s="3"/>
      <c r="R39" s="3"/>
      <c r="S39" s="7" t="s">
        <v>48</v>
      </c>
      <c r="T39" s="20">
        <f>O41/1000</f>
        <v>101.77161212282334</v>
      </c>
      <c r="U39" s="14">
        <f>P41</f>
        <v>1.7442522777994841E-2</v>
      </c>
    </row>
    <row r="40" spans="1:48" x14ac:dyDescent="0.2">
      <c r="S40" s="7" t="s">
        <v>49</v>
      </c>
      <c r="T40" s="20">
        <f>O35/1000</f>
        <v>31.61</v>
      </c>
      <c r="U40" s="15">
        <f>P35</f>
        <v>5.4176025466414835E-3</v>
      </c>
    </row>
    <row r="41" spans="1:48" ht="16" x14ac:dyDescent="0.2">
      <c r="A41" s="21" t="s">
        <v>50</v>
      </c>
      <c r="B41" s="22">
        <f>B38+B37+B36</f>
        <v>31316.612122823342</v>
      </c>
      <c r="C41" s="22">
        <f t="shared" ref="C41:O41" si="0">C38+C37+C36</f>
        <v>305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30000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40150</v>
      </c>
      <c r="O41" s="22">
        <f t="shared" si="0"/>
        <v>101771.61212282334</v>
      </c>
      <c r="P41" s="17">
        <f>O41/O$39</f>
        <v>1.7442522777994841E-2</v>
      </c>
      <c r="Q41" s="17" t="s">
        <v>51</v>
      </c>
      <c r="R41" s="7"/>
      <c r="S41" s="7" t="s">
        <v>52</v>
      </c>
      <c r="T41" s="20">
        <f>O33/1000</f>
        <v>17.996495480526384</v>
      </c>
      <c r="U41" s="14">
        <f>P33</f>
        <v>3.0843992327086898E-3</v>
      </c>
    </row>
    <row r="42" spans="1:48" ht="16" x14ac:dyDescent="0.2">
      <c r="A42" s="23" t="s">
        <v>53</v>
      </c>
      <c r="B42" s="22"/>
      <c r="C42" s="24">
        <f>C39+C23+C10</f>
        <v>376869</v>
      </c>
      <c r="D42" s="24">
        <f t="shared" ref="D42:M42" si="1">D39+D23+D10</f>
        <v>0</v>
      </c>
      <c r="E42" s="24">
        <f t="shared" si="1"/>
        <v>3000</v>
      </c>
      <c r="F42" s="24">
        <f t="shared" si="1"/>
        <v>53137</v>
      </c>
      <c r="G42" s="24">
        <f t="shared" si="1"/>
        <v>713810</v>
      </c>
      <c r="H42" s="24">
        <f t="shared" si="1"/>
        <v>0</v>
      </c>
      <c r="I42" s="24">
        <f t="shared" si="1"/>
        <v>4520297</v>
      </c>
      <c r="J42" s="24">
        <f t="shared" si="1"/>
        <v>0</v>
      </c>
      <c r="K42" s="24">
        <f t="shared" si="1"/>
        <v>0</v>
      </c>
      <c r="L42" s="24">
        <f t="shared" si="1"/>
        <v>112894</v>
      </c>
      <c r="M42" s="24">
        <f t="shared" si="1"/>
        <v>79342</v>
      </c>
      <c r="N42" s="24">
        <f>N39+N23-B6-B5+N45</f>
        <v>133167.56</v>
      </c>
      <c r="O42" s="25">
        <f>SUM(C42:N42)</f>
        <v>5992516.5599999996</v>
      </c>
      <c r="P42" s="7"/>
      <c r="Q42" s="7"/>
      <c r="R42" s="7"/>
      <c r="S42" s="7" t="s">
        <v>34</v>
      </c>
      <c r="T42" s="20">
        <f>O31/1000</f>
        <v>15.922000000000001</v>
      </c>
      <c r="U42" s="14">
        <f>P31</f>
        <v>2.7288537724652227E-3</v>
      </c>
    </row>
    <row r="43" spans="1:48" ht="16" x14ac:dyDescent="0.2">
      <c r="A43" s="23" t="s">
        <v>54</v>
      </c>
      <c r="B43" s="22"/>
      <c r="C43" s="17">
        <f t="shared" ref="C43:N43" si="2">C42/$O42</f>
        <v>6.288993884732795E-2</v>
      </c>
      <c r="D43" s="17">
        <f t="shared" si="2"/>
        <v>0</v>
      </c>
      <c r="E43" s="17">
        <f t="shared" si="2"/>
        <v>5.0062439877512834E-4</v>
      </c>
      <c r="F43" s="17">
        <f t="shared" si="2"/>
        <v>8.8672262259046654E-3</v>
      </c>
      <c r="G43" s="17">
        <f t="shared" si="2"/>
        <v>0.11911690069655811</v>
      </c>
      <c r="H43" s="17">
        <f t="shared" si="2"/>
        <v>0</v>
      </c>
      <c r="I43" s="17">
        <f t="shared" si="2"/>
        <v>0.75432365597000539</v>
      </c>
      <c r="J43" s="17">
        <f t="shared" si="2"/>
        <v>0</v>
      </c>
      <c r="K43" s="17">
        <f t="shared" si="2"/>
        <v>0</v>
      </c>
      <c r="L43" s="17">
        <f t="shared" si="2"/>
        <v>1.8839163625106445E-2</v>
      </c>
      <c r="M43" s="17">
        <f t="shared" si="2"/>
        <v>1.324018034920541E-2</v>
      </c>
      <c r="N43" s="17">
        <f t="shared" si="2"/>
        <v>2.2222309887116942E-2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5336.635095946408</v>
      </c>
      <c r="U43" s="15">
        <f>P32</f>
        <v>0.91463992047755693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330.74900000000002</v>
      </c>
      <c r="U44" s="15">
        <f>P34</f>
        <v>5.6686701192632832E-2</v>
      </c>
    </row>
    <row r="45" spans="1:48" ht="16" x14ac:dyDescent="0.2">
      <c r="A45" s="6" t="s">
        <v>57</v>
      </c>
      <c r="B45" s="6">
        <f>B23-B39</f>
        <v>14175.5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24500.560000000001</v>
      </c>
      <c r="O45" s="25">
        <f>B45+N45</f>
        <v>38676.06</v>
      </c>
      <c r="P45" s="7"/>
      <c r="Q45" s="7"/>
      <c r="R45" s="7"/>
      <c r="S45" s="7" t="s">
        <v>58</v>
      </c>
      <c r="T45" s="20">
        <f>SUM(T39:T44)</f>
        <v>5834.6842035497575</v>
      </c>
      <c r="U45" s="14">
        <f>SUM(U39:U44)</f>
        <v>1</v>
      </c>
    </row>
    <row r="46" spans="1:48" ht="16" x14ac:dyDescent="0.2">
      <c r="A46" s="6"/>
      <c r="B46" s="5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8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8"/>
    </row>
    <row r="48" spans="1:48" x14ac:dyDescent="0.2">
      <c r="A48" s="27"/>
      <c r="B48" s="4"/>
      <c r="C48" s="28"/>
      <c r="D48" s="28"/>
      <c r="E48" s="27"/>
      <c r="F48" s="28"/>
      <c r="G48" s="28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8"/>
      <c r="U48" s="27"/>
      <c r="V48" s="27"/>
      <c r="W48" s="27"/>
      <c r="X48" s="27"/>
      <c r="Y48" s="28"/>
      <c r="Z48" s="27"/>
      <c r="AA48" s="27"/>
      <c r="AB48" s="27"/>
      <c r="AC48" s="27"/>
      <c r="AD48" s="27"/>
      <c r="AE48" s="27"/>
      <c r="AF48" s="28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8"/>
      <c r="P49" s="28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27"/>
      <c r="Q50" s="27"/>
      <c r="R50" s="27"/>
      <c r="T50" s="27"/>
      <c r="U50" s="27"/>
      <c r="V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ht="16" x14ac:dyDescent="0.2">
      <c r="A51" s="4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X51" s="46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8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8"/>
    </row>
    <row r="52" spans="1:48" ht="16" x14ac:dyDescent="0.2">
      <c r="A52" s="4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8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8"/>
    </row>
    <row r="53" spans="1:48" ht="16" x14ac:dyDescent="0.2">
      <c r="A53" s="4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28"/>
      <c r="U53" s="27"/>
      <c r="V53" s="27"/>
      <c r="W53" s="27"/>
      <c r="X53" s="27"/>
      <c r="Y53" s="28"/>
      <c r="Z53" s="27"/>
      <c r="AA53" s="27"/>
      <c r="AB53" s="27"/>
      <c r="AC53" s="27"/>
      <c r="AD53" s="27"/>
      <c r="AE53" s="27"/>
      <c r="AF53" s="28"/>
      <c r="AG53" s="27"/>
      <c r="AH53" s="27"/>
      <c r="AI53" s="4"/>
      <c r="AJ53" s="27"/>
      <c r="AK53" s="28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8"/>
    </row>
    <row r="54" spans="1:48" ht="16" x14ac:dyDescent="0.2">
      <c r="A54" s="4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28"/>
      <c r="U54" s="27"/>
      <c r="V54" s="27"/>
      <c r="W54" s="27"/>
      <c r="X54" s="27"/>
      <c r="Y54" s="28"/>
      <c r="Z54" s="27"/>
      <c r="AA54" s="27"/>
      <c r="AB54" s="27"/>
      <c r="AC54" s="27"/>
      <c r="AD54" s="27"/>
      <c r="AE54" s="27"/>
      <c r="AF54" s="28"/>
      <c r="AG54" s="27"/>
      <c r="AH54" s="27"/>
      <c r="AI54" s="4"/>
      <c r="AJ54" s="27"/>
      <c r="AK54" s="28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8"/>
    </row>
    <row r="55" spans="1:48" x14ac:dyDescent="0.2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27"/>
      <c r="Q55" s="27"/>
      <c r="R55" s="4"/>
      <c r="S55" s="4"/>
      <c r="T55" s="28"/>
      <c r="U55" s="27"/>
      <c r="V55" s="27"/>
      <c r="W55" s="27"/>
      <c r="X55" s="27"/>
      <c r="Y55" s="28"/>
      <c r="Z55" s="27"/>
      <c r="AA55" s="27"/>
      <c r="AB55" s="27"/>
      <c r="AC55" s="27"/>
      <c r="AD55" s="27"/>
      <c r="AE55" s="27"/>
      <c r="AF55" s="28"/>
      <c r="AG55" s="27"/>
      <c r="AH55" s="27"/>
      <c r="AI55" s="4"/>
      <c r="AJ55" s="27"/>
      <c r="AK55" s="28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8"/>
    </row>
    <row r="56" spans="1:48" x14ac:dyDescent="0.2">
      <c r="E56" s="9"/>
      <c r="F56" s="9"/>
      <c r="G56" s="9"/>
      <c r="H56" s="9"/>
      <c r="I56" s="9"/>
      <c r="J56" s="9"/>
      <c r="K56" s="9"/>
      <c r="L56" s="9"/>
      <c r="M56" s="27"/>
      <c r="N56" s="9"/>
      <c r="O56" s="9"/>
      <c r="P56" s="27"/>
      <c r="Q56" s="27"/>
      <c r="R56" s="4"/>
      <c r="S56" s="4"/>
      <c r="T56" s="28"/>
      <c r="U56" s="27"/>
      <c r="V56" s="27"/>
      <c r="W56" s="27"/>
      <c r="X56" s="27"/>
      <c r="Y56" s="28"/>
      <c r="Z56" s="27"/>
      <c r="AA56" s="27"/>
      <c r="AB56" s="27"/>
      <c r="AC56" s="27"/>
      <c r="AD56" s="27"/>
      <c r="AE56" s="27"/>
      <c r="AF56" s="28"/>
      <c r="AG56" s="27"/>
      <c r="AH56" s="27"/>
      <c r="AI56" s="4"/>
      <c r="AJ56" s="27"/>
      <c r="AK56" s="28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8"/>
    </row>
    <row r="57" spans="1:48" ht="16" x14ac:dyDescent="0.2">
      <c r="E57" s="9"/>
      <c r="F57" s="16"/>
      <c r="G57" s="9"/>
      <c r="H57" s="9"/>
      <c r="I57" s="9"/>
      <c r="J57" s="9"/>
      <c r="K57" s="9"/>
      <c r="L57" s="9"/>
      <c r="M57" s="27"/>
      <c r="N57" s="9"/>
      <c r="O57" s="9"/>
      <c r="P57" s="27"/>
      <c r="Q57" s="27"/>
      <c r="R57" s="4"/>
      <c r="S57" s="7"/>
      <c r="T57" s="6"/>
      <c r="U57" s="31"/>
    </row>
    <row r="58" spans="1:48" ht="16" x14ac:dyDescent="0.2">
      <c r="A58" s="5"/>
      <c r="B58" s="7"/>
      <c r="C58" s="29"/>
      <c r="D58" s="29"/>
      <c r="E58" s="9"/>
      <c r="F58" s="16"/>
      <c r="G58" s="9"/>
      <c r="H58" s="9"/>
      <c r="I58" s="9"/>
      <c r="J58" s="9"/>
      <c r="K58" s="9"/>
      <c r="L58" s="9"/>
      <c r="M58" s="27"/>
      <c r="N58" s="9"/>
      <c r="O58" s="9"/>
      <c r="P58" s="27"/>
      <c r="Q58" s="27"/>
      <c r="R58" s="4"/>
      <c r="S58" s="7"/>
      <c r="T58" s="6"/>
      <c r="U58" s="31"/>
    </row>
    <row r="59" spans="1:48" ht="16" x14ac:dyDescent="0.2">
      <c r="A59" s="5"/>
      <c r="C59" s="6"/>
      <c r="D59" s="6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7"/>
      <c r="T59" s="6"/>
      <c r="U59" s="31"/>
    </row>
    <row r="60" spans="1:48" ht="16" x14ac:dyDescent="0.2">
      <c r="A60" s="5"/>
      <c r="B60" s="60"/>
      <c r="C60" s="6"/>
      <c r="D60" s="6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7"/>
      <c r="T60" s="6"/>
      <c r="U60" s="31"/>
    </row>
    <row r="61" spans="1:48" ht="16" x14ac:dyDescent="0.2">
      <c r="A61" s="5"/>
      <c r="B61" s="60"/>
      <c r="C61" s="6"/>
      <c r="D61" s="32"/>
      <c r="E61" s="29"/>
      <c r="F61" s="29"/>
      <c r="G61" s="29"/>
      <c r="H61" s="29"/>
      <c r="I61" s="29"/>
      <c r="J61" s="29"/>
      <c r="K61" s="29"/>
      <c r="L61" s="6"/>
      <c r="M61" s="30"/>
      <c r="N61" s="7"/>
      <c r="O61" s="6"/>
      <c r="P61" s="14"/>
      <c r="Q61" s="7"/>
      <c r="R61" s="7"/>
      <c r="S61" s="7"/>
      <c r="T61" s="32"/>
      <c r="U61" s="33"/>
    </row>
    <row r="62" spans="1:48" ht="16" x14ac:dyDescent="0.2">
      <c r="A62" s="5"/>
      <c r="B62" s="60"/>
      <c r="C62" s="6"/>
      <c r="E62" s="29"/>
      <c r="F62" s="29"/>
      <c r="G62" s="29"/>
      <c r="H62" s="29"/>
      <c r="I62" s="29"/>
      <c r="J62" s="29"/>
      <c r="K62" s="29"/>
      <c r="L62" s="6"/>
      <c r="M62" s="30"/>
      <c r="N62" s="7"/>
      <c r="O62" s="6"/>
      <c r="P62" s="14"/>
      <c r="Q62" s="7"/>
      <c r="R62" s="7"/>
      <c r="S62" s="7"/>
      <c r="T62" s="7"/>
      <c r="U62" s="6"/>
    </row>
    <row r="63" spans="1:48" ht="16" x14ac:dyDescent="0.2">
      <c r="A63" s="5"/>
      <c r="B63" s="60"/>
      <c r="C63" s="6"/>
      <c r="E63" s="7"/>
      <c r="F63" s="7"/>
      <c r="G63" s="7"/>
      <c r="H63" s="7"/>
      <c r="I63" s="7"/>
      <c r="J63" s="7"/>
      <c r="K63" s="7"/>
      <c r="L63" s="6"/>
      <c r="M63" s="30"/>
      <c r="N63" s="7"/>
      <c r="O63" s="6"/>
      <c r="P63" s="14"/>
      <c r="Q63" s="7"/>
      <c r="R63" s="7"/>
      <c r="S63" s="7"/>
      <c r="T63" s="34"/>
      <c r="U63" s="35"/>
    </row>
    <row r="64" spans="1:48" ht="16" x14ac:dyDescent="0.2">
      <c r="A64" s="5"/>
      <c r="B64" s="60"/>
      <c r="C64" s="6"/>
      <c r="D64" s="10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5"/>
      <c r="B65" s="60"/>
      <c r="C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C66" s="10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 enableFormatConditionsCalculation="0"/>
  <dimension ref="A1:AV70"/>
  <sheetViews>
    <sheetView topLeftCell="O19" workbookViewId="0">
      <selection activeCell="B44" sqref="B44"/>
    </sheetView>
  </sheetViews>
  <sheetFormatPr baseColWidth="10" defaultColWidth="8.83203125" defaultRowHeight="15" x14ac:dyDescent="0.2"/>
  <cols>
    <col min="1" max="1" width="21.5" style="2" customWidth="1"/>
    <col min="2" max="16" width="10.1640625" style="2" customWidth="1"/>
    <col min="17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63</v>
      </c>
      <c r="Q2" s="38"/>
      <c r="R2" s="8"/>
      <c r="AH2" s="38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70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38"/>
      <c r="R3" s="38"/>
      <c r="AH3" s="38"/>
      <c r="AI3" s="38"/>
    </row>
    <row r="4" spans="1:35" ht="15.75" x14ac:dyDescent="0.25">
      <c r="A4" s="5" t="s">
        <v>76</v>
      </c>
      <c r="B4" s="52">
        <f>156*0.95</f>
        <v>148.19999999999999</v>
      </c>
      <c r="Q4" s="38"/>
      <c r="R4" s="38"/>
      <c r="AH4" s="38"/>
      <c r="AI4" s="38"/>
    </row>
    <row r="5" spans="1:35" ht="15.75" x14ac:dyDescent="0.25">
      <c r="A5" s="38"/>
      <c r="Q5" s="38"/>
      <c r="R5" s="38"/>
      <c r="AH5" s="38"/>
      <c r="AI5" s="38"/>
    </row>
    <row r="6" spans="1:35" ht="16" x14ac:dyDescent="0.2">
      <c r="A6" s="8" t="s">
        <v>12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/>
      <c r="J6" s="46"/>
      <c r="K6" s="46"/>
      <c r="L6" s="46"/>
      <c r="M6" s="46"/>
      <c r="N6" s="46"/>
      <c r="O6" s="46">
        <v>0</v>
      </c>
      <c r="Q6" s="38"/>
      <c r="R6" s="38"/>
      <c r="AH6" s="38"/>
      <c r="AI6" s="38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38"/>
      <c r="R7" s="38"/>
      <c r="AH7" s="38"/>
      <c r="AI7" s="38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38"/>
      <c r="R8" s="38"/>
      <c r="AH8" s="38"/>
      <c r="AI8" s="38"/>
    </row>
    <row r="9" spans="1:35" ht="15.75" x14ac:dyDescent="0.25">
      <c r="A9" s="8" t="s">
        <v>15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38"/>
      <c r="R9" s="38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38"/>
      <c r="AI9" s="38"/>
    </row>
    <row r="10" spans="1:35" ht="16" x14ac:dyDescent="0.2">
      <c r="A10" s="8" t="s">
        <v>16</v>
      </c>
      <c r="B10" s="52">
        <f>SUM(B4:B9)</f>
        <v>148.19999999999999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/>
      <c r="J10" s="46"/>
      <c r="K10" s="46"/>
      <c r="L10" s="46"/>
      <c r="M10" s="46"/>
      <c r="N10" s="46"/>
      <c r="O10" s="46">
        <v>0</v>
      </c>
      <c r="P10" s="46"/>
      <c r="Q10" s="38"/>
      <c r="R10" s="38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38"/>
      <c r="AI10" s="38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63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70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/>
      <c r="J17" s="46"/>
      <c r="K17" s="46"/>
      <c r="L17" s="46"/>
      <c r="M17" s="46"/>
      <c r="N17" s="46"/>
      <c r="O17" s="46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f>43300+7500</f>
        <v>50800</v>
      </c>
      <c r="C18" s="46">
        <v>1194</v>
      </c>
      <c r="D18" s="46">
        <v>0</v>
      </c>
      <c r="E18" s="46">
        <v>0</v>
      </c>
      <c r="F18" s="46">
        <v>0</v>
      </c>
      <c r="G18" s="46">
        <v>54638</v>
      </c>
      <c r="H18" s="46">
        <v>0</v>
      </c>
      <c r="I18" s="46"/>
      <c r="J18" s="46"/>
      <c r="K18" s="46"/>
      <c r="L18" s="46"/>
      <c r="M18" s="46"/>
      <c r="N18" s="46"/>
      <c r="O18" s="46">
        <v>55832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437.86664000000002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50800</v>
      </c>
      <c r="C23" s="46">
        <v>1194</v>
      </c>
      <c r="D23" s="46">
        <v>0</v>
      </c>
      <c r="E23" s="46">
        <v>0</v>
      </c>
      <c r="F23" s="46">
        <v>0</v>
      </c>
      <c r="G23" s="46">
        <v>54638</v>
      </c>
      <c r="H23" s="46">
        <v>0</v>
      </c>
      <c r="I23" s="46"/>
      <c r="J23" s="46"/>
      <c r="K23" s="46"/>
      <c r="L23" s="46"/>
      <c r="M23" s="46"/>
      <c r="N23" s="46"/>
      <c r="O23" s="46">
        <v>55832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147.53664000000001</v>
      </c>
      <c r="U24" s="14">
        <f>N43</f>
        <v>0.33694423489307157</v>
      </c>
    </row>
    <row r="25" spans="1:21" ht="16" x14ac:dyDescent="0.2">
      <c r="B25" s="50"/>
      <c r="C25" s="5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70</v>
      </c>
      <c r="T25" s="13">
        <f>G42/1000</f>
        <v>211.94800000000001</v>
      </c>
      <c r="U25" s="15">
        <f>G43</f>
        <v>0.48404692351077488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4.7329999999999997</v>
      </c>
      <c r="U27" s="14">
        <f>F43</f>
        <v>1.0809227211280584E-2</v>
      </c>
    </row>
    <row r="28" spans="1:21" ht="15.75" x14ac:dyDescent="0.25">
      <c r="A28" s="4" t="s">
        <v>63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12</v>
      </c>
      <c r="U28" s="14">
        <f>E43</f>
        <v>2.740560459230235E-2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70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0">
        <f>D43</f>
        <v>0</v>
      </c>
    </row>
    <row r="30" spans="1:21" ht="15.75" x14ac:dyDescent="0.25">
      <c r="B30" s="10"/>
      <c r="C30" s="10"/>
      <c r="D30" s="10"/>
      <c r="E30" s="48"/>
      <c r="F30" s="10"/>
      <c r="G30" s="48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40">
        <f>K43</f>
        <v>0</v>
      </c>
    </row>
    <row r="31" spans="1:21" ht="15.75" x14ac:dyDescent="0.25">
      <c r="A31" s="8" t="s">
        <v>33</v>
      </c>
      <c r="B31" s="46">
        <v>0</v>
      </c>
      <c r="C31" s="46">
        <v>1723</v>
      </c>
      <c r="D31" s="46">
        <v>0</v>
      </c>
      <c r="E31" s="46">
        <v>0</v>
      </c>
      <c r="F31" s="46">
        <v>178</v>
      </c>
      <c r="G31" s="46">
        <v>0</v>
      </c>
      <c r="H31" s="46">
        <v>0</v>
      </c>
      <c r="I31" s="46"/>
      <c r="J31" s="46"/>
      <c r="K31" s="46"/>
      <c r="L31" s="46"/>
      <c r="M31" s="38"/>
      <c r="N31" s="46">
        <v>4959</v>
      </c>
      <c r="O31" s="46">
        <v>6860</v>
      </c>
      <c r="P31" s="17">
        <f>O31/O$39</f>
        <v>1.655321520868875E-2</v>
      </c>
      <c r="Q31" s="18" t="s">
        <v>34</v>
      </c>
      <c r="R31" s="3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46">
        <v>8481</v>
      </c>
      <c r="C32" s="61">
        <f>6700</f>
        <v>6700</v>
      </c>
      <c r="D32" s="46">
        <v>0</v>
      </c>
      <c r="E32" s="56">
        <v>12000</v>
      </c>
      <c r="F32" s="46">
        <v>0</v>
      </c>
      <c r="G32" s="56">
        <f>O32-N32-E32-C32-B32</f>
        <v>124269</v>
      </c>
      <c r="H32" s="46">
        <v>0</v>
      </c>
      <c r="I32" s="46"/>
      <c r="J32" s="46"/>
      <c r="K32" s="46"/>
      <c r="L32" s="46"/>
      <c r="M32" s="38"/>
      <c r="N32" s="46">
        <v>80910</v>
      </c>
      <c r="O32" s="56">
        <f>226470-810+6700</f>
        <v>232360</v>
      </c>
      <c r="P32" s="17">
        <f>O32/O$39</f>
        <v>0.56068587257885094</v>
      </c>
      <c r="Q32" s="18" t="s">
        <v>37</v>
      </c>
      <c r="R32" s="3"/>
      <c r="S32" s="3" t="s">
        <v>6</v>
      </c>
      <c r="T32" s="13">
        <f>H42/1000</f>
        <v>0</v>
      </c>
      <c r="U32" s="14">
        <f>H43</f>
        <v>0</v>
      </c>
    </row>
    <row r="33" spans="1:48" ht="15.75" x14ac:dyDescent="0.25">
      <c r="A33" s="8" t="s">
        <v>38</v>
      </c>
      <c r="B33" s="46">
        <v>8009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38"/>
      <c r="N33" s="46">
        <v>6742</v>
      </c>
      <c r="O33" s="46">
        <v>14751</v>
      </c>
      <c r="P33" s="17">
        <f>O33/O$39</f>
        <v>3.5594238708945736E-2</v>
      </c>
      <c r="Q33" s="18" t="s">
        <v>39</v>
      </c>
      <c r="R33" s="3"/>
      <c r="S33" s="3" t="s">
        <v>35</v>
      </c>
      <c r="T33" s="13">
        <f>C42/1000</f>
        <v>61.649000000000001</v>
      </c>
      <c r="U33" s="15">
        <f>C43</f>
        <v>0.14079400979257062</v>
      </c>
    </row>
    <row r="34" spans="1:48" ht="15.75" x14ac:dyDescent="0.25">
      <c r="A34" s="8" t="s">
        <v>40</v>
      </c>
      <c r="B34" s="46">
        <v>0</v>
      </c>
      <c r="C34" s="46">
        <v>46894</v>
      </c>
      <c r="D34" s="46">
        <v>0</v>
      </c>
      <c r="E34" s="46">
        <v>0</v>
      </c>
      <c r="F34" s="46">
        <v>4555</v>
      </c>
      <c r="G34" s="46">
        <v>0</v>
      </c>
      <c r="H34" s="46">
        <v>0</v>
      </c>
      <c r="I34" s="46"/>
      <c r="J34" s="46"/>
      <c r="K34" s="46"/>
      <c r="L34" s="46"/>
      <c r="M34" s="38"/>
      <c r="N34" s="46">
        <v>147</v>
      </c>
      <c r="O34" s="46">
        <v>51596</v>
      </c>
      <c r="P34" s="17">
        <f>O34/O$39</f>
        <v>0.12450141281450505</v>
      </c>
      <c r="Q34" s="18" t="s">
        <v>41</v>
      </c>
      <c r="R34" s="3"/>
      <c r="S34" s="3"/>
      <c r="T34" s="13">
        <f>SUM(T24:T33)</f>
        <v>437.86664000000002</v>
      </c>
      <c r="U34" s="14">
        <f>SUM(U24:U33)</f>
        <v>1</v>
      </c>
    </row>
    <row r="35" spans="1:48" ht="16" x14ac:dyDescent="0.2">
      <c r="A35" s="8" t="s">
        <v>42</v>
      </c>
      <c r="B35" s="46">
        <v>4640</v>
      </c>
      <c r="C35" s="46">
        <v>5044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38"/>
      <c r="N35" s="46">
        <v>15000</v>
      </c>
      <c r="O35" s="46">
        <v>24684</v>
      </c>
      <c r="P35" s="17">
        <f>O35/O$39</f>
        <v>5.9562618689689956E-2</v>
      </c>
      <c r="Q35" s="18" t="s">
        <v>43</v>
      </c>
      <c r="R35" s="18"/>
    </row>
    <row r="36" spans="1:48" ht="16" x14ac:dyDescent="0.2">
      <c r="A36" s="8" t="s">
        <v>44</v>
      </c>
      <c r="B36" s="46">
        <v>11590</v>
      </c>
      <c r="C36" s="46">
        <v>94</v>
      </c>
      <c r="D36" s="46">
        <v>0</v>
      </c>
      <c r="E36" s="46">
        <v>0</v>
      </c>
      <c r="F36" s="46">
        <v>0</v>
      </c>
      <c r="G36" s="46">
        <v>33041</v>
      </c>
      <c r="H36" s="46">
        <v>0</v>
      </c>
      <c r="I36" s="46"/>
      <c r="J36" s="46"/>
      <c r="K36" s="46"/>
      <c r="L36" s="46"/>
      <c r="M36" s="38"/>
      <c r="N36" s="46">
        <v>25141</v>
      </c>
      <c r="O36" s="46">
        <v>69865</v>
      </c>
      <c r="P36" s="18"/>
      <c r="Q36" s="18"/>
      <c r="R36" s="3"/>
      <c r="S36" s="7"/>
      <c r="T36" s="7"/>
      <c r="U36" s="7"/>
    </row>
    <row r="37" spans="1:48" ht="15.75" x14ac:dyDescent="0.25">
      <c r="A37" s="8" t="s">
        <v>45</v>
      </c>
      <c r="B37" s="46">
        <v>10596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38"/>
      <c r="N37" s="46">
        <v>1353</v>
      </c>
      <c r="O37" s="46">
        <v>11949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38"/>
      <c r="N38" s="46">
        <v>2356</v>
      </c>
      <c r="O38" s="46">
        <v>2356</v>
      </c>
      <c r="P38" s="18">
        <f>SUM(P31:P35)</f>
        <v>0.79689735800068051</v>
      </c>
      <c r="Q38" s="18"/>
      <c r="R38" s="3"/>
      <c r="S38" s="7" t="s">
        <v>47</v>
      </c>
      <c r="T38" s="19">
        <f>O45/1000</f>
        <v>18.41264</v>
      </c>
      <c r="U38" s="7"/>
    </row>
    <row r="39" spans="1:48" ht="16" x14ac:dyDescent="0.2">
      <c r="A39" s="8" t="s">
        <v>16</v>
      </c>
      <c r="B39" s="46">
        <v>43316</v>
      </c>
      <c r="C39" s="56">
        <f>SUM(C31:C38)</f>
        <v>60455</v>
      </c>
      <c r="D39" s="46">
        <v>0</v>
      </c>
      <c r="E39" s="56">
        <f>SUM(E31:E38)</f>
        <v>12000</v>
      </c>
      <c r="F39" s="46">
        <v>4733</v>
      </c>
      <c r="G39" s="56">
        <f>SUM(G31:G38)</f>
        <v>157310</v>
      </c>
      <c r="H39" s="46">
        <v>0</v>
      </c>
      <c r="I39" s="46"/>
      <c r="J39" s="46"/>
      <c r="K39" s="46"/>
      <c r="L39" s="46"/>
      <c r="M39" s="38"/>
      <c r="N39" s="46">
        <v>136608</v>
      </c>
      <c r="O39" s="56">
        <f>408531-810+6700</f>
        <v>414421</v>
      </c>
      <c r="P39" s="3"/>
      <c r="Q39" s="3"/>
      <c r="R39" s="3"/>
      <c r="S39" s="7" t="s">
        <v>48</v>
      </c>
      <c r="T39" s="20">
        <f>O41/1000</f>
        <v>84.17</v>
      </c>
      <c r="U39" s="14">
        <f>P41</f>
        <v>0.20310264199931954</v>
      </c>
    </row>
    <row r="40" spans="1:48" x14ac:dyDescent="0.2">
      <c r="O40" s="10"/>
      <c r="S40" s="7" t="s">
        <v>49</v>
      </c>
      <c r="T40" s="20">
        <f>O35/1000</f>
        <v>24.684000000000001</v>
      </c>
      <c r="U40" s="15">
        <f>P35</f>
        <v>5.9562618689689956E-2</v>
      </c>
    </row>
    <row r="41" spans="1:48" ht="16" x14ac:dyDescent="0.2">
      <c r="A41" s="21" t="s">
        <v>50</v>
      </c>
      <c r="B41" s="22">
        <f>B38+B37+B36</f>
        <v>22186</v>
      </c>
      <c r="C41" s="22">
        <f t="shared" ref="C41:O41" si="0">C38+C37+C36</f>
        <v>94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33041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28850</v>
      </c>
      <c r="O41" s="22">
        <f t="shared" si="0"/>
        <v>84170</v>
      </c>
      <c r="P41" s="17">
        <f>O41/O$39</f>
        <v>0.20310264199931954</v>
      </c>
      <c r="Q41" s="17" t="s">
        <v>51</v>
      </c>
      <c r="R41" s="7"/>
      <c r="S41" s="7" t="s">
        <v>52</v>
      </c>
      <c r="T41" s="20">
        <f>O33/1000</f>
        <v>14.750999999999999</v>
      </c>
      <c r="U41" s="14">
        <f>P33</f>
        <v>3.5594238708945736E-2</v>
      </c>
    </row>
    <row r="42" spans="1:48" ht="16" x14ac:dyDescent="0.2">
      <c r="A42" s="23" t="s">
        <v>53</v>
      </c>
      <c r="B42" s="22"/>
      <c r="C42" s="24">
        <f>C39+C23+C10</f>
        <v>61649</v>
      </c>
      <c r="D42" s="24">
        <f t="shared" ref="D42:M42" si="1">D39+D23+D10</f>
        <v>0</v>
      </c>
      <c r="E42" s="24">
        <f t="shared" si="1"/>
        <v>12000</v>
      </c>
      <c r="F42" s="24">
        <f t="shared" si="1"/>
        <v>4733</v>
      </c>
      <c r="G42" s="24">
        <f t="shared" si="1"/>
        <v>211948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147536.64000000001</v>
      </c>
      <c r="O42" s="25">
        <f>SUM(C42:N42)</f>
        <v>437866.64</v>
      </c>
      <c r="P42" s="7"/>
      <c r="Q42" s="7"/>
      <c r="R42" s="7"/>
      <c r="S42" s="7" t="s">
        <v>34</v>
      </c>
      <c r="T42" s="20">
        <f>O31/1000</f>
        <v>6.86</v>
      </c>
      <c r="U42" s="14">
        <f>P31</f>
        <v>1.655321520868875E-2</v>
      </c>
    </row>
    <row r="43" spans="1:48" ht="16" x14ac:dyDescent="0.2">
      <c r="A43" s="23" t="s">
        <v>54</v>
      </c>
      <c r="B43" s="22"/>
      <c r="C43" s="17">
        <f t="shared" ref="C43:N43" si="2">C42/$O42</f>
        <v>0.14079400979257062</v>
      </c>
      <c r="D43" s="17">
        <f t="shared" si="2"/>
        <v>0</v>
      </c>
      <c r="E43" s="17">
        <f t="shared" si="2"/>
        <v>2.740560459230235E-2</v>
      </c>
      <c r="F43" s="17">
        <f t="shared" si="2"/>
        <v>1.0809227211280584E-2</v>
      </c>
      <c r="G43" s="17">
        <f t="shared" si="2"/>
        <v>0.48404692351077488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0.33694423489307157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232.36</v>
      </c>
      <c r="U43" s="15">
        <f>P32</f>
        <v>0.56068587257885094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51.595999999999997</v>
      </c>
      <c r="U44" s="15">
        <f>P34</f>
        <v>0.12450141281450505</v>
      </c>
    </row>
    <row r="45" spans="1:48" ht="16" x14ac:dyDescent="0.2">
      <c r="A45" s="6" t="s">
        <v>57</v>
      </c>
      <c r="B45" s="6">
        <f>B23-B39</f>
        <v>7484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10928.64</v>
      </c>
      <c r="O45" s="25">
        <f>B45+N45</f>
        <v>18412.64</v>
      </c>
      <c r="P45" s="7"/>
      <c r="Q45" s="7"/>
      <c r="R45" s="7"/>
      <c r="S45" s="7" t="s">
        <v>58</v>
      </c>
      <c r="T45" s="20">
        <f>SUM(T39:T44)</f>
        <v>414.42100000000005</v>
      </c>
      <c r="U45" s="14">
        <f>SUM(U39:U44)</f>
        <v>1</v>
      </c>
    </row>
    <row r="46" spans="1:48" ht="16" x14ac:dyDescent="0.2">
      <c r="A46" s="6"/>
      <c r="B46" s="5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ht="16" x14ac:dyDescent="0.2">
      <c r="A51" s="4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ht="16" x14ac:dyDescent="0.2">
      <c r="A52" s="4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ht="16" x14ac:dyDescent="0.2">
      <c r="A53" s="4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ht="16" x14ac:dyDescent="0.2">
      <c r="A54" s="4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27"/>
      <c r="Q55" s="27"/>
      <c r="R55" s="4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E56" s="9"/>
      <c r="F56" s="9"/>
      <c r="G56" s="9"/>
      <c r="H56" s="9"/>
      <c r="I56" s="9"/>
      <c r="J56" s="9"/>
      <c r="K56" s="9"/>
      <c r="L56" s="9"/>
      <c r="M56" s="27"/>
      <c r="N56" s="9"/>
      <c r="O56" s="9"/>
      <c r="P56" s="27"/>
      <c r="Q56" s="27"/>
      <c r="R56" s="4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E57" s="9"/>
      <c r="F57" s="16"/>
      <c r="G57" s="9"/>
      <c r="H57" s="9"/>
      <c r="I57" s="9"/>
      <c r="J57" s="9"/>
      <c r="K57" s="9"/>
      <c r="L57" s="9"/>
      <c r="M57" s="27"/>
      <c r="N57" s="9"/>
      <c r="O57" s="9"/>
      <c r="P57" s="27"/>
      <c r="Q57" s="27"/>
      <c r="R57" s="4"/>
      <c r="S57" s="7"/>
      <c r="T57" s="6"/>
      <c r="U57" s="31"/>
    </row>
    <row r="58" spans="1:48" ht="16" x14ac:dyDescent="0.2">
      <c r="A58" s="5"/>
      <c r="B58" s="7"/>
      <c r="C58" s="29"/>
      <c r="D58" s="29"/>
      <c r="E58" s="9"/>
      <c r="F58" s="16"/>
      <c r="G58" s="9"/>
      <c r="H58" s="9"/>
      <c r="I58" s="9"/>
      <c r="J58" s="9"/>
      <c r="K58" s="9"/>
      <c r="L58" s="9"/>
      <c r="M58" s="27"/>
      <c r="N58" s="9"/>
      <c r="O58" s="9"/>
      <c r="P58" s="27"/>
      <c r="Q58" s="27"/>
      <c r="R58" s="4"/>
      <c r="S58" s="7"/>
      <c r="T58" s="6"/>
      <c r="U58" s="31"/>
    </row>
    <row r="59" spans="1:48" ht="16" x14ac:dyDescent="0.2">
      <c r="A59" s="5"/>
      <c r="C59" s="6"/>
      <c r="D59" s="6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7"/>
      <c r="T59" s="6"/>
      <c r="U59" s="31"/>
    </row>
    <row r="60" spans="1:48" ht="16" x14ac:dyDescent="0.2">
      <c r="A60" s="5"/>
      <c r="B60" s="60"/>
      <c r="C60" s="6"/>
      <c r="D60" s="6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7"/>
      <c r="T60" s="6"/>
      <c r="U60" s="31"/>
    </row>
    <row r="61" spans="1:48" ht="16" x14ac:dyDescent="0.2">
      <c r="A61" s="5"/>
      <c r="B61" s="60"/>
      <c r="C61" s="6"/>
      <c r="D61" s="32"/>
      <c r="E61" s="29"/>
      <c r="F61" s="29"/>
      <c r="G61" s="29"/>
      <c r="H61" s="29"/>
      <c r="I61" s="29"/>
      <c r="J61" s="29"/>
      <c r="K61" s="29"/>
      <c r="L61" s="6"/>
      <c r="M61" s="30"/>
      <c r="N61" s="7"/>
      <c r="O61" s="6"/>
      <c r="P61" s="14"/>
      <c r="Q61" s="7"/>
      <c r="R61" s="7"/>
      <c r="S61" s="7"/>
      <c r="T61" s="32"/>
      <c r="U61" s="33"/>
    </row>
    <row r="62" spans="1:48" ht="16" x14ac:dyDescent="0.2">
      <c r="A62" s="5"/>
      <c r="B62" s="60"/>
      <c r="C62" s="6"/>
      <c r="E62" s="29"/>
      <c r="F62" s="29"/>
      <c r="G62" s="29"/>
      <c r="H62" s="29"/>
      <c r="I62" s="29"/>
      <c r="J62" s="29"/>
      <c r="K62" s="29"/>
      <c r="L62" s="6"/>
      <c r="M62" s="30"/>
      <c r="N62" s="7"/>
      <c r="O62" s="6"/>
      <c r="P62" s="14"/>
      <c r="Q62" s="7"/>
      <c r="R62" s="7"/>
      <c r="S62" s="7"/>
      <c r="T62" s="7"/>
      <c r="U62" s="6"/>
    </row>
    <row r="63" spans="1:48" ht="16" x14ac:dyDescent="0.2">
      <c r="A63" s="5"/>
      <c r="B63" s="60"/>
      <c r="C63" s="6"/>
      <c r="E63" s="7"/>
      <c r="F63" s="7"/>
      <c r="G63" s="7"/>
      <c r="H63" s="7"/>
      <c r="I63" s="7"/>
      <c r="J63" s="7"/>
      <c r="K63" s="7"/>
      <c r="L63" s="6"/>
      <c r="M63" s="30"/>
      <c r="N63" s="7"/>
      <c r="O63" s="6"/>
      <c r="P63" s="14"/>
      <c r="Q63" s="7"/>
      <c r="R63" s="7"/>
      <c r="S63" s="7"/>
      <c r="T63" s="34"/>
      <c r="U63" s="35"/>
    </row>
    <row r="64" spans="1:48" ht="16" x14ac:dyDescent="0.2">
      <c r="A64" s="5"/>
      <c r="B64" s="60"/>
      <c r="C64" s="6"/>
      <c r="D64" s="10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5"/>
      <c r="B65" s="60"/>
      <c r="C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C66" s="10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 enableFormatConditionsCalculation="0"/>
  <dimension ref="A1:AV70"/>
  <sheetViews>
    <sheetView topLeftCell="O19" workbookViewId="0">
      <selection activeCell="B44" sqref="B44"/>
    </sheetView>
  </sheetViews>
  <sheetFormatPr baseColWidth="10" defaultColWidth="8.83203125" defaultRowHeight="15" x14ac:dyDescent="0.2"/>
  <cols>
    <col min="1" max="1" width="21.5" style="2" customWidth="1"/>
    <col min="2" max="16" width="10.1640625" style="2" customWidth="1"/>
    <col min="17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64</v>
      </c>
      <c r="Q2" s="38"/>
      <c r="R2" s="8"/>
      <c r="AH2" s="38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70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38"/>
      <c r="R3" s="38"/>
      <c r="AH3" s="38"/>
      <c r="AI3" s="38"/>
    </row>
    <row r="4" spans="1:35" ht="15.75" x14ac:dyDescent="0.25">
      <c r="A4" s="5" t="s">
        <v>76</v>
      </c>
      <c r="B4" s="52">
        <f>1049*0.95</f>
        <v>996.55</v>
      </c>
      <c r="Q4" s="38"/>
      <c r="R4" s="38"/>
      <c r="AH4" s="38"/>
      <c r="AI4" s="38"/>
    </row>
    <row r="5" spans="1:35" ht="15.75" x14ac:dyDescent="0.25">
      <c r="A5" s="38"/>
      <c r="Q5" s="38"/>
      <c r="R5" s="38"/>
      <c r="AH5" s="38"/>
      <c r="AI5" s="38"/>
    </row>
    <row r="6" spans="1:35" ht="16" x14ac:dyDescent="0.2">
      <c r="A6" s="8" t="s">
        <v>12</v>
      </c>
      <c r="B6" s="46">
        <v>109894</v>
      </c>
      <c r="C6" s="46">
        <v>0</v>
      </c>
      <c r="D6" s="46">
        <v>0</v>
      </c>
      <c r="E6" s="46">
        <v>0</v>
      </c>
      <c r="F6" s="46">
        <v>0</v>
      </c>
      <c r="G6" s="56">
        <v>0</v>
      </c>
      <c r="H6" s="46">
        <v>0</v>
      </c>
      <c r="I6" s="46"/>
      <c r="J6" s="46"/>
      <c r="K6" s="46"/>
      <c r="L6" s="46"/>
      <c r="M6" s="46"/>
      <c r="N6" s="46"/>
      <c r="O6" s="56">
        <v>0</v>
      </c>
      <c r="Q6" s="38"/>
      <c r="R6" s="38"/>
      <c r="AH6" s="38"/>
      <c r="AI6" s="38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38"/>
      <c r="R7" s="38"/>
      <c r="AH7" s="38"/>
      <c r="AI7" s="38"/>
    </row>
    <row r="8" spans="1:35" ht="15.75" x14ac:dyDescent="0.25">
      <c r="A8" s="8" t="s">
        <v>14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38"/>
      <c r="R8" s="38"/>
      <c r="AH8" s="38"/>
      <c r="AI8" s="38"/>
    </row>
    <row r="9" spans="1:35" ht="15.75" x14ac:dyDescent="0.25">
      <c r="A9" s="8" t="s">
        <v>15</v>
      </c>
      <c r="B9" s="46">
        <v>90775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38"/>
      <c r="R9" s="38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38"/>
      <c r="AI9" s="38"/>
    </row>
    <row r="10" spans="1:35" ht="16" x14ac:dyDescent="0.2">
      <c r="A10" s="8" t="s">
        <v>16</v>
      </c>
      <c r="B10" s="56">
        <f>SUM(B4:B9)</f>
        <v>201665.55</v>
      </c>
      <c r="C10" s="46">
        <v>0</v>
      </c>
      <c r="D10" s="46">
        <v>0</v>
      </c>
      <c r="E10" s="46">
        <v>0</v>
      </c>
      <c r="F10" s="46">
        <v>0</v>
      </c>
      <c r="G10" s="56">
        <v>0</v>
      </c>
      <c r="H10" s="46">
        <v>0</v>
      </c>
      <c r="I10" s="46"/>
      <c r="J10" s="46"/>
      <c r="K10" s="46"/>
      <c r="L10" s="46"/>
      <c r="M10" s="46"/>
      <c r="N10" s="46"/>
      <c r="O10" s="56">
        <v>0</v>
      </c>
      <c r="P10" s="46"/>
      <c r="Q10" s="38"/>
      <c r="R10" s="38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38"/>
      <c r="AI10" s="38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64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70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56">
        <f>274921+90825</f>
        <v>365746</v>
      </c>
      <c r="C17" s="46">
        <v>308</v>
      </c>
      <c r="D17" s="46">
        <v>0</v>
      </c>
      <c r="E17" s="46">
        <v>0</v>
      </c>
      <c r="F17" s="46">
        <v>0</v>
      </c>
      <c r="G17" s="56">
        <f>317829+127547</f>
        <v>445376</v>
      </c>
      <c r="H17" s="46">
        <v>0</v>
      </c>
      <c r="I17" s="46"/>
      <c r="J17" s="46"/>
      <c r="K17" s="46"/>
      <c r="L17" s="46"/>
      <c r="M17" s="46"/>
      <c r="N17" s="46"/>
      <c r="O17" s="56">
        <f>SUM(C17:N17)</f>
        <v>445684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v>38227</v>
      </c>
      <c r="C18" s="46">
        <v>590</v>
      </c>
      <c r="D18" s="46">
        <v>0</v>
      </c>
      <c r="E18" s="46">
        <v>0</v>
      </c>
      <c r="F18" s="46">
        <v>0</v>
      </c>
      <c r="G18" s="46">
        <v>42931</v>
      </c>
      <c r="H18" s="46">
        <v>0</v>
      </c>
      <c r="I18" s="46"/>
      <c r="J18" s="46"/>
      <c r="K18" s="46"/>
      <c r="L18" s="46"/>
      <c r="M18" s="46"/>
      <c r="N18" s="46"/>
      <c r="O18" s="46">
        <v>43521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2184.8772800000002</v>
      </c>
      <c r="U21" s="3"/>
    </row>
    <row r="22" spans="1:21" ht="16" x14ac:dyDescent="0.2">
      <c r="A22" s="8" t="s">
        <v>25</v>
      </c>
      <c r="B22" s="5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v>403973</v>
      </c>
      <c r="C23" s="46">
        <v>898</v>
      </c>
      <c r="D23" s="46">
        <v>0</v>
      </c>
      <c r="E23" s="46">
        <v>0</v>
      </c>
      <c r="F23" s="46">
        <v>0</v>
      </c>
      <c r="G23" s="56">
        <f>SUM(G17:G22)</f>
        <v>488307</v>
      </c>
      <c r="H23" s="46">
        <v>0</v>
      </c>
      <c r="I23" s="46"/>
      <c r="J23" s="46"/>
      <c r="K23" s="46"/>
      <c r="L23" s="46"/>
      <c r="M23" s="46"/>
      <c r="N23" s="46"/>
      <c r="O23" s="56">
        <f>SUM(O17:O22)</f>
        <v>489205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496.84028000000001</v>
      </c>
      <c r="U24" s="14">
        <f>N43</f>
        <v>0.22739962768069058</v>
      </c>
    </row>
    <row r="25" spans="1:21" ht="16" x14ac:dyDescent="0.2">
      <c r="B25" s="5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70</v>
      </c>
      <c r="T25" s="13">
        <f>G42/1000</f>
        <v>597.40599999999995</v>
      </c>
      <c r="U25" s="15">
        <f>G43</f>
        <v>0.27342771398126303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75.366</v>
      </c>
      <c r="U27" s="14">
        <f>F43</f>
        <v>3.4494385881480717E-2</v>
      </c>
    </row>
    <row r="28" spans="1:21" ht="15.75" x14ac:dyDescent="0.25">
      <c r="A28" s="4" t="s">
        <v>64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1.55</v>
      </c>
      <c r="U28" s="14">
        <f>E43</f>
        <v>7.0942199554567195E-4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70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0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40">
        <f>K43</f>
        <v>0</v>
      </c>
    </row>
    <row r="31" spans="1:21" ht="15.75" x14ac:dyDescent="0.25">
      <c r="A31" s="8" t="s">
        <v>33</v>
      </c>
      <c r="B31" s="46">
        <v>0</v>
      </c>
      <c r="C31" s="46">
        <v>20921</v>
      </c>
      <c r="D31" s="46">
        <v>0</v>
      </c>
      <c r="E31" s="46">
        <v>0</v>
      </c>
      <c r="F31" s="46">
        <v>2120</v>
      </c>
      <c r="G31" s="46">
        <v>0</v>
      </c>
      <c r="H31" s="46">
        <v>0</v>
      </c>
      <c r="I31" s="46"/>
      <c r="J31" s="46"/>
      <c r="K31" s="46"/>
      <c r="L31" s="46"/>
      <c r="M31" s="38"/>
      <c r="N31" s="46">
        <v>24492</v>
      </c>
      <c r="O31" s="46">
        <v>47533</v>
      </c>
      <c r="P31" s="17">
        <f>O31/O$39</f>
        <v>2.2519675638593625E-2</v>
      </c>
      <c r="Q31" s="18" t="s">
        <v>34</v>
      </c>
      <c r="R31" s="3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46">
        <v>19370</v>
      </c>
      <c r="C32" s="46">
        <v>32482</v>
      </c>
      <c r="D32" s="46">
        <v>0</v>
      </c>
      <c r="E32" s="61">
        <v>1550</v>
      </c>
      <c r="F32" s="56">
        <v>1000</v>
      </c>
      <c r="G32" s="56">
        <f>O32-F32-N32-E32-C32-B32</f>
        <v>46479</v>
      </c>
      <c r="H32" s="46">
        <v>0</v>
      </c>
      <c r="I32" s="46"/>
      <c r="J32" s="46"/>
      <c r="K32" s="46"/>
      <c r="L32" s="46"/>
      <c r="M32" s="38"/>
      <c r="N32" s="46">
        <v>106967</v>
      </c>
      <c r="O32" s="46">
        <v>207848</v>
      </c>
      <c r="P32" s="17">
        <f>O32/O$39</f>
        <v>9.8471999287450984E-2</v>
      </c>
      <c r="Q32" s="18" t="s">
        <v>37</v>
      </c>
      <c r="R32" s="3"/>
      <c r="S32" s="3" t="s">
        <v>6</v>
      </c>
      <c r="T32" s="13">
        <f>H42/1000</f>
        <v>0</v>
      </c>
      <c r="U32" s="14">
        <f>H43</f>
        <v>0</v>
      </c>
    </row>
    <row r="33" spans="1:48" ht="15.75" x14ac:dyDescent="0.25">
      <c r="A33" s="8" t="s">
        <v>38</v>
      </c>
      <c r="B33" s="46">
        <v>93725</v>
      </c>
      <c r="C33" s="46">
        <v>1160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38"/>
      <c r="N33" s="46">
        <v>73899</v>
      </c>
      <c r="O33" s="46">
        <v>168784</v>
      </c>
      <c r="P33" s="17">
        <f>O33/O$39</f>
        <v>7.9964675761773643E-2</v>
      </c>
      <c r="Q33" s="18" t="s">
        <v>39</v>
      </c>
      <c r="R33" s="3"/>
      <c r="S33" s="3" t="s">
        <v>35</v>
      </c>
      <c r="T33" s="13">
        <f>C42/1000</f>
        <v>1013.715</v>
      </c>
      <c r="U33" s="15">
        <f>C43</f>
        <v>0.46396885046101988</v>
      </c>
    </row>
    <row r="34" spans="1:48" ht="15.75" x14ac:dyDescent="0.25">
      <c r="A34" s="8" t="s">
        <v>40</v>
      </c>
      <c r="B34" s="46">
        <v>0</v>
      </c>
      <c r="C34" s="46">
        <v>839227</v>
      </c>
      <c r="D34" s="46">
        <v>0</v>
      </c>
      <c r="E34" s="46">
        <v>0</v>
      </c>
      <c r="F34" s="46">
        <v>72246</v>
      </c>
      <c r="G34" s="46">
        <v>0</v>
      </c>
      <c r="H34" s="46">
        <v>0</v>
      </c>
      <c r="I34" s="46"/>
      <c r="J34" s="46"/>
      <c r="K34" s="46"/>
      <c r="L34" s="46"/>
      <c r="M34" s="38"/>
      <c r="N34" s="46">
        <v>1677</v>
      </c>
      <c r="O34" s="46">
        <v>913150</v>
      </c>
      <c r="P34" s="17">
        <f>O34/O$39</f>
        <v>0.43262242672210399</v>
      </c>
      <c r="Q34" s="18" t="s">
        <v>41</v>
      </c>
      <c r="R34" s="3"/>
      <c r="S34" s="3"/>
      <c r="T34" s="13">
        <f>SUM(T24:T33)</f>
        <v>2184.8772799999997</v>
      </c>
      <c r="U34" s="14">
        <f>SUM(U24:U33)</f>
        <v>0.99999999999999989</v>
      </c>
    </row>
    <row r="35" spans="1:48" ht="16" x14ac:dyDescent="0.2">
      <c r="A35" s="8" t="s">
        <v>42</v>
      </c>
      <c r="B35" s="46">
        <v>27805</v>
      </c>
      <c r="C35" s="46">
        <v>116984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38"/>
      <c r="N35" s="46">
        <v>172150</v>
      </c>
      <c r="O35" s="46">
        <v>316939</v>
      </c>
      <c r="P35" s="17">
        <f>O35/O$39</f>
        <v>0.15015596485010888</v>
      </c>
      <c r="Q35" s="18" t="s">
        <v>43</v>
      </c>
      <c r="R35" s="18"/>
    </row>
    <row r="36" spans="1:48" ht="16" x14ac:dyDescent="0.2">
      <c r="A36" s="8" t="s">
        <v>44</v>
      </c>
      <c r="B36" s="46">
        <v>27276</v>
      </c>
      <c r="C36" s="46">
        <v>1592</v>
      </c>
      <c r="D36" s="46">
        <v>0</v>
      </c>
      <c r="E36" s="46">
        <v>0</v>
      </c>
      <c r="F36" s="46">
        <v>0</v>
      </c>
      <c r="G36" s="46">
        <v>62620</v>
      </c>
      <c r="H36" s="46">
        <v>0</v>
      </c>
      <c r="I36" s="46"/>
      <c r="J36" s="46"/>
      <c r="K36" s="46"/>
      <c r="L36" s="46"/>
      <c r="M36" s="38"/>
      <c r="N36" s="46">
        <v>129618</v>
      </c>
      <c r="O36" s="46">
        <v>221106</v>
      </c>
      <c r="P36" s="18"/>
      <c r="Q36" s="18"/>
      <c r="R36" s="3"/>
      <c r="S36" s="7"/>
      <c r="T36" s="7"/>
      <c r="U36" s="7"/>
    </row>
    <row r="37" spans="1:48" ht="15.75" x14ac:dyDescent="0.25">
      <c r="A37" s="8" t="s">
        <v>45</v>
      </c>
      <c r="B37" s="46">
        <v>181933</v>
      </c>
      <c r="C37" s="46">
        <v>452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38"/>
      <c r="N37" s="46">
        <v>40622</v>
      </c>
      <c r="O37" s="46">
        <v>223007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38"/>
      <c r="N38" s="46">
        <v>12366</v>
      </c>
      <c r="O38" s="46">
        <v>12366</v>
      </c>
      <c r="P38" s="18">
        <f>SUM(P31:P35)</f>
        <v>0.78373474226003104</v>
      </c>
      <c r="Q38" s="18"/>
      <c r="R38" s="3"/>
      <c r="S38" s="7" t="s">
        <v>47</v>
      </c>
      <c r="T38" s="19">
        <f>O45/1000</f>
        <v>98.807280000000006</v>
      </c>
      <c r="U38" s="7"/>
    </row>
    <row r="39" spans="1:48" ht="16" x14ac:dyDescent="0.2">
      <c r="A39" s="8" t="s">
        <v>16</v>
      </c>
      <c r="B39" s="46">
        <v>350109</v>
      </c>
      <c r="C39" s="46">
        <v>1012817</v>
      </c>
      <c r="D39" s="46">
        <v>0</v>
      </c>
      <c r="E39" s="61">
        <f>SUM(E31:E38)</f>
        <v>1550</v>
      </c>
      <c r="F39" s="56">
        <f>SUM(F31:F38)</f>
        <v>75366</v>
      </c>
      <c r="G39" s="56">
        <f>SUM(G31:G38)</f>
        <v>109099</v>
      </c>
      <c r="H39" s="46">
        <v>0</v>
      </c>
      <c r="I39" s="46"/>
      <c r="J39" s="46"/>
      <c r="K39" s="46"/>
      <c r="L39" s="46"/>
      <c r="M39" s="38"/>
      <c r="N39" s="46">
        <v>561791</v>
      </c>
      <c r="O39" s="46">
        <v>2110732</v>
      </c>
      <c r="P39" s="3"/>
      <c r="Q39" s="3"/>
      <c r="R39" s="3"/>
      <c r="S39" s="7" t="s">
        <v>48</v>
      </c>
      <c r="T39" s="20">
        <f>O41/1000</f>
        <v>456.47899999999998</v>
      </c>
      <c r="U39" s="14">
        <f>P41</f>
        <v>0.2162657315092584</v>
      </c>
    </row>
    <row r="40" spans="1:48" x14ac:dyDescent="0.2">
      <c r="I40" s="10"/>
      <c r="S40" s="7" t="s">
        <v>49</v>
      </c>
      <c r="T40" s="20">
        <f>O35/1000</f>
        <v>316.93900000000002</v>
      </c>
      <c r="U40" s="15">
        <f>P35</f>
        <v>0.15015596485010888</v>
      </c>
    </row>
    <row r="41" spans="1:48" ht="16" x14ac:dyDescent="0.2">
      <c r="A41" s="21" t="s">
        <v>50</v>
      </c>
      <c r="B41" s="22">
        <f>B38+B37+B36</f>
        <v>209209</v>
      </c>
      <c r="C41" s="22">
        <f t="shared" ref="C41:O41" si="0">C38+C37+C36</f>
        <v>2044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62620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182606</v>
      </c>
      <c r="O41" s="22">
        <f t="shared" si="0"/>
        <v>456479</v>
      </c>
      <c r="P41" s="17">
        <f>O41/O$39</f>
        <v>0.2162657315092584</v>
      </c>
      <c r="Q41" s="17" t="s">
        <v>51</v>
      </c>
      <c r="R41" s="7"/>
      <c r="S41" s="7" t="s">
        <v>52</v>
      </c>
      <c r="T41" s="20">
        <f>O33/1000</f>
        <v>168.78399999999999</v>
      </c>
      <c r="U41" s="14">
        <f>P33</f>
        <v>7.9964675761773643E-2</v>
      </c>
    </row>
    <row r="42" spans="1:48" ht="16" x14ac:dyDescent="0.2">
      <c r="A42" s="23" t="s">
        <v>53</v>
      </c>
      <c r="B42" s="22"/>
      <c r="C42" s="24">
        <f>C39+C23+C10</f>
        <v>1013715</v>
      </c>
      <c r="D42" s="24">
        <f t="shared" ref="D42:M42" si="1">D39+D23+D10</f>
        <v>0</v>
      </c>
      <c r="E42" s="24">
        <f t="shared" si="1"/>
        <v>1550</v>
      </c>
      <c r="F42" s="24">
        <f t="shared" si="1"/>
        <v>75366</v>
      </c>
      <c r="G42" s="24">
        <f t="shared" si="1"/>
        <v>597406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496840.28</v>
      </c>
      <c r="O42" s="25">
        <f>SUM(C42:N42)</f>
        <v>2184877.2800000003</v>
      </c>
      <c r="P42" s="7"/>
      <c r="Q42" s="7"/>
      <c r="R42" s="7"/>
      <c r="S42" s="7" t="s">
        <v>34</v>
      </c>
      <c r="T42" s="20">
        <f>O31/1000</f>
        <v>47.533000000000001</v>
      </c>
      <c r="U42" s="14">
        <f>P31</f>
        <v>2.2519675638593625E-2</v>
      </c>
    </row>
    <row r="43" spans="1:48" ht="16" x14ac:dyDescent="0.2">
      <c r="A43" s="23" t="s">
        <v>54</v>
      </c>
      <c r="B43" s="22"/>
      <c r="C43" s="17">
        <f t="shared" ref="C43:N43" si="2">C42/$O42</f>
        <v>0.46396885046101988</v>
      </c>
      <c r="D43" s="17">
        <f t="shared" si="2"/>
        <v>0</v>
      </c>
      <c r="E43" s="17">
        <f t="shared" si="2"/>
        <v>7.0942199554567195E-4</v>
      </c>
      <c r="F43" s="17">
        <f t="shared" si="2"/>
        <v>3.4494385881480717E-2</v>
      </c>
      <c r="G43" s="17">
        <f t="shared" si="2"/>
        <v>0.27342771398126303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0.22739962768069058</v>
      </c>
      <c r="O43" s="17">
        <f>SUM(C43:N43)</f>
        <v>0.99999999999999989</v>
      </c>
      <c r="P43" s="7"/>
      <c r="Q43" s="7"/>
      <c r="R43" s="7"/>
      <c r="S43" s="7" t="s">
        <v>55</v>
      </c>
      <c r="T43" s="20">
        <f>O32/1000</f>
        <v>207.84800000000001</v>
      </c>
      <c r="U43" s="15">
        <f>P32</f>
        <v>9.8471999287450984E-2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913.15</v>
      </c>
      <c r="U44" s="15">
        <f>P34</f>
        <v>0.43262242672210399</v>
      </c>
    </row>
    <row r="45" spans="1:48" ht="16" x14ac:dyDescent="0.2">
      <c r="A45" s="6" t="s">
        <v>57</v>
      </c>
      <c r="B45" s="6">
        <f>B23-B39</f>
        <v>53864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44943.28</v>
      </c>
      <c r="O45" s="25">
        <f>B45+N45</f>
        <v>98807.28</v>
      </c>
      <c r="P45" s="7"/>
      <c r="Q45" s="7"/>
      <c r="R45" s="7"/>
      <c r="S45" s="7" t="s">
        <v>58</v>
      </c>
      <c r="T45" s="20">
        <f>SUM(T39:T44)</f>
        <v>2110.7330000000002</v>
      </c>
      <c r="U45" s="14">
        <f>SUM(U39:U44)</f>
        <v>1.0000004737692896</v>
      </c>
    </row>
    <row r="46" spans="1:48" ht="16" x14ac:dyDescent="0.2">
      <c r="A46" s="6"/>
      <c r="B46" s="5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ht="16" x14ac:dyDescent="0.2">
      <c r="A50" s="4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ht="16" x14ac:dyDescent="0.2">
      <c r="A51" s="4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ht="16" x14ac:dyDescent="0.2">
      <c r="A52" s="4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ht="16" x14ac:dyDescent="0.2">
      <c r="A53" s="4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27"/>
      <c r="Q54" s="27"/>
      <c r="R54" s="4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E55" s="9"/>
      <c r="F55" s="9"/>
      <c r="G55" s="9"/>
      <c r="H55" s="9"/>
      <c r="I55" s="9"/>
      <c r="J55" s="9"/>
      <c r="K55" s="9"/>
      <c r="L55" s="9"/>
      <c r="M55" s="27"/>
      <c r="N55" s="9"/>
      <c r="O55" s="9"/>
      <c r="P55" s="27"/>
      <c r="Q55" s="27"/>
      <c r="R55" s="4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E56" s="9"/>
      <c r="F56" s="16"/>
      <c r="G56" s="9"/>
      <c r="H56" s="9"/>
      <c r="I56" s="9"/>
      <c r="J56" s="9"/>
      <c r="K56" s="9"/>
      <c r="L56" s="9"/>
      <c r="M56" s="27"/>
      <c r="N56" s="9"/>
      <c r="O56" s="9"/>
      <c r="P56" s="27"/>
      <c r="Q56" s="27"/>
      <c r="R56" s="4"/>
      <c r="S56" s="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5"/>
      <c r="B57" s="7"/>
      <c r="C57" s="29"/>
      <c r="D57" s="29"/>
      <c r="E57" s="9"/>
      <c r="F57" s="16"/>
      <c r="G57" s="9"/>
      <c r="H57" s="9"/>
      <c r="I57" s="9"/>
      <c r="J57" s="9"/>
      <c r="K57" s="9"/>
      <c r="L57" s="9"/>
      <c r="M57" s="27"/>
      <c r="N57" s="9"/>
      <c r="O57" s="9"/>
      <c r="P57" s="27"/>
      <c r="Q57" s="27"/>
      <c r="R57" s="4"/>
      <c r="S57" s="7"/>
      <c r="T57" s="6"/>
      <c r="U57" s="31"/>
    </row>
    <row r="58" spans="1:48" ht="16" x14ac:dyDescent="0.2">
      <c r="A58" s="5"/>
      <c r="C58" s="6"/>
      <c r="D58" s="6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4"/>
      <c r="Q58" s="7"/>
      <c r="R58" s="7"/>
      <c r="S58" s="7"/>
      <c r="T58" s="6"/>
      <c r="U58" s="31"/>
    </row>
    <row r="59" spans="1:48" ht="16" x14ac:dyDescent="0.2">
      <c r="A59" s="5"/>
      <c r="B59" s="60"/>
      <c r="C59" s="6"/>
      <c r="D59" s="6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7"/>
      <c r="T59" s="6"/>
      <c r="U59" s="31"/>
    </row>
    <row r="60" spans="1:48" ht="16" x14ac:dyDescent="0.2">
      <c r="A60" s="5"/>
      <c r="B60" s="60"/>
      <c r="C60" s="6"/>
      <c r="D60" s="32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7"/>
      <c r="T60" s="6"/>
      <c r="U60" s="31"/>
    </row>
    <row r="61" spans="1:48" ht="16" x14ac:dyDescent="0.2">
      <c r="A61" s="5"/>
      <c r="B61" s="60"/>
      <c r="C61" s="6"/>
      <c r="E61" s="29"/>
      <c r="F61" s="29"/>
      <c r="G61" s="29"/>
      <c r="H61" s="29"/>
      <c r="I61" s="29"/>
      <c r="J61" s="29"/>
      <c r="K61" s="29"/>
      <c r="L61" s="6"/>
      <c r="M61" s="30"/>
      <c r="N61" s="7"/>
      <c r="O61" s="6"/>
      <c r="P61" s="14"/>
      <c r="Q61" s="7"/>
      <c r="R61" s="7"/>
      <c r="S61" s="7"/>
      <c r="T61" s="32"/>
      <c r="U61" s="33"/>
    </row>
    <row r="62" spans="1:48" ht="16" x14ac:dyDescent="0.2">
      <c r="A62" s="5"/>
      <c r="B62" s="60"/>
      <c r="C62" s="6"/>
      <c r="E62" s="7"/>
      <c r="F62" s="7"/>
      <c r="G62" s="7"/>
      <c r="H62" s="7"/>
      <c r="I62" s="7"/>
      <c r="J62" s="7"/>
      <c r="K62" s="7"/>
      <c r="L62" s="6"/>
      <c r="M62" s="30"/>
      <c r="N62" s="7"/>
      <c r="O62" s="6"/>
      <c r="P62" s="14"/>
      <c r="Q62" s="7"/>
      <c r="R62" s="7"/>
      <c r="S62" s="7"/>
      <c r="T62" s="7"/>
      <c r="U62" s="6"/>
    </row>
    <row r="63" spans="1:48" ht="16" x14ac:dyDescent="0.2">
      <c r="A63" s="5"/>
      <c r="B63" s="60"/>
      <c r="C63" s="6"/>
      <c r="D63" s="10"/>
      <c r="E63" s="6"/>
      <c r="F63" s="6"/>
      <c r="G63" s="6"/>
      <c r="H63" s="6"/>
      <c r="I63" s="6"/>
      <c r="J63" s="7"/>
      <c r="K63" s="7"/>
      <c r="L63" s="7"/>
      <c r="M63" s="7"/>
      <c r="N63" s="7"/>
      <c r="O63" s="7"/>
      <c r="P63" s="6"/>
      <c r="Q63" s="30"/>
      <c r="R63" s="7"/>
      <c r="S63" s="7"/>
      <c r="T63" s="34"/>
      <c r="U63" s="35"/>
    </row>
    <row r="64" spans="1:48" ht="16" x14ac:dyDescent="0.2">
      <c r="A64" s="5"/>
      <c r="B64" s="60"/>
      <c r="C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C65" s="10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 enableFormatConditionsCalculation="0"/>
  <dimension ref="A1:AV70"/>
  <sheetViews>
    <sheetView topLeftCell="O19" workbookViewId="0">
      <selection activeCell="B44" sqref="B44"/>
    </sheetView>
  </sheetViews>
  <sheetFormatPr baseColWidth="10" defaultColWidth="8.83203125" defaultRowHeight="15" x14ac:dyDescent="0.2"/>
  <cols>
    <col min="1" max="1" width="21.5" style="2" customWidth="1"/>
    <col min="2" max="16" width="10.1640625" style="2" customWidth="1"/>
    <col min="17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65</v>
      </c>
      <c r="Q2" s="38"/>
      <c r="R2" s="8"/>
      <c r="AH2" s="38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70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38"/>
      <c r="R3" s="38"/>
      <c r="AH3" s="38"/>
      <c r="AI3" s="38"/>
    </row>
    <row r="4" spans="1:35" ht="15.75" x14ac:dyDescent="0.25">
      <c r="A4" s="5" t="s">
        <v>76</v>
      </c>
      <c r="B4" s="52">
        <f>103*0.95</f>
        <v>97.85</v>
      </c>
      <c r="Q4" s="38"/>
      <c r="R4" s="38"/>
      <c r="AH4" s="38"/>
      <c r="AI4" s="38"/>
    </row>
    <row r="5" spans="1:35" ht="15.75" x14ac:dyDescent="0.25">
      <c r="A5" s="38"/>
      <c r="Q5" s="38"/>
      <c r="R5" s="38"/>
      <c r="AH5" s="38"/>
      <c r="AI5" s="38"/>
    </row>
    <row r="6" spans="1:35" ht="16" x14ac:dyDescent="0.2">
      <c r="A6" s="8" t="s">
        <v>12</v>
      </c>
      <c r="B6" s="46">
        <v>4629</v>
      </c>
      <c r="C6" s="56">
        <v>0</v>
      </c>
      <c r="D6" s="46">
        <v>0</v>
      </c>
      <c r="E6" s="46">
        <v>0</v>
      </c>
      <c r="F6" s="46">
        <v>0</v>
      </c>
      <c r="G6" s="56">
        <v>0</v>
      </c>
      <c r="H6" s="46">
        <v>0</v>
      </c>
      <c r="I6" s="46"/>
      <c r="J6" s="46"/>
      <c r="K6" s="46"/>
      <c r="L6" s="46"/>
      <c r="M6" s="46"/>
      <c r="N6" s="46"/>
      <c r="O6" s="56">
        <v>0</v>
      </c>
      <c r="Q6" s="38"/>
      <c r="R6" s="38"/>
      <c r="AH6" s="38"/>
      <c r="AI6" s="38"/>
    </row>
    <row r="7" spans="1:35" ht="16" x14ac:dyDescent="0.2">
      <c r="A7" s="8" t="s">
        <v>13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/>
      <c r="J7" s="46"/>
      <c r="K7" s="46"/>
      <c r="L7" s="46"/>
      <c r="M7" s="46"/>
      <c r="N7" s="46"/>
      <c r="O7" s="46">
        <v>0</v>
      </c>
      <c r="P7" s="46"/>
      <c r="Q7" s="38"/>
      <c r="R7" s="38"/>
      <c r="AH7" s="38"/>
      <c r="AI7" s="38"/>
    </row>
    <row r="8" spans="1:35" ht="15.75" x14ac:dyDescent="0.25">
      <c r="A8" s="8" t="s">
        <v>14</v>
      </c>
      <c r="B8" s="46">
        <v>3931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/>
      <c r="J8" s="46"/>
      <c r="K8" s="46"/>
      <c r="L8" s="46"/>
      <c r="M8" s="46"/>
      <c r="N8" s="46"/>
      <c r="O8" s="46">
        <v>0</v>
      </c>
      <c r="P8" s="46"/>
      <c r="Q8" s="38"/>
      <c r="R8" s="38"/>
      <c r="AH8" s="38"/>
      <c r="AI8" s="38"/>
    </row>
    <row r="9" spans="1:35" ht="15.75" x14ac:dyDescent="0.25">
      <c r="A9" s="8" t="s">
        <v>15</v>
      </c>
      <c r="B9" s="54">
        <v>128687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/>
      <c r="J9" s="46"/>
      <c r="K9" s="46"/>
      <c r="L9" s="46"/>
      <c r="M9" s="46"/>
      <c r="N9" s="46"/>
      <c r="O9" s="46">
        <v>0</v>
      </c>
      <c r="P9" s="46"/>
      <c r="Q9" s="38"/>
      <c r="R9" s="38"/>
      <c r="S9" s="8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38"/>
      <c r="AI9" s="38"/>
    </row>
    <row r="10" spans="1:35" ht="16" x14ac:dyDescent="0.2">
      <c r="A10" s="8" t="s">
        <v>16</v>
      </c>
      <c r="B10" s="65">
        <f>SUM(B4:B9)</f>
        <v>137344.85</v>
      </c>
      <c r="C10" s="56">
        <v>0</v>
      </c>
      <c r="D10" s="46">
        <v>0</v>
      </c>
      <c r="E10" s="46">
        <v>0</v>
      </c>
      <c r="F10" s="46">
        <v>0</v>
      </c>
      <c r="G10" s="56">
        <v>0</v>
      </c>
      <c r="H10" s="46">
        <v>0</v>
      </c>
      <c r="I10" s="46"/>
      <c r="J10" s="46"/>
      <c r="K10" s="46"/>
      <c r="L10" s="46"/>
      <c r="M10" s="46"/>
      <c r="N10" s="46"/>
      <c r="O10" s="56">
        <v>0</v>
      </c>
      <c r="P10" s="46"/>
      <c r="Q10" s="38"/>
      <c r="R10" s="38"/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38"/>
      <c r="AI10" s="38"/>
    </row>
    <row r="11" spans="1:35" ht="15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3"/>
      <c r="S11" s="3"/>
      <c r="T11" s="3"/>
      <c r="U11" s="3"/>
    </row>
    <row r="12" spans="1:35" ht="15.7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3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ht="15.75" x14ac:dyDescent="0.25">
      <c r="A14" s="4" t="s">
        <v>65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73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10" t="s">
        <v>11</v>
      </c>
      <c r="P15" s="3"/>
      <c r="Q15" s="3"/>
      <c r="R15" s="3"/>
      <c r="S15" s="3"/>
      <c r="T15" s="3"/>
      <c r="U15" s="3"/>
    </row>
    <row r="16" spans="1:35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ht="16" x14ac:dyDescent="0.2">
      <c r="A17" s="8" t="s">
        <v>20</v>
      </c>
      <c r="B17" s="46">
        <v>134478</v>
      </c>
      <c r="C17" s="56">
        <f>2169+2104</f>
        <v>4273</v>
      </c>
      <c r="D17" s="46">
        <v>0</v>
      </c>
      <c r="E17" s="46">
        <v>0</v>
      </c>
      <c r="F17" s="46">
        <v>0</v>
      </c>
      <c r="G17" s="56">
        <f>164614+4045</f>
        <v>168659</v>
      </c>
      <c r="H17" s="46">
        <v>0</v>
      </c>
      <c r="I17" s="46"/>
      <c r="J17" s="46"/>
      <c r="K17" s="46"/>
      <c r="L17" s="46"/>
      <c r="M17" s="46"/>
      <c r="N17" s="46"/>
      <c r="O17" s="56">
        <f>SUM(C17:N17)</f>
        <v>172932</v>
      </c>
      <c r="P17" s="3"/>
      <c r="Q17" s="3"/>
      <c r="R17" s="3"/>
      <c r="S17" s="3"/>
      <c r="T17" s="3"/>
      <c r="U17" s="3"/>
    </row>
    <row r="18" spans="1:21" ht="16" x14ac:dyDescent="0.2">
      <c r="A18" s="8" t="s">
        <v>21</v>
      </c>
      <c r="B18" s="46">
        <v>6445</v>
      </c>
      <c r="C18" s="46">
        <v>677</v>
      </c>
      <c r="D18" s="46">
        <v>0</v>
      </c>
      <c r="E18" s="46">
        <v>0</v>
      </c>
      <c r="F18" s="46">
        <v>0</v>
      </c>
      <c r="G18" s="46">
        <v>7434</v>
      </c>
      <c r="H18" s="46">
        <v>0</v>
      </c>
      <c r="I18" s="46"/>
      <c r="J18" s="46"/>
      <c r="K18" s="46"/>
      <c r="L18" s="46"/>
      <c r="M18" s="46"/>
      <c r="N18" s="46"/>
      <c r="O18" s="46">
        <v>8111</v>
      </c>
      <c r="P18" s="3"/>
      <c r="Q18" s="3"/>
      <c r="R18" s="3"/>
      <c r="S18" s="3"/>
      <c r="T18" s="3"/>
      <c r="U18" s="3"/>
    </row>
    <row r="19" spans="1:21" ht="15.75" x14ac:dyDescent="0.25">
      <c r="A19" s="8" t="s">
        <v>22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/>
      <c r="J19" s="46"/>
      <c r="K19" s="46"/>
      <c r="L19" s="46"/>
      <c r="M19" s="46"/>
      <c r="N19" s="46"/>
      <c r="O19" s="46">
        <v>0</v>
      </c>
      <c r="P19" s="3"/>
      <c r="Q19" s="3"/>
      <c r="R19" s="3"/>
      <c r="S19" s="3"/>
      <c r="T19" s="3"/>
      <c r="U19" s="3"/>
    </row>
    <row r="20" spans="1:21" ht="16" x14ac:dyDescent="0.2">
      <c r="A20" s="8" t="s">
        <v>23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/>
      <c r="J20" s="46"/>
      <c r="K20" s="46"/>
      <c r="L20" s="46"/>
      <c r="M20" s="46"/>
      <c r="N20" s="46"/>
      <c r="O20" s="46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/>
      <c r="J21" s="46"/>
      <c r="K21" s="46"/>
      <c r="L21" s="46"/>
      <c r="M21" s="46"/>
      <c r="N21" s="46"/>
      <c r="O21" s="46">
        <v>0</v>
      </c>
      <c r="P21" s="3"/>
      <c r="Q21" s="3"/>
      <c r="R21" s="3"/>
      <c r="S21" s="3" t="s">
        <v>26</v>
      </c>
      <c r="T21" s="12">
        <f>O42/1000</f>
        <v>713.10208000000011</v>
      </c>
      <c r="U21" s="3"/>
    </row>
    <row r="22" spans="1:21" ht="16" x14ac:dyDescent="0.2">
      <c r="A22" s="8" t="s">
        <v>25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/>
      <c r="J22" s="46"/>
      <c r="K22" s="46"/>
      <c r="L22" s="46"/>
      <c r="M22" s="46"/>
      <c r="N22" s="46"/>
      <c r="O22" s="46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46">
        <f>SUM(B17:B22)</f>
        <v>140923</v>
      </c>
      <c r="C23" s="56">
        <f>SUM(C17:C22)</f>
        <v>4950</v>
      </c>
      <c r="D23" s="46">
        <v>0</v>
      </c>
      <c r="E23" s="46">
        <v>0</v>
      </c>
      <c r="F23" s="46">
        <v>0</v>
      </c>
      <c r="G23" s="56">
        <f>SUM(G17:G22)</f>
        <v>176093</v>
      </c>
      <c r="H23" s="46">
        <v>0</v>
      </c>
      <c r="I23" s="46"/>
      <c r="J23" s="46"/>
      <c r="K23" s="46"/>
      <c r="L23" s="46"/>
      <c r="M23" s="46"/>
      <c r="N23" s="46"/>
      <c r="O23" s="56">
        <f>SUM(O17:O22)</f>
        <v>181043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"/>
      <c r="Q24" s="3"/>
      <c r="R24" s="3"/>
      <c r="S24" s="3" t="s">
        <v>10</v>
      </c>
      <c r="T24" s="13">
        <f>N42/1000</f>
        <v>227.59908000000001</v>
      </c>
      <c r="U24" s="14">
        <f>N43</f>
        <v>0.3191676008012766</v>
      </c>
    </row>
    <row r="25" spans="1:21" ht="16" x14ac:dyDescent="0.2">
      <c r="B25" s="5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70</v>
      </c>
      <c r="T25" s="13">
        <f>G42/1000</f>
        <v>283.084</v>
      </c>
      <c r="U25" s="15">
        <f>G43</f>
        <v>0.39697542321009632</v>
      </c>
    </row>
    <row r="26" spans="1:21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3"/>
      <c r="Q27" s="3"/>
      <c r="R27" s="3"/>
      <c r="S27" s="3" t="s">
        <v>31</v>
      </c>
      <c r="T27" s="13">
        <f>F42/1000</f>
        <v>12.535</v>
      </c>
      <c r="U27" s="14">
        <f>F43</f>
        <v>1.7578128505809434E-2</v>
      </c>
    </row>
    <row r="28" spans="1:21" ht="15.75" x14ac:dyDescent="0.25">
      <c r="A28" s="4" t="s">
        <v>65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"/>
      <c r="Q28" s="3"/>
      <c r="R28" s="3"/>
      <c r="S28" s="3" t="s">
        <v>4</v>
      </c>
      <c r="T28" s="12">
        <f>E42/1000</f>
        <v>12.69</v>
      </c>
      <c r="U28" s="14">
        <f>E43</f>
        <v>1.7795488690763597E-2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70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0">
        <f>D43</f>
        <v>0</v>
      </c>
    </row>
    <row r="30" spans="1:21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"/>
      <c r="Q30" s="3"/>
      <c r="R30" s="3"/>
      <c r="S30" s="2" t="s">
        <v>8</v>
      </c>
      <c r="T30" s="2">
        <f>K42/1000</f>
        <v>0</v>
      </c>
      <c r="U30" s="40">
        <f>K43</f>
        <v>0</v>
      </c>
    </row>
    <row r="31" spans="1:21" ht="15.75" x14ac:dyDescent="0.25">
      <c r="A31" s="8" t="s">
        <v>33</v>
      </c>
      <c r="B31" s="46">
        <v>0</v>
      </c>
      <c r="C31" s="46">
        <v>9848</v>
      </c>
      <c r="D31" s="46">
        <v>0</v>
      </c>
      <c r="E31" s="46">
        <v>0</v>
      </c>
      <c r="F31" s="46">
        <v>994</v>
      </c>
      <c r="G31" s="46">
        <v>0</v>
      </c>
      <c r="H31" s="46">
        <v>0</v>
      </c>
      <c r="I31" s="46"/>
      <c r="J31" s="46"/>
      <c r="K31" s="46"/>
      <c r="L31" s="46"/>
      <c r="M31" s="38"/>
      <c r="N31" s="46">
        <v>8755</v>
      </c>
      <c r="O31" s="46">
        <v>19597</v>
      </c>
      <c r="P31" s="17">
        <f>O31/O$39</f>
        <v>2.9900185226437032E-2</v>
      </c>
      <c r="Q31" s="18" t="s">
        <v>34</v>
      </c>
      <c r="R31" s="3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57">
        <f>11100+41579</f>
        <v>52679</v>
      </c>
      <c r="C32" s="46">
        <v>10643</v>
      </c>
      <c r="D32" s="46">
        <v>0</v>
      </c>
      <c r="E32" s="56">
        <v>12690</v>
      </c>
      <c r="F32" s="46">
        <v>0</v>
      </c>
      <c r="G32" s="56">
        <f>O32-N32-E32-C32-B32</f>
        <v>50705</v>
      </c>
      <c r="H32" s="46">
        <v>0</v>
      </c>
      <c r="I32" s="46"/>
      <c r="J32" s="46"/>
      <c r="K32" s="46"/>
      <c r="L32" s="46"/>
      <c r="M32" s="38"/>
      <c r="N32" s="46">
        <v>98189</v>
      </c>
      <c r="O32" s="56">
        <f>183327+41579</f>
        <v>224906</v>
      </c>
      <c r="P32" s="17">
        <f>O32/O$39</f>
        <v>0.34315104651411171</v>
      </c>
      <c r="Q32" s="18" t="s">
        <v>37</v>
      </c>
      <c r="R32" s="3"/>
      <c r="S32" s="3" t="s">
        <v>6</v>
      </c>
      <c r="T32" s="13">
        <f>H42/1000</f>
        <v>0</v>
      </c>
      <c r="U32" s="14">
        <f>H43</f>
        <v>0</v>
      </c>
    </row>
    <row r="33" spans="1:48" ht="15.75" x14ac:dyDescent="0.25">
      <c r="A33" s="8" t="s">
        <v>38</v>
      </c>
      <c r="B33" s="57">
        <f>94350-B37-B36-B32+41579</f>
        <v>10750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/>
      <c r="J33" s="46"/>
      <c r="K33" s="46"/>
      <c r="L33" s="46"/>
      <c r="M33" s="38"/>
      <c r="N33" s="46">
        <v>17011</v>
      </c>
      <c r="O33" s="56">
        <f>SUM(B33:N33)</f>
        <v>27761</v>
      </c>
      <c r="P33" s="17">
        <f>O33/O$39</f>
        <v>4.2356434253769372E-2</v>
      </c>
      <c r="Q33" s="18" t="s">
        <v>39</v>
      </c>
      <c r="R33" s="3"/>
      <c r="S33" s="3" t="s">
        <v>35</v>
      </c>
      <c r="T33" s="13">
        <f>C42/1000</f>
        <v>177.19399999999999</v>
      </c>
      <c r="U33" s="15">
        <f>C43</f>
        <v>0.24848335879205399</v>
      </c>
    </row>
    <row r="34" spans="1:48" ht="15.75" x14ac:dyDescent="0.25">
      <c r="A34" s="8" t="s">
        <v>40</v>
      </c>
      <c r="B34" s="46">
        <v>0</v>
      </c>
      <c r="C34" s="46">
        <v>149928</v>
      </c>
      <c r="D34" s="46">
        <v>0</v>
      </c>
      <c r="E34" s="46">
        <v>0</v>
      </c>
      <c r="F34" s="46">
        <v>11541</v>
      </c>
      <c r="G34" s="46">
        <v>0</v>
      </c>
      <c r="H34" s="46">
        <v>0</v>
      </c>
      <c r="I34" s="46"/>
      <c r="J34" s="46"/>
      <c r="K34" s="46"/>
      <c r="L34" s="46"/>
      <c r="M34" s="38"/>
      <c r="N34" s="46">
        <v>48</v>
      </c>
      <c r="O34" s="46">
        <v>161516</v>
      </c>
      <c r="P34" s="17">
        <f>O34/O$39</f>
        <v>0.24643355192290675</v>
      </c>
      <c r="Q34" s="18" t="s">
        <v>41</v>
      </c>
      <c r="R34" s="3"/>
      <c r="S34" s="3"/>
      <c r="T34" s="13">
        <f>SUM(T24:T33)</f>
        <v>713.10208</v>
      </c>
      <c r="U34" s="14">
        <f>SUM(U24:U33)</f>
        <v>0.99999999999999989</v>
      </c>
    </row>
    <row r="35" spans="1:48" ht="16" x14ac:dyDescent="0.2">
      <c r="A35" s="8" t="s">
        <v>42</v>
      </c>
      <c r="B35" s="46">
        <v>0</v>
      </c>
      <c r="C35" s="46">
        <v>1235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/>
      <c r="J35" s="46"/>
      <c r="K35" s="46"/>
      <c r="L35" s="46"/>
      <c r="M35" s="38"/>
      <c r="N35" s="46">
        <v>25143</v>
      </c>
      <c r="O35" s="46">
        <v>26378</v>
      </c>
      <c r="P35" s="17">
        <f>O35/O$39</f>
        <v>4.0246317594680614E-2</v>
      </c>
      <c r="Q35" s="18" t="s">
        <v>43</v>
      </c>
      <c r="R35" s="18"/>
    </row>
    <row r="36" spans="1:48" ht="16" x14ac:dyDescent="0.2">
      <c r="A36" s="8" t="s">
        <v>44</v>
      </c>
      <c r="B36" s="52">
        <v>16300</v>
      </c>
      <c r="C36" s="46">
        <v>590</v>
      </c>
      <c r="D36" s="46">
        <v>0</v>
      </c>
      <c r="E36" s="46">
        <v>0</v>
      </c>
      <c r="F36" s="46">
        <v>0</v>
      </c>
      <c r="G36" s="46">
        <v>56286</v>
      </c>
      <c r="H36" s="46">
        <v>0</v>
      </c>
      <c r="I36" s="46"/>
      <c r="J36" s="46"/>
      <c r="K36" s="46"/>
      <c r="L36" s="46"/>
      <c r="M36" s="38"/>
      <c r="N36" s="46">
        <v>52626</v>
      </c>
      <c r="O36" s="56">
        <f>SUM(B36:N36)</f>
        <v>125802</v>
      </c>
      <c r="P36" s="18"/>
      <c r="Q36" s="18"/>
      <c r="R36" s="3"/>
      <c r="S36" s="7"/>
      <c r="T36" s="7"/>
      <c r="U36" s="7"/>
    </row>
    <row r="37" spans="1:48" ht="15.75" x14ac:dyDescent="0.25">
      <c r="A37" s="8" t="s">
        <v>45</v>
      </c>
      <c r="B37" s="52">
        <v>56200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/>
      <c r="J37" s="46"/>
      <c r="K37" s="46"/>
      <c r="L37" s="46"/>
      <c r="M37" s="38"/>
      <c r="N37" s="46">
        <v>10111</v>
      </c>
      <c r="O37" s="56">
        <f>SUM(B37:N37)</f>
        <v>66311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8" t="s">
        <v>46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/>
      <c r="J38" s="46"/>
      <c r="K38" s="46"/>
      <c r="L38" s="46"/>
      <c r="M38" s="38"/>
      <c r="N38" s="46">
        <v>3143</v>
      </c>
      <c r="O38" s="46">
        <v>3143</v>
      </c>
      <c r="P38" s="18">
        <f>SUM(P31:P35)</f>
        <v>0.70208753551190561</v>
      </c>
      <c r="Q38" s="18"/>
      <c r="R38" s="3"/>
      <c r="S38" s="7" t="s">
        <v>47</v>
      </c>
      <c r="T38" s="19">
        <f>O45/1000</f>
        <v>22.196080000000002</v>
      </c>
      <c r="U38" s="7"/>
    </row>
    <row r="39" spans="1:48" ht="16" x14ac:dyDescent="0.2">
      <c r="A39" s="8" t="s">
        <v>16</v>
      </c>
      <c r="B39" s="46">
        <f>SUM(B31:B38)</f>
        <v>135929</v>
      </c>
      <c r="C39" s="46">
        <v>172244</v>
      </c>
      <c r="D39" s="46">
        <v>0</v>
      </c>
      <c r="E39" s="56">
        <f>SUM(E31:E38)</f>
        <v>12690</v>
      </c>
      <c r="F39" s="46">
        <v>12535</v>
      </c>
      <c r="G39" s="56">
        <f>SUM(G31:G38)</f>
        <v>106991</v>
      </c>
      <c r="H39" s="46">
        <v>0</v>
      </c>
      <c r="I39" s="46"/>
      <c r="J39" s="46"/>
      <c r="K39" s="46"/>
      <c r="L39" s="46"/>
      <c r="M39" s="38"/>
      <c r="N39" s="46">
        <v>215026</v>
      </c>
      <c r="O39" s="56">
        <f>SUM(O31:O38)</f>
        <v>655414</v>
      </c>
      <c r="P39" s="3"/>
      <c r="Q39" s="3"/>
      <c r="R39" s="3"/>
      <c r="S39" s="7" t="s">
        <v>48</v>
      </c>
      <c r="T39" s="20">
        <f>O41/1000</f>
        <v>195.256</v>
      </c>
      <c r="U39" s="14">
        <f>P41</f>
        <v>0.29791246448809455</v>
      </c>
    </row>
    <row r="40" spans="1:48" x14ac:dyDescent="0.2">
      <c r="S40" s="7" t="s">
        <v>49</v>
      </c>
      <c r="T40" s="20">
        <f>O35/1000</f>
        <v>26.378</v>
      </c>
      <c r="U40" s="15">
        <f>P35</f>
        <v>4.0246317594680614E-2</v>
      </c>
    </row>
    <row r="41" spans="1:48" ht="16" x14ac:dyDescent="0.2">
      <c r="A41" s="21" t="s">
        <v>50</v>
      </c>
      <c r="B41" s="22">
        <f>B38+B37+B36</f>
        <v>72500</v>
      </c>
      <c r="C41" s="22">
        <f t="shared" ref="C41:O41" si="0">C38+C37+C36</f>
        <v>590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56286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65880</v>
      </c>
      <c r="O41" s="22">
        <f t="shared" si="0"/>
        <v>195256</v>
      </c>
      <c r="P41" s="17">
        <f>O41/O$39</f>
        <v>0.29791246448809455</v>
      </c>
      <c r="Q41" s="17" t="s">
        <v>51</v>
      </c>
      <c r="R41" s="7"/>
      <c r="S41" s="7" t="s">
        <v>52</v>
      </c>
      <c r="T41" s="20">
        <f>O33/1000</f>
        <v>27.760999999999999</v>
      </c>
      <c r="U41" s="14">
        <f>P33</f>
        <v>4.2356434253769372E-2</v>
      </c>
    </row>
    <row r="42" spans="1:48" ht="16" x14ac:dyDescent="0.2">
      <c r="A42" s="23" t="s">
        <v>53</v>
      </c>
      <c r="B42" s="22"/>
      <c r="C42" s="24">
        <f>C39+C23+C10</f>
        <v>177194</v>
      </c>
      <c r="D42" s="24">
        <f t="shared" ref="D42:M42" si="1">D39+D23+D10</f>
        <v>0</v>
      </c>
      <c r="E42" s="24">
        <f t="shared" si="1"/>
        <v>12690</v>
      </c>
      <c r="F42" s="24">
        <f t="shared" si="1"/>
        <v>12535</v>
      </c>
      <c r="G42" s="24">
        <f t="shared" si="1"/>
        <v>283084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227599.08000000002</v>
      </c>
      <c r="O42" s="25">
        <f>SUM(C42:N42)</f>
        <v>713102.08000000007</v>
      </c>
      <c r="P42" s="7"/>
      <c r="Q42" s="7"/>
      <c r="R42" s="7"/>
      <c r="S42" s="7" t="s">
        <v>34</v>
      </c>
      <c r="T42" s="20">
        <f>O31/1000</f>
        <v>19.597000000000001</v>
      </c>
      <c r="U42" s="14">
        <f>P31</f>
        <v>2.9900185226437032E-2</v>
      </c>
    </row>
    <row r="43" spans="1:48" ht="16" x14ac:dyDescent="0.2">
      <c r="A43" s="23" t="s">
        <v>54</v>
      </c>
      <c r="B43" s="22"/>
      <c r="C43" s="17">
        <f t="shared" ref="C43:N43" si="2">C42/$O42</f>
        <v>0.24848335879205399</v>
      </c>
      <c r="D43" s="17">
        <f t="shared" si="2"/>
        <v>0</v>
      </c>
      <c r="E43" s="17">
        <f t="shared" si="2"/>
        <v>1.7795488690763597E-2</v>
      </c>
      <c r="F43" s="17">
        <f t="shared" si="2"/>
        <v>1.7578128505809434E-2</v>
      </c>
      <c r="G43" s="17">
        <f t="shared" si="2"/>
        <v>0.39697542321009632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0.3191676008012766</v>
      </c>
      <c r="O43" s="17">
        <f>SUM(C43:N43)</f>
        <v>0.99999999999999989</v>
      </c>
      <c r="P43" s="7"/>
      <c r="Q43" s="7"/>
      <c r="R43" s="7"/>
      <c r="S43" s="7" t="s">
        <v>55</v>
      </c>
      <c r="T43" s="20">
        <f>O32/1000</f>
        <v>224.90600000000001</v>
      </c>
      <c r="U43" s="15">
        <f>P32</f>
        <v>0.34315104651411171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161.51599999999999</v>
      </c>
      <c r="U44" s="15">
        <f>P34</f>
        <v>0.24643355192290675</v>
      </c>
    </row>
    <row r="45" spans="1:48" ht="16" x14ac:dyDescent="0.2">
      <c r="A45" s="6" t="s">
        <v>57</v>
      </c>
      <c r="B45" s="6">
        <f>B23-B39</f>
        <v>4994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17202.080000000002</v>
      </c>
      <c r="O45" s="25">
        <f>B45+N45</f>
        <v>22196.080000000002</v>
      </c>
      <c r="P45" s="7"/>
      <c r="Q45" s="7"/>
      <c r="R45" s="7"/>
      <c r="S45" s="7" t="s">
        <v>58</v>
      </c>
      <c r="T45" s="20">
        <f>SUM(T39:T44)</f>
        <v>655.41399999999999</v>
      </c>
      <c r="U45" s="14">
        <f>SUM(U39:U44)</f>
        <v>1.0000000000000002</v>
      </c>
    </row>
    <row r="46" spans="1:48" ht="16" x14ac:dyDescent="0.2">
      <c r="A46" s="6"/>
      <c r="B46" s="5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ht="16" x14ac:dyDescent="0.2">
      <c r="A51" s="4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8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ht="16" x14ac:dyDescent="0.2">
      <c r="A52" s="4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8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ht="16" x14ac:dyDescent="0.2">
      <c r="A53" s="4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8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ht="16" x14ac:dyDescent="0.2">
      <c r="A54" s="4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8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27"/>
      <c r="Q55" s="27"/>
      <c r="R55" s="4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8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E56" s="9"/>
      <c r="F56" s="9"/>
      <c r="G56" s="9"/>
      <c r="H56" s="9"/>
      <c r="I56" s="9"/>
      <c r="J56" s="9"/>
      <c r="K56" s="9"/>
      <c r="L56" s="9"/>
      <c r="M56" s="27"/>
      <c r="N56" s="9"/>
      <c r="O56" s="9"/>
      <c r="P56" s="27"/>
      <c r="Q56" s="27"/>
      <c r="R56" s="4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8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E57" s="9"/>
      <c r="F57" s="16"/>
      <c r="G57" s="9"/>
      <c r="H57" s="9"/>
      <c r="I57" s="9"/>
      <c r="J57" s="9"/>
      <c r="K57" s="9"/>
      <c r="L57" s="9"/>
      <c r="M57" s="27"/>
      <c r="N57" s="9"/>
      <c r="O57" s="9"/>
      <c r="P57" s="27"/>
      <c r="Q57" s="27"/>
      <c r="R57" s="4"/>
      <c r="S57" s="7"/>
      <c r="T57" s="6"/>
      <c r="U57" s="31"/>
    </row>
    <row r="58" spans="1:48" ht="16" x14ac:dyDescent="0.2">
      <c r="A58" s="5"/>
      <c r="B58" s="7"/>
      <c r="C58" s="29"/>
      <c r="D58" s="29"/>
      <c r="E58" s="9"/>
      <c r="F58" s="16"/>
      <c r="G58" s="9"/>
      <c r="H58" s="9"/>
      <c r="I58" s="9"/>
      <c r="J58" s="9"/>
      <c r="K58" s="9"/>
      <c r="L58" s="9"/>
      <c r="M58" s="27"/>
      <c r="N58" s="9"/>
      <c r="O58" s="9"/>
      <c r="P58" s="27"/>
      <c r="Q58" s="27"/>
      <c r="R58" s="4"/>
      <c r="S58" s="7"/>
      <c r="T58" s="6"/>
      <c r="U58" s="31"/>
    </row>
    <row r="59" spans="1:48" ht="16" x14ac:dyDescent="0.2">
      <c r="A59" s="5"/>
      <c r="C59" s="6"/>
      <c r="D59" s="6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4"/>
      <c r="Q59" s="7"/>
      <c r="R59" s="7"/>
      <c r="S59" s="7"/>
      <c r="T59" s="6"/>
      <c r="U59" s="31"/>
    </row>
    <row r="60" spans="1:48" ht="16" x14ac:dyDescent="0.2">
      <c r="A60" s="5"/>
      <c r="B60" s="60"/>
      <c r="C60" s="6"/>
      <c r="D60" s="6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4"/>
      <c r="Q60" s="7"/>
      <c r="R60" s="7"/>
      <c r="S60" s="7"/>
      <c r="T60" s="6"/>
      <c r="U60" s="31"/>
    </row>
    <row r="61" spans="1:48" ht="16" x14ac:dyDescent="0.2">
      <c r="A61" s="5"/>
      <c r="B61" s="60"/>
      <c r="C61" s="6"/>
      <c r="D61" s="32"/>
      <c r="E61" s="29"/>
      <c r="F61" s="29"/>
      <c r="G61" s="29"/>
      <c r="H61" s="29"/>
      <c r="I61" s="29"/>
      <c r="J61" s="29"/>
      <c r="K61" s="29"/>
      <c r="L61" s="6"/>
      <c r="M61" s="30"/>
      <c r="N61" s="7"/>
      <c r="O61" s="6"/>
      <c r="P61" s="14"/>
      <c r="Q61" s="7"/>
      <c r="R61" s="7"/>
      <c r="S61" s="7"/>
      <c r="T61" s="32"/>
      <c r="U61" s="33"/>
    </row>
    <row r="62" spans="1:48" ht="16" x14ac:dyDescent="0.2">
      <c r="A62" s="5"/>
      <c r="B62" s="60"/>
      <c r="C62" s="6"/>
      <c r="E62" s="29"/>
      <c r="F62" s="29"/>
      <c r="G62" s="29"/>
      <c r="H62" s="29"/>
      <c r="I62" s="29"/>
      <c r="J62" s="29"/>
      <c r="K62" s="29"/>
      <c r="L62" s="6"/>
      <c r="M62" s="30"/>
      <c r="N62" s="7"/>
      <c r="O62" s="6"/>
      <c r="P62" s="14"/>
      <c r="Q62" s="7"/>
      <c r="R62" s="7"/>
      <c r="S62" s="7"/>
      <c r="T62" s="7"/>
      <c r="U62" s="6"/>
    </row>
    <row r="63" spans="1:48" ht="16" x14ac:dyDescent="0.2">
      <c r="A63" s="5"/>
      <c r="B63" s="60"/>
      <c r="C63" s="6"/>
      <c r="E63" s="7"/>
      <c r="F63" s="7"/>
      <c r="G63" s="7"/>
      <c r="H63" s="7"/>
      <c r="I63" s="7"/>
      <c r="J63" s="7"/>
      <c r="K63" s="7"/>
      <c r="L63" s="6"/>
      <c r="M63" s="30"/>
      <c r="N63" s="7"/>
      <c r="O63" s="6"/>
      <c r="P63" s="14"/>
      <c r="Q63" s="7"/>
      <c r="R63" s="7"/>
      <c r="S63" s="7"/>
      <c r="T63" s="34"/>
      <c r="U63" s="35"/>
    </row>
    <row r="64" spans="1:48" ht="16" x14ac:dyDescent="0.2">
      <c r="A64" s="5"/>
      <c r="B64" s="60"/>
      <c r="C64" s="6"/>
      <c r="D64" s="10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5"/>
      <c r="B65" s="60"/>
      <c r="C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C66" s="10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ildresurs" ma:contentTypeID="0x0101009148F5A04DDD49CBA7127AADA5FB792B00AADE34325A8B49CDA8BB4DB53328F21400B1422EAB8DF0294E85CCB7CF19F0629E" ma:contentTypeVersion="1" ma:contentTypeDescription="Ladda upp en bild." ma:contentTypeScope="" ma:versionID="89db0ba08def9c0c99553822dc9a3775">
  <xsd:schema xmlns:xsd="http://www.w3.org/2001/XMLSchema" xmlns:xs="http://www.w3.org/2001/XMLSchema" xmlns:p="http://schemas.microsoft.com/office/2006/metadata/properties" xmlns:ns1="http://schemas.microsoft.com/sharepoint/v3" xmlns:ns2="B2487248-3291-4FB7-A798-DA4F8D952CAD" xmlns:ns3="http://schemas.microsoft.com/sharepoint/v3/fields" targetNamespace="http://schemas.microsoft.com/office/2006/metadata/properties" ma:root="true" ma:fieldsID="f88401ac58d331235390f5b8f93600ac" ns1:_="" ns2:_="" ns3:_="">
    <xsd:import namespace="http://schemas.microsoft.com/sharepoint/v3"/>
    <xsd:import namespace="B2487248-3291-4FB7-A798-DA4F8D952CA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-sökväg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typ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-filtyp" ma:hidden="true" ma:internalName="HTML_x0020_File_x0020_Type" ma:readOnly="true">
      <xsd:simpleType>
        <xsd:restriction base="dms:Text"/>
      </xsd:simpleType>
    </xsd:element>
    <xsd:element name="FSObjType" ma:index="11" nillable="true" ma:displayName="Objekttyp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malagt startdatum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malagt slut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87248-3291-4FB7-A798-DA4F8D952CA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Miniatyr finn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Förhandsgranskning finn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Bredd" ma:internalName="ImageWidth" ma:readOnly="true">
      <xsd:simpleType>
        <xsd:restriction base="dms:Unknown"/>
      </xsd:simpleType>
    </xsd:element>
    <xsd:element name="ImageHeight" ma:index="22" nillable="true" ma:displayName="Höjd" ma:internalName="ImageHeight" ma:readOnly="true">
      <xsd:simpleType>
        <xsd:restriction base="dms:Unknown"/>
      </xsd:simpleType>
    </xsd:element>
    <xsd:element name="ImageCreateDate" ma:index="25" nillable="true" ma:displayName="Datum då bilden togs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Författare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 ma:index="23" ma:displayName="Kommentarer"/>
        <xsd:element name="keywords" minOccurs="0" maxOccurs="1" type="xsd:string" ma:index="14" ma:displayName="Nyc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ImageCreateDate xmlns="B2487248-3291-4FB7-A798-DA4F8D952CAD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1F43FD1-32A7-45F2-A541-D29265A6C330}"/>
</file>

<file path=customXml/itemProps2.xml><?xml version="1.0" encoding="utf-8"?>
<ds:datastoreItem xmlns:ds="http://schemas.openxmlformats.org/officeDocument/2006/customXml" ds:itemID="{40405224-867B-4F73-A989-9BDA0E1F42B0}"/>
</file>

<file path=customXml/itemProps3.xml><?xml version="1.0" encoding="utf-8"?>
<ds:datastoreItem xmlns:ds="http://schemas.openxmlformats.org/officeDocument/2006/customXml" ds:itemID="{26C99ACD-8D32-4434-9BFF-EC97871FDB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Kalmar län</vt:lpstr>
      <vt:lpstr>Högsby</vt:lpstr>
      <vt:lpstr>Torsås</vt:lpstr>
      <vt:lpstr>Mörbylånga</vt:lpstr>
      <vt:lpstr>Hultsfred</vt:lpstr>
      <vt:lpstr>Mönsterås</vt:lpstr>
      <vt:lpstr>Emmaboda</vt:lpstr>
      <vt:lpstr>Kalmar</vt:lpstr>
      <vt:lpstr>Nybro</vt:lpstr>
      <vt:lpstr>Oskarshamn</vt:lpstr>
      <vt:lpstr>Västervik</vt:lpstr>
      <vt:lpstr>Vimmerby</vt:lpstr>
      <vt:lpstr>Borgholm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keywords/>
  <dc:description/>
  <cp:lastModifiedBy>Kaj</cp:lastModifiedBy>
  <dcterms:created xsi:type="dcterms:W3CDTF">2016-02-06T10:42:46Z</dcterms:created>
  <dcterms:modified xsi:type="dcterms:W3CDTF">2017-08-27T20:08:21Z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0x0101009148F5A04DDD49CBA7127AADA5FB792B00AADE34325A8B49CDA8BB4DB53328F21400B1422EAB8DF0294E85CCB7CF19F0629E</vt:lpwstr>
  </property>
</Properties>
</file>