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5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1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showInkAnnotation="0" codeName="ThisWorkbook" autoCompressPictures="0"/>
  <bookViews>
    <workbookView xWindow="5200" yWindow="1400" windowWidth="30080" windowHeight="16440" tabRatio="500"/>
  </bookViews>
  <sheets>
    <sheet name="Kronobergs län" sheetId="21" r:id="rId1"/>
    <sheet name="Uppvidinge" sheetId="11" r:id="rId2"/>
    <sheet name="Lessebo" sheetId="12" r:id="rId3"/>
    <sheet name="Tingsryd" sheetId="13" r:id="rId4"/>
    <sheet name="Alvesta" sheetId="14" r:id="rId5"/>
    <sheet name="Älmhult" sheetId="15" r:id="rId6"/>
    <sheet name="Markaryd" sheetId="16" r:id="rId7"/>
    <sheet name="Växjö" sheetId="17" r:id="rId8"/>
    <sheet name="Ljungby" sheetId="18" r:id="rId9"/>
    <sheet name="Blad1" sheetId="19" state="hidden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21" l="1"/>
  <c r="N37" i="21"/>
  <c r="N36" i="21"/>
  <c r="N41" i="21"/>
  <c r="N31" i="21"/>
  <c r="N32" i="21"/>
  <c r="N33" i="21"/>
  <c r="N34" i="21"/>
  <c r="N35" i="21"/>
  <c r="N39" i="21"/>
  <c r="O41" i="21"/>
  <c r="T42" i="21"/>
  <c r="O35" i="21"/>
  <c r="T43" i="21"/>
  <c r="O33" i="21"/>
  <c r="T44" i="21"/>
  <c r="O31" i="21"/>
  <c r="T45" i="21"/>
  <c r="O32" i="21"/>
  <c r="T46" i="21"/>
  <c r="O34" i="21"/>
  <c r="T47" i="21"/>
  <c r="T48" i="21"/>
  <c r="S42" i="21"/>
  <c r="S43" i="21"/>
  <c r="S44" i="21"/>
  <c r="S45" i="21"/>
  <c r="S46" i="21"/>
  <c r="S47" i="21"/>
  <c r="S48" i="21"/>
  <c r="B23" i="21"/>
  <c r="B39" i="21"/>
  <c r="B45" i="21"/>
  <c r="M39" i="21"/>
  <c r="M45" i="21"/>
  <c r="N45" i="21"/>
  <c r="C39" i="21"/>
  <c r="C23" i="21"/>
  <c r="C42" i="21"/>
  <c r="D39" i="21"/>
  <c r="D23" i="21"/>
  <c r="D42" i="21"/>
  <c r="E39" i="21"/>
  <c r="E23" i="21"/>
  <c r="E42" i="21"/>
  <c r="F39" i="21"/>
  <c r="F23" i="21"/>
  <c r="F42" i="21"/>
  <c r="G39" i="21"/>
  <c r="G23" i="21"/>
  <c r="G10" i="21"/>
  <c r="G42" i="21"/>
  <c r="H39" i="21"/>
  <c r="H23" i="21"/>
  <c r="H42" i="21"/>
  <c r="I39" i="21"/>
  <c r="I23" i="21"/>
  <c r="I42" i="21"/>
  <c r="J39" i="21"/>
  <c r="J23" i="21"/>
  <c r="J42" i="21"/>
  <c r="K39" i="21"/>
  <c r="K23" i="21"/>
  <c r="K42" i="21"/>
  <c r="L39" i="21"/>
  <c r="L23" i="21"/>
  <c r="L42" i="21"/>
  <c r="M23" i="21"/>
  <c r="M42" i="21"/>
  <c r="N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S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O38" i="21"/>
  <c r="T26" i="21"/>
  <c r="T27" i="21"/>
  <c r="T28" i="21"/>
  <c r="T29" i="21"/>
  <c r="T30" i="21"/>
  <c r="T31" i="21"/>
  <c r="T32" i="21"/>
  <c r="T33" i="21"/>
  <c r="T34" i="21"/>
  <c r="T35" i="21"/>
  <c r="T36" i="21"/>
  <c r="T37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23" i="21"/>
  <c r="N17" i="21"/>
  <c r="N18" i="21"/>
  <c r="N19" i="21"/>
  <c r="N20" i="21"/>
  <c r="N23" i="21"/>
  <c r="B10" i="21"/>
  <c r="B32" i="14"/>
  <c r="N32" i="14"/>
  <c r="B33" i="14"/>
  <c r="N33" i="14"/>
  <c r="B35" i="14"/>
  <c r="N35" i="14"/>
  <c r="B36" i="14"/>
  <c r="N36" i="14"/>
  <c r="B37" i="14"/>
  <c r="N37" i="14"/>
  <c r="N39" i="14"/>
  <c r="N18" i="15"/>
  <c r="H23" i="15"/>
  <c r="K23" i="18"/>
  <c r="J23" i="18"/>
  <c r="G17" i="18"/>
  <c r="G23" i="18"/>
  <c r="E23" i="18"/>
  <c r="D23" i="18"/>
  <c r="C23" i="18"/>
  <c r="C23" i="17"/>
  <c r="G32" i="14"/>
  <c r="G32" i="11"/>
  <c r="G32" i="15"/>
  <c r="G32" i="16"/>
  <c r="G32" i="17"/>
  <c r="I32" i="12"/>
  <c r="G39" i="14"/>
  <c r="G39" i="11"/>
  <c r="G39" i="12"/>
  <c r="G39" i="13"/>
  <c r="G39" i="15"/>
  <c r="G39" i="16"/>
  <c r="G39" i="17"/>
  <c r="C18" i="13"/>
  <c r="G18" i="13"/>
  <c r="N18" i="13"/>
  <c r="N18" i="16"/>
  <c r="C23" i="13"/>
  <c r="C23" i="15"/>
  <c r="C23" i="16"/>
  <c r="D23" i="17"/>
  <c r="E23" i="15"/>
  <c r="E23" i="16"/>
  <c r="G23" i="13"/>
  <c r="G23" i="15"/>
  <c r="G23" i="16"/>
  <c r="G17" i="17"/>
  <c r="G23" i="17"/>
  <c r="J17" i="17"/>
  <c r="J23" i="17"/>
  <c r="N23" i="15"/>
  <c r="N23" i="13"/>
  <c r="N23" i="16"/>
  <c r="N23" i="17"/>
  <c r="N17" i="18"/>
  <c r="N23" i="18"/>
  <c r="B18" i="15"/>
  <c r="B18" i="13"/>
  <c r="B18" i="14"/>
  <c r="B23" i="15"/>
  <c r="B23" i="13"/>
  <c r="B10" i="16"/>
  <c r="C42" i="15"/>
  <c r="S31" i="15"/>
  <c r="I39" i="12"/>
  <c r="F39" i="12"/>
  <c r="F39" i="17"/>
  <c r="B8" i="17"/>
  <c r="B45" i="13"/>
  <c r="M45" i="13"/>
  <c r="N45" i="13"/>
  <c r="S38" i="13"/>
  <c r="I42" i="12"/>
  <c r="S32" i="12"/>
  <c r="F42" i="12"/>
  <c r="E39" i="11"/>
  <c r="E42" i="11"/>
  <c r="S30" i="11"/>
  <c r="E39" i="14"/>
  <c r="E42" i="14"/>
  <c r="J42" i="17"/>
  <c r="S28" i="17"/>
  <c r="D42" i="17"/>
  <c r="E39" i="15"/>
  <c r="G42" i="11"/>
  <c r="S27" i="11"/>
  <c r="G42" i="14"/>
  <c r="S27" i="14"/>
  <c r="G42" i="15"/>
  <c r="E39" i="16"/>
  <c r="E39" i="17"/>
  <c r="E42" i="17"/>
  <c r="F42" i="17"/>
  <c r="S29" i="17"/>
  <c r="C42" i="11"/>
  <c r="C42" i="16"/>
  <c r="S31" i="16"/>
  <c r="E39" i="13"/>
  <c r="E42" i="13"/>
  <c r="S30" i="13"/>
  <c r="G41" i="13"/>
  <c r="B41" i="13"/>
  <c r="S43" i="12"/>
  <c r="N41" i="12"/>
  <c r="S39" i="12"/>
  <c r="S40" i="12"/>
  <c r="S41" i="12"/>
  <c r="S42" i="12"/>
  <c r="S44" i="12"/>
  <c r="S45" i="12"/>
  <c r="N41" i="18"/>
  <c r="O41" i="18"/>
  <c r="T39" i="18"/>
  <c r="O35" i="18"/>
  <c r="T40" i="18"/>
  <c r="O33" i="18"/>
  <c r="T41" i="18"/>
  <c r="O31" i="18"/>
  <c r="T42" i="18"/>
  <c r="O32" i="18"/>
  <c r="T43" i="18"/>
  <c r="O34" i="18"/>
  <c r="T44" i="18"/>
  <c r="T45" i="18"/>
  <c r="S39" i="18"/>
  <c r="S40" i="18"/>
  <c r="S41" i="18"/>
  <c r="S42" i="18"/>
  <c r="S43" i="18"/>
  <c r="S44" i="18"/>
  <c r="S45" i="18"/>
  <c r="B45" i="18"/>
  <c r="M45" i="18"/>
  <c r="N45" i="18"/>
  <c r="C42" i="18"/>
  <c r="S31" i="18"/>
  <c r="M42" i="18"/>
  <c r="S26" i="18"/>
  <c r="G42" i="18"/>
  <c r="S27" i="18"/>
  <c r="J42" i="18"/>
  <c r="S28" i="18"/>
  <c r="F42" i="18"/>
  <c r="S29" i="18"/>
  <c r="E42" i="18"/>
  <c r="S30" i="18"/>
  <c r="I42" i="18"/>
  <c r="S32" i="18"/>
  <c r="H42" i="18"/>
  <c r="S33" i="18"/>
  <c r="S34" i="18"/>
  <c r="D42" i="18"/>
  <c r="K42" i="18"/>
  <c r="L42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38" i="18"/>
  <c r="O38" i="18"/>
  <c r="N41" i="17"/>
  <c r="O41" i="17"/>
  <c r="T39" i="17"/>
  <c r="O35" i="17"/>
  <c r="T40" i="17"/>
  <c r="O33" i="17"/>
  <c r="T41" i="17"/>
  <c r="O31" i="17"/>
  <c r="T42" i="17"/>
  <c r="O32" i="17"/>
  <c r="T43" i="17"/>
  <c r="O34" i="17"/>
  <c r="T44" i="17"/>
  <c r="T45" i="17"/>
  <c r="S39" i="17"/>
  <c r="S40" i="17"/>
  <c r="S41" i="17"/>
  <c r="S42" i="17"/>
  <c r="S43" i="17"/>
  <c r="S44" i="17"/>
  <c r="S45" i="17"/>
  <c r="B45" i="17"/>
  <c r="M45" i="17"/>
  <c r="N45" i="17"/>
  <c r="C42" i="17"/>
  <c r="M42" i="17"/>
  <c r="L42" i="17"/>
  <c r="K42" i="17"/>
  <c r="I42" i="17"/>
  <c r="H42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S38" i="17"/>
  <c r="O38" i="17"/>
  <c r="S26" i="17"/>
  <c r="S33" i="17"/>
  <c r="S32" i="17"/>
  <c r="S31" i="17"/>
  <c r="N41" i="16"/>
  <c r="O41" i="16"/>
  <c r="T39" i="16"/>
  <c r="O35" i="16"/>
  <c r="T40" i="16"/>
  <c r="O33" i="16"/>
  <c r="T41" i="16"/>
  <c r="O31" i="16"/>
  <c r="T42" i="16"/>
  <c r="O32" i="16"/>
  <c r="T43" i="16"/>
  <c r="O34" i="16"/>
  <c r="T44" i="16"/>
  <c r="T45" i="16"/>
  <c r="S39" i="16"/>
  <c r="S40" i="16"/>
  <c r="S41" i="16"/>
  <c r="S42" i="16"/>
  <c r="S43" i="16"/>
  <c r="S44" i="16"/>
  <c r="S45" i="16"/>
  <c r="B45" i="16"/>
  <c r="M45" i="16"/>
  <c r="N45" i="16"/>
  <c r="S38" i="16"/>
  <c r="D42" i="16"/>
  <c r="M42" i="16"/>
  <c r="L42" i="16"/>
  <c r="K42" i="16"/>
  <c r="J42" i="16"/>
  <c r="I42" i="16"/>
  <c r="H42" i="16"/>
  <c r="F42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O38" i="16"/>
  <c r="S26" i="16"/>
  <c r="S33" i="16"/>
  <c r="S32" i="16"/>
  <c r="S29" i="16"/>
  <c r="S28" i="16"/>
  <c r="N41" i="15"/>
  <c r="O41" i="15"/>
  <c r="T39" i="15"/>
  <c r="O35" i="15"/>
  <c r="T40" i="15"/>
  <c r="O33" i="15"/>
  <c r="T41" i="15"/>
  <c r="O31" i="15"/>
  <c r="T42" i="15"/>
  <c r="O32" i="15"/>
  <c r="T43" i="15"/>
  <c r="O34" i="15"/>
  <c r="T44" i="15"/>
  <c r="T45" i="15"/>
  <c r="S39" i="15"/>
  <c r="S40" i="15"/>
  <c r="S41" i="15"/>
  <c r="S42" i="15"/>
  <c r="S43" i="15"/>
  <c r="S44" i="15"/>
  <c r="S45" i="15"/>
  <c r="M45" i="15"/>
  <c r="D42" i="15"/>
  <c r="M42" i="15"/>
  <c r="L42" i="15"/>
  <c r="K42" i="15"/>
  <c r="J42" i="15"/>
  <c r="I42" i="15"/>
  <c r="H42" i="15"/>
  <c r="F42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O38" i="15"/>
  <c r="S26" i="15"/>
  <c r="S33" i="15"/>
  <c r="S32" i="15"/>
  <c r="S29" i="15"/>
  <c r="S28" i="15"/>
  <c r="N41" i="14"/>
  <c r="O41" i="14"/>
  <c r="T39" i="14"/>
  <c r="O35" i="14"/>
  <c r="T40" i="14"/>
  <c r="O33" i="14"/>
  <c r="T41" i="14"/>
  <c r="O31" i="14"/>
  <c r="T42" i="14"/>
  <c r="O32" i="14"/>
  <c r="T43" i="14"/>
  <c r="O34" i="14"/>
  <c r="T44" i="14"/>
  <c r="T45" i="14"/>
  <c r="S39" i="14"/>
  <c r="S40" i="14"/>
  <c r="S41" i="14"/>
  <c r="S42" i="14"/>
  <c r="S43" i="14"/>
  <c r="S44" i="14"/>
  <c r="S45" i="14"/>
  <c r="B45" i="14"/>
  <c r="M45" i="14"/>
  <c r="N45" i="14"/>
  <c r="S38" i="14"/>
  <c r="C42" i="14"/>
  <c r="D42" i="14"/>
  <c r="M42" i="14"/>
  <c r="L42" i="14"/>
  <c r="K42" i="14"/>
  <c r="J42" i="14"/>
  <c r="I42" i="14"/>
  <c r="H42" i="14"/>
  <c r="F42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O38" i="14"/>
  <c r="S26" i="14"/>
  <c r="S33" i="14"/>
  <c r="S32" i="14"/>
  <c r="S31" i="14"/>
  <c r="S29" i="14"/>
  <c r="S28" i="14"/>
  <c r="N41" i="13"/>
  <c r="O41" i="13"/>
  <c r="T39" i="13"/>
  <c r="O35" i="13"/>
  <c r="T40" i="13"/>
  <c r="O33" i="13"/>
  <c r="T41" i="13"/>
  <c r="O31" i="13"/>
  <c r="T42" i="13"/>
  <c r="O32" i="13"/>
  <c r="T43" i="13"/>
  <c r="O34" i="13"/>
  <c r="T44" i="13"/>
  <c r="T45" i="13"/>
  <c r="S39" i="13"/>
  <c r="S40" i="13"/>
  <c r="S41" i="13"/>
  <c r="S42" i="13"/>
  <c r="S43" i="13"/>
  <c r="S44" i="13"/>
  <c r="S45" i="13"/>
  <c r="C42" i="13"/>
  <c r="D42" i="13"/>
  <c r="M42" i="13"/>
  <c r="L42" i="13"/>
  <c r="K42" i="13"/>
  <c r="J42" i="13"/>
  <c r="I42" i="13"/>
  <c r="H42" i="13"/>
  <c r="F42" i="13"/>
  <c r="M41" i="13"/>
  <c r="L41" i="13"/>
  <c r="K41" i="13"/>
  <c r="J41" i="13"/>
  <c r="I41" i="13"/>
  <c r="H41" i="13"/>
  <c r="F41" i="13"/>
  <c r="E41" i="13"/>
  <c r="D41" i="13"/>
  <c r="C41" i="13"/>
  <c r="O38" i="13"/>
  <c r="S26" i="13"/>
  <c r="S33" i="13"/>
  <c r="S32" i="13"/>
  <c r="S31" i="13"/>
  <c r="S29" i="13"/>
  <c r="S28" i="13"/>
  <c r="O41" i="12"/>
  <c r="T39" i="12"/>
  <c r="O35" i="12"/>
  <c r="T40" i="12"/>
  <c r="O33" i="12"/>
  <c r="T41" i="12"/>
  <c r="O31" i="12"/>
  <c r="T42" i="12"/>
  <c r="O32" i="12"/>
  <c r="T43" i="12"/>
  <c r="O34" i="12"/>
  <c r="T44" i="12"/>
  <c r="T45" i="12"/>
  <c r="B45" i="12"/>
  <c r="M45" i="12"/>
  <c r="N45" i="12"/>
  <c r="C42" i="12"/>
  <c r="D42" i="12"/>
  <c r="E42" i="12"/>
  <c r="M42" i="12"/>
  <c r="L42" i="12"/>
  <c r="K42" i="12"/>
  <c r="J42" i="12"/>
  <c r="H42" i="12"/>
  <c r="G42" i="12"/>
  <c r="S27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S38" i="12"/>
  <c r="O38" i="12"/>
  <c r="S26" i="12"/>
  <c r="S33" i="12"/>
  <c r="S31" i="12"/>
  <c r="S30" i="12"/>
  <c r="S28" i="12"/>
  <c r="N41" i="11"/>
  <c r="O41" i="11"/>
  <c r="T39" i="11"/>
  <c r="O35" i="11"/>
  <c r="T40" i="11"/>
  <c r="O33" i="11"/>
  <c r="T41" i="11"/>
  <c r="O31" i="11"/>
  <c r="T42" i="11"/>
  <c r="O32" i="11"/>
  <c r="T43" i="11"/>
  <c r="O34" i="11"/>
  <c r="T44" i="11"/>
  <c r="T45" i="11"/>
  <c r="S39" i="11"/>
  <c r="S40" i="11"/>
  <c r="S41" i="11"/>
  <c r="S42" i="11"/>
  <c r="S43" i="11"/>
  <c r="S44" i="11"/>
  <c r="S45" i="11"/>
  <c r="B45" i="11"/>
  <c r="M45" i="11"/>
  <c r="N45" i="11"/>
  <c r="D42" i="11"/>
  <c r="M42" i="11"/>
  <c r="L42" i="11"/>
  <c r="K42" i="11"/>
  <c r="J42" i="11"/>
  <c r="I42" i="11"/>
  <c r="H42" i="11"/>
  <c r="F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S38" i="11"/>
  <c r="O38" i="11"/>
  <c r="S26" i="11"/>
  <c r="S33" i="11"/>
  <c r="S32" i="11"/>
  <c r="S29" i="11"/>
  <c r="S28" i="11"/>
  <c r="E42" i="15"/>
  <c r="S30" i="15"/>
  <c r="B45" i="15"/>
  <c r="G42" i="13"/>
  <c r="S27" i="13"/>
  <c r="S34" i="13"/>
  <c r="S29" i="12"/>
  <c r="S34" i="12"/>
  <c r="N42" i="12"/>
  <c r="S31" i="11"/>
  <c r="S34" i="11"/>
  <c r="S30" i="14"/>
  <c r="S34" i="14"/>
  <c r="N42" i="14"/>
  <c r="L43" i="14"/>
  <c r="G42" i="17"/>
  <c r="S27" i="17"/>
  <c r="N42" i="18"/>
  <c r="F43" i="18"/>
  <c r="T29" i="18"/>
  <c r="N42" i="15"/>
  <c r="E43" i="15"/>
  <c r="T30" i="15"/>
  <c r="S27" i="15"/>
  <c r="E42" i="16"/>
  <c r="G42" i="16"/>
  <c r="N42" i="16"/>
  <c r="S27" i="16"/>
  <c r="S30" i="17"/>
  <c r="N42" i="11"/>
  <c r="C43" i="11"/>
  <c r="N45" i="15"/>
  <c r="S38" i="15"/>
  <c r="N42" i="13"/>
  <c r="E43" i="13"/>
  <c r="T30" i="13"/>
  <c r="D43" i="15"/>
  <c r="M43" i="12"/>
  <c r="T26" i="12"/>
  <c r="I43" i="12"/>
  <c r="T32" i="12"/>
  <c r="S23" i="12"/>
  <c r="D43" i="12"/>
  <c r="H43" i="12"/>
  <c r="T33" i="12"/>
  <c r="J43" i="12"/>
  <c r="T28" i="12"/>
  <c r="E43" i="12"/>
  <c r="T30" i="12"/>
  <c r="C43" i="12"/>
  <c r="K43" i="12"/>
  <c r="G43" i="12"/>
  <c r="T27" i="12"/>
  <c r="L43" i="12"/>
  <c r="F43" i="12"/>
  <c r="T29" i="12"/>
  <c r="C43" i="14"/>
  <c r="T31" i="14"/>
  <c r="E43" i="14"/>
  <c r="T30" i="14"/>
  <c r="J43" i="14"/>
  <c r="T28" i="14"/>
  <c r="F43" i="14"/>
  <c r="T29" i="14"/>
  <c r="G43" i="14"/>
  <c r="T27" i="14"/>
  <c r="M43" i="14"/>
  <c r="T26" i="14"/>
  <c r="K43" i="14"/>
  <c r="H43" i="14"/>
  <c r="T33" i="14"/>
  <c r="S23" i="14"/>
  <c r="D43" i="14"/>
  <c r="I43" i="14"/>
  <c r="T32" i="14"/>
  <c r="N42" i="17"/>
  <c r="M43" i="17"/>
  <c r="T26" i="17"/>
  <c r="K43" i="18"/>
  <c r="H43" i="18"/>
  <c r="T33" i="18"/>
  <c r="L43" i="18"/>
  <c r="J43" i="18"/>
  <c r="T28" i="18"/>
  <c r="E43" i="18"/>
  <c r="T30" i="18"/>
  <c r="C43" i="18"/>
  <c r="M43" i="18"/>
  <c r="T26" i="18"/>
  <c r="D43" i="18"/>
  <c r="G43" i="18"/>
  <c r="T27" i="18"/>
  <c r="S23" i="18"/>
  <c r="I43" i="18"/>
  <c r="T32" i="18"/>
  <c r="K43" i="15"/>
  <c r="I43" i="15"/>
  <c r="T32" i="15"/>
  <c r="M43" i="15"/>
  <c r="T26" i="15"/>
  <c r="G43" i="15"/>
  <c r="T27" i="15"/>
  <c r="F43" i="15"/>
  <c r="T29" i="15"/>
  <c r="S23" i="15"/>
  <c r="L43" i="15"/>
  <c r="H43" i="15"/>
  <c r="T33" i="15"/>
  <c r="S34" i="15"/>
  <c r="J43" i="15"/>
  <c r="T28" i="15"/>
  <c r="C43" i="15"/>
  <c r="S30" i="16"/>
  <c r="S34" i="16"/>
  <c r="S34" i="17"/>
  <c r="T31" i="11"/>
  <c r="S23" i="11"/>
  <c r="I43" i="11"/>
  <c r="T32" i="11"/>
  <c r="D43" i="11"/>
  <c r="E43" i="11"/>
  <c r="T30" i="11"/>
  <c r="F43" i="11"/>
  <c r="T29" i="11"/>
  <c r="M43" i="11"/>
  <c r="T26" i="11"/>
  <c r="J43" i="11"/>
  <c r="T28" i="11"/>
  <c r="H43" i="11"/>
  <c r="T33" i="11"/>
  <c r="K43" i="11"/>
  <c r="G43" i="11"/>
  <c r="T27" i="11"/>
  <c r="L43" i="11"/>
  <c r="E43" i="16"/>
  <c r="T30" i="16"/>
  <c r="M43" i="16"/>
  <c r="T26" i="16"/>
  <c r="S23" i="16"/>
  <c r="I43" i="16"/>
  <c r="T32" i="16"/>
  <c r="K43" i="16"/>
  <c r="L43" i="16"/>
  <c r="H43" i="16"/>
  <c r="T33" i="16"/>
  <c r="D43" i="16"/>
  <c r="G43" i="16"/>
  <c r="T27" i="16"/>
  <c r="C43" i="16"/>
  <c r="F43" i="16"/>
  <c r="T29" i="16"/>
  <c r="J43" i="16"/>
  <c r="T28" i="16"/>
  <c r="L43" i="13"/>
  <c r="T31" i="18"/>
  <c r="I43" i="13"/>
  <c r="T32" i="13"/>
  <c r="H43" i="13"/>
  <c r="T33" i="13"/>
  <c r="S23" i="13"/>
  <c r="G43" i="13"/>
  <c r="T27" i="13"/>
  <c r="J43" i="13"/>
  <c r="T28" i="13"/>
  <c r="F43" i="13"/>
  <c r="T29" i="13"/>
  <c r="K43" i="13"/>
  <c r="M43" i="13"/>
  <c r="T26" i="13"/>
  <c r="D43" i="13"/>
  <c r="C43" i="13"/>
  <c r="T31" i="13"/>
  <c r="T34" i="13"/>
  <c r="N43" i="11"/>
  <c r="N43" i="15"/>
  <c r="T31" i="12"/>
  <c r="T34" i="12"/>
  <c r="N43" i="12"/>
  <c r="T34" i="11"/>
  <c r="N43" i="14"/>
  <c r="T34" i="14"/>
  <c r="I43" i="17"/>
  <c r="T32" i="17"/>
  <c r="G43" i="17"/>
  <c r="T27" i="17"/>
  <c r="F43" i="17"/>
  <c r="T29" i="17"/>
  <c r="E43" i="17"/>
  <c r="T30" i="17"/>
  <c r="S23" i="17"/>
  <c r="H43" i="17"/>
  <c r="T33" i="17"/>
  <c r="L43" i="17"/>
  <c r="K43" i="17"/>
  <c r="J43" i="17"/>
  <c r="T28" i="17"/>
  <c r="C43" i="17"/>
  <c r="T31" i="17"/>
  <c r="D43" i="17"/>
  <c r="T34" i="18"/>
  <c r="N43" i="18"/>
  <c r="T31" i="15"/>
  <c r="T34" i="15"/>
  <c r="T31" i="16"/>
  <c r="T34" i="16"/>
  <c r="N43" i="16"/>
  <c r="N43" i="13"/>
  <c r="T34" i="17"/>
  <c r="N43" i="17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<sst xmlns="http://schemas.openxmlformats.org/spreadsheetml/2006/main" count="900" uniqueCount="93">
  <si>
    <t>Elproduktion och bränsleanvändning (MWh) efter tid, region, produktionssätt och bränsletyp</t>
  </si>
  <si>
    <t>Elproduktion</t>
  </si>
  <si>
    <t>Olja</t>
  </si>
  <si>
    <t>Kol och koks</t>
  </si>
  <si>
    <t>Gasol/naturgas</t>
  </si>
  <si>
    <t>Avlutar</t>
  </si>
  <si>
    <t>Biogas</t>
  </si>
  <si>
    <t>Spillvärme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</si>
  <si>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</si>
  <si>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</si>
  <si>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</si>
  <si>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</si>
  <si>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</si>
  <si>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</si>
  <si>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</si>
  <si>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</si>
  <si>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</si>
  <si>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</si>
  <si>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</si>
  <si>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</si>
  <si>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</si>
  <si>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</si>
  <si>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</si>
  <si>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</si>
  <si>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</si>
  <si>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</si>
  <si>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</si>
  <si>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</si>
  <si>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</si>
  <si>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</si>
  <si>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</si>
  <si>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</si>
  <si>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</si>
  <si>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</si>
  <si>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</si>
  <si>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</si>
  <si>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</si>
  <si>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</si>
  <si>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</si>
  <si>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</si>
  <si>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</si>
  <si>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</si>
  <si>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</si>
  <si>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</si>
  <si>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</si>
  <si>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</si>
  <si>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</si>
  <si>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</si>
  <si>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</si>
  <si>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</si>
  <si>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</si>
  <si>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</si>
  <si>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</si>
  <si>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</si>
  <si>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</si>
  <si>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</si>
  <si>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</si>
  <si>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</si>
  <si>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</si>
  <si>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</si>
  <si>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</si>
  <si>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</si>
  <si>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</si>
  <si>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</si>
  <si>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</si>
  <si>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</si>
  <si>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</si>
  <si>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</si>
  <si>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</si>
  <si>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</si>
  <si>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</si>
  <si>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Kronobergs län</t>
  </si>
  <si>
    <t>Älmhult</t>
  </si>
  <si>
    <t>Stena Aluminium AB</t>
  </si>
  <si>
    <t>Anläggning för omsmältning av aluminium</t>
  </si>
  <si>
    <t>Övrig förbränning</t>
  </si>
  <si>
    <t>Lessebo Bruk (konkursbo)</t>
  </si>
  <si>
    <t>Lessebo bruk</t>
  </si>
  <si>
    <t>Papper och kartong</t>
  </si>
  <si>
    <t>Lessebo</t>
  </si>
  <si>
    <t>IKEA Industry Älmhult</t>
  </si>
  <si>
    <t>sekretess mängd 533751 lessebo, om inte lessebo bruk vad använder energin?</t>
  </si>
  <si>
    <t>lessebo bruk gick i konkurs i slutet av 2013 (december 17e)</t>
  </si>
  <si>
    <t>hittat i ei  37,6 GWh sålt</t>
  </si>
  <si>
    <t>578 sålt enligt ei</t>
  </si>
  <si>
    <t>Proton Finishing Markaryd AB</t>
  </si>
  <si>
    <t>markaryd</t>
  </si>
  <si>
    <t>Ljungsjöverket</t>
  </si>
  <si>
    <t>ljungby</t>
  </si>
  <si>
    <t>Sandviksverket</t>
  </si>
  <si>
    <t>växjö</t>
  </si>
  <si>
    <t>Inwido Produktion AB</t>
  </si>
  <si>
    <t>Kol/koks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</si>
</sst>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%"/>
    <numFmt numFmtId="166" formatCode="0.0"/>
    <numFmt numFmtId="167" formatCode="#,##0.0000"/>
    <numFmt numFmtId="168" formatCode="#,##0.00000"/>
    <numFmt numFmtId="169" formatCode="#,##0.000"/>
    <numFmt numFmtId="170" formatCode="#,##0.0000000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Tahoma"/>
      <family val="2"/>
    </font>
    <font>
      <sz val="10"/>
      <color rgb="FF22222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7" fillId="0" borderId="0" applyNumberFormat="0" applyBorder="0" applyAlignment="0"/>
    <xf numFmtId="9" fontId="7" fillId="0" borderId="0" applyFont="0" applyFill="0" applyBorder="0" applyAlignment="0" applyProtection="0"/>
    <xf numFmtId="0" fontId="5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4" applyNumberFormat="0" applyAlignment="0" applyProtection="0"/>
    <xf numFmtId="0" fontId="29" fillId="7" borderId="5" applyNumberFormat="0" applyAlignment="0" applyProtection="0"/>
    <xf numFmtId="0" fontId="30" fillId="7" borderId="4" applyNumberFormat="0" applyAlignment="0" applyProtection="0"/>
    <xf numFmtId="0" fontId="31" fillId="0" borderId="6" applyNumberFormat="0" applyFill="0" applyAlignment="0" applyProtection="0"/>
    <xf numFmtId="0" fontId="32" fillId="8" borderId="7" applyNumberFormat="0" applyAlignment="0" applyProtection="0"/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5" fillId="33" borderId="0" applyNumberFormat="0" applyBorder="0" applyAlignment="0" applyProtection="0"/>
    <xf numFmtId="0" fontId="3" fillId="0" borderId="0"/>
    <xf numFmtId="0" fontId="3" fillId="9" borderId="8" applyNumberFormat="0" applyFont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5">
    <xf numFmtId="0" fontId="0" fillId="0" borderId="0" xfId="0"/>
    <xf numFmtId="0" fontId="8" fillId="0" borderId="0" xfId="1" applyFont="1" applyFill="1" applyProtection="1"/>
    <xf numFmtId="0" fontId="7" fillId="0" borderId="0" xfId="1" applyFill="1" applyProtection="1"/>
    <xf numFmtId="0" fontId="9" fillId="0" borderId="0" xfId="1" applyFont="1"/>
    <xf numFmtId="0" fontId="10" fillId="0" borderId="0" xfId="1" applyFont="1" applyFill="1" applyProtection="1"/>
    <xf numFmtId="3" fontId="7" fillId="0" borderId="0" xfId="1" applyNumberFormat="1"/>
    <xf numFmtId="0" fontId="7" fillId="0" borderId="0" xfId="1"/>
    <xf numFmtId="0" fontId="10" fillId="0" borderId="0" xfId="0" applyFont="1" applyFill="1" applyProtection="1"/>
    <xf numFmtId="3" fontId="7" fillId="0" borderId="0" xfId="1" applyNumberFormat="1" applyFill="1" applyProtection="1"/>
    <xf numFmtId="164" fontId="7" fillId="0" borderId="0" xfId="1" applyNumberFormat="1"/>
    <xf numFmtId="4" fontId="7" fillId="0" borderId="0" xfId="1" applyNumberFormat="1"/>
    <xf numFmtId="165" fontId="7" fillId="0" borderId="0" xfId="1" applyNumberFormat="1"/>
    <xf numFmtId="10" fontId="7" fillId="0" borderId="0" xfId="1" applyNumberFormat="1"/>
    <xf numFmtId="165" fontId="12" fillId="0" borderId="0" xfId="1" applyNumberFormat="1" applyFont="1"/>
    <xf numFmtId="165" fontId="9" fillId="0" borderId="0" xfId="1" applyNumberFormat="1" applyFont="1"/>
    <xf numFmtId="166" fontId="7" fillId="0" borderId="0" xfId="1" applyNumberFormat="1"/>
    <xf numFmtId="2" fontId="7" fillId="0" borderId="0" xfId="1" applyNumberFormat="1"/>
    <xf numFmtId="0" fontId="13" fillId="0" borderId="0" xfId="1" applyFont="1"/>
    <xf numFmtId="3" fontId="13" fillId="0" borderId="0" xfId="1" applyNumberFormat="1" applyFont="1"/>
    <xf numFmtId="3" fontId="12" fillId="0" borderId="0" xfId="1" applyNumberFormat="1" applyFont="1"/>
    <xf numFmtId="3" fontId="12" fillId="2" borderId="0" xfId="1" applyNumberFormat="1" applyFont="1" applyFill="1"/>
    <xf numFmtId="3" fontId="14" fillId="2" borderId="0" xfId="1" applyNumberFormat="1" applyFont="1" applyFill="1"/>
    <xf numFmtId="3" fontId="7" fillId="2" borderId="0" xfId="1" applyNumberFormat="1" applyFill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1" fontId="7" fillId="0" borderId="0" xfId="1" applyNumberFormat="1"/>
    <xf numFmtId="165" fontId="12" fillId="0" borderId="0" xfId="2" applyNumberFormat="1" applyFont="1"/>
    <xf numFmtId="3" fontId="14" fillId="0" borderId="0" xfId="1" applyNumberFormat="1" applyFont="1"/>
    <xf numFmtId="9" fontId="14" fillId="0" borderId="0" xfId="2" applyFont="1"/>
    <xf numFmtId="0" fontId="7" fillId="0" borderId="0" xfId="1" applyAlignment="1">
      <alignment horizontal="right"/>
    </xf>
    <xf numFmtId="3" fontId="7" fillId="0" borderId="0" xfId="1" applyNumberFormat="1" applyAlignment="1">
      <alignment horizontal="right"/>
    </xf>
    <xf numFmtId="9" fontId="14" fillId="0" borderId="0" xfId="2" applyNumberFormat="1" applyFont="1"/>
    <xf numFmtId="3" fontId="16" fillId="0" borderId="0" xfId="0" applyNumberFormat="1" applyFont="1"/>
    <xf numFmtId="3" fontId="11" fillId="0" borderId="0" xfId="1" applyNumberFormat="1" applyFont="1" applyFill="1" applyProtection="1"/>
    <xf numFmtId="165" fontId="6" fillId="0" borderId="0" xfId="2" applyNumberFormat="1" applyFont="1"/>
    <xf numFmtId="9" fontId="6" fillId="0" borderId="0" xfId="2" applyFont="1"/>
    <xf numFmtId="0" fontId="5" fillId="0" borderId="0" xfId="3"/>
    <xf numFmtId="0" fontId="18" fillId="0" borderId="0" xfId="0" applyFont="1"/>
    <xf numFmtId="0" fontId="5" fillId="0" borderId="0" xfId="3"/>
    <xf numFmtId="0" fontId="5" fillId="0" borderId="0" xfId="3" applyFill="1"/>
    <xf numFmtId="0" fontId="5" fillId="0" borderId="0" xfId="3"/>
    <xf numFmtId="0" fontId="5" fillId="0" borderId="0" xfId="3"/>
    <xf numFmtId="0" fontId="5" fillId="0" borderId="0" xfId="3"/>
    <xf numFmtId="0" fontId="5" fillId="0" borderId="0" xfId="3"/>
    <xf numFmtId="0" fontId="5" fillId="0" borderId="0" xfId="3"/>
    <xf numFmtId="0" fontId="4" fillId="0" borderId="0" xfId="3" applyFont="1" applyFill="1"/>
    <xf numFmtId="3" fontId="20" fillId="0" borderId="0" xfId="0" applyNumberFormat="1" applyFont="1"/>
    <xf numFmtId="167" fontId="7" fillId="0" borderId="0" xfId="1" applyNumberFormat="1"/>
    <xf numFmtId="168" fontId="7" fillId="0" borderId="0" xfId="1" applyNumberFormat="1"/>
    <xf numFmtId="3" fontId="21" fillId="3" borderId="0" xfId="4" applyNumberFormat="1"/>
    <xf numFmtId="169" fontId="7" fillId="0" borderId="0" xfId="1" applyNumberFormat="1" applyFill="1" applyProtection="1"/>
    <xf numFmtId="170" fontId="7" fillId="0" borderId="0" xfId="1" applyNumberFormat="1" applyFill="1" applyProtection="1"/>
    <xf numFmtId="0" fontId="3" fillId="0" borderId="0" xfId="3" applyFont="1" applyFill="1"/>
    <xf numFmtId="0" fontId="3" fillId="0" borderId="0" xfId="44"/>
    <xf numFmtId="0" fontId="3" fillId="0" borderId="0" xfId="44"/>
    <xf numFmtId="0" fontId="3" fillId="0" borderId="0" xfId="44"/>
    <xf numFmtId="0" fontId="3" fillId="0" borderId="0" xfId="44"/>
    <xf numFmtId="3" fontId="21" fillId="3" borderId="0" xfId="4" applyNumberFormat="1" applyAlignment="1">
      <alignment horizontal="right"/>
    </xf>
    <xf numFmtId="0" fontId="0" fillId="0" borderId="0" xfId="0" applyFont="1" applyAlignment="1">
      <alignment horizontal="center"/>
    </xf>
    <xf numFmtId="0" fontId="21" fillId="3" borderId="0" xfId="4"/>
    <xf numFmtId="0" fontId="2" fillId="0" borderId="0" xfId="0" applyFont="1"/>
    <xf numFmtId="1" fontId="21" fillId="3" borderId="0" xfId="4" applyNumberFormat="1"/>
    <xf numFmtId="3" fontId="0" fillId="0" borderId="0" xfId="0" applyNumberFormat="1"/>
    <xf numFmtId="0" fontId="38" fillId="0" borderId="0" xfId="0" applyFont="1"/>
  </cellXfs>
  <cellStyles count="5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nteckning 2" xfId="45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Good" xfId="4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3"/>
    <cellStyle name="Normal 4" xfId="44"/>
    <cellStyle name="Normal 5" xfId="46"/>
    <cellStyle name="Output" xfId="13" builtinId="21" customBuiltin="1"/>
    <cellStyle name="Percent 2" xfId="2"/>
    <cellStyle name="Title" xfId="5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125" zoomScaleNormal="125" zoomScalePageLayoutView="125" workbookViewId="0">
      <selection activeCell="A3" sqref="A3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64" t="s">
        <v>0</v>
      </c>
    </row>
    <row r="2" spans="1:14">
      <c r="A2" s="64" t="s">
        <v>71</v>
      </c>
    </row>
    <row r="3" spans="1:14">
      <c r="A3">
        <v>2013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33</v>
      </c>
      <c r="H3" t="s">
        <v>6</v>
      </c>
      <c r="I3" t="s">
        <v>5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6" spans="1:14">
      <c r="A6" t="s">
        <v>13</v>
      </c>
      <c r="B6" s="63">
        <v>164587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</row>
    <row r="7" spans="1:14">
      <c r="A7" t="s">
        <v>14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</row>
    <row r="8" spans="1:14">
      <c r="A8" t="s">
        <v>15</v>
      </c>
      <c r="B8" s="63">
        <v>265075.22727272729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</row>
    <row r="9" spans="1:14">
      <c r="A9" t="s">
        <v>16</v>
      </c>
      <c r="B9" s="63">
        <v>11455.639772727274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</row>
    <row r="10" spans="1:14">
      <c r="A10" t="s">
        <v>17</v>
      </c>
      <c r="B10" s="63">
        <f>SUM(B6:B9)</f>
        <v>441117.86704545456</v>
      </c>
      <c r="C10" s="63">
        <v>0</v>
      </c>
      <c r="D10" s="63">
        <v>0</v>
      </c>
      <c r="E10" s="63">
        <v>0</v>
      </c>
      <c r="F10" s="63">
        <v>0</v>
      </c>
      <c r="G10" s="63">
        <f>SUM(G6:G9)</f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</row>
    <row r="11" spans="1:14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>
      <c r="A13" s="64" t="s">
        <v>18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>
      <c r="B15" s="63" t="s">
        <v>19</v>
      </c>
      <c r="C15" s="63" t="s">
        <v>2</v>
      </c>
      <c r="D15" s="63" t="s">
        <v>3</v>
      </c>
      <c r="E15" s="63" t="s">
        <v>4</v>
      </c>
      <c r="F15" s="63" t="s">
        <v>20</v>
      </c>
      <c r="G15" s="63" t="s">
        <v>33</v>
      </c>
      <c r="H15" s="63" t="s">
        <v>6</v>
      </c>
      <c r="I15" s="63" t="s">
        <v>5</v>
      </c>
      <c r="J15" s="63" t="s">
        <v>8</v>
      </c>
      <c r="K15" s="63" t="s">
        <v>9</v>
      </c>
      <c r="L15" s="63" t="s">
        <v>10</v>
      </c>
      <c r="M15" s="63" t="s">
        <v>11</v>
      </c>
      <c r="N15" s="63" t="s">
        <v>12</v>
      </c>
    </row>
    <row r="16" spans="1:14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20">
      <c r="A17" t="s">
        <v>21</v>
      </c>
      <c r="B17" s="63">
        <v>785908</v>
      </c>
      <c r="C17" s="63">
        <v>18534</v>
      </c>
      <c r="D17" s="63">
        <v>0</v>
      </c>
      <c r="E17" s="63">
        <v>1750</v>
      </c>
      <c r="F17" s="63">
        <v>0</v>
      </c>
      <c r="G17" s="63">
        <v>724949</v>
      </c>
      <c r="H17" s="63">
        <v>0</v>
      </c>
      <c r="I17" s="63">
        <v>0</v>
      </c>
      <c r="J17" s="63">
        <v>75036</v>
      </c>
      <c r="K17" s="63">
        <v>146486</v>
      </c>
      <c r="L17" s="63">
        <v>0</v>
      </c>
      <c r="M17" s="63">
        <v>0</v>
      </c>
      <c r="N17" s="63">
        <f>SUM(C17:M17)</f>
        <v>966755</v>
      </c>
    </row>
    <row r="18" spans="1:20">
      <c r="A18" t="s">
        <v>22</v>
      </c>
      <c r="B18" s="63">
        <v>417093.1</v>
      </c>
      <c r="C18" s="63">
        <v>12727.21</v>
      </c>
      <c r="D18" s="63">
        <v>0</v>
      </c>
      <c r="E18" s="63">
        <v>2143</v>
      </c>
      <c r="F18" s="63">
        <v>0</v>
      </c>
      <c r="G18" s="63">
        <v>438895.3</v>
      </c>
      <c r="H18" s="63">
        <v>451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f t="shared" ref="N18:N20" si="0">SUM(C18:M18)</f>
        <v>454216.51</v>
      </c>
    </row>
    <row r="19" spans="1:20">
      <c r="A19" t="s">
        <v>23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</row>
    <row r="20" spans="1:20">
      <c r="A20" t="s">
        <v>24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f t="shared" si="0"/>
        <v>0</v>
      </c>
    </row>
    <row r="21" spans="1:20">
      <c r="A21" t="s">
        <v>25</v>
      </c>
      <c r="B21" s="63">
        <v>78723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</row>
    <row r="22" spans="1:20">
      <c r="A22" t="s">
        <v>26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</row>
    <row r="23" spans="1:20">
      <c r="A23" t="s">
        <v>17</v>
      </c>
      <c r="B23" s="63">
        <f>SUM(B17:B22)</f>
        <v>1281724.1000000001</v>
      </c>
      <c r="C23" s="63">
        <f t="shared" ref="C23:N23" si="1">SUM(C17:C22)</f>
        <v>31261.21</v>
      </c>
      <c r="D23" s="63">
        <f t="shared" si="1"/>
        <v>0</v>
      </c>
      <c r="E23" s="63">
        <f t="shared" si="1"/>
        <v>3893</v>
      </c>
      <c r="F23" s="63">
        <f t="shared" si="1"/>
        <v>0</v>
      </c>
      <c r="G23" s="63">
        <f t="shared" si="1"/>
        <v>1163844.3</v>
      </c>
      <c r="H23" s="63">
        <f t="shared" si="1"/>
        <v>451</v>
      </c>
      <c r="I23" s="63">
        <f t="shared" si="1"/>
        <v>0</v>
      </c>
      <c r="J23" s="63">
        <f t="shared" si="1"/>
        <v>75036</v>
      </c>
      <c r="K23" s="63">
        <f t="shared" si="1"/>
        <v>146486</v>
      </c>
      <c r="L23" s="63">
        <f t="shared" si="1"/>
        <v>0</v>
      </c>
      <c r="M23" s="63">
        <f t="shared" si="1"/>
        <v>0</v>
      </c>
      <c r="N23" s="63">
        <f t="shared" si="1"/>
        <v>1420971.51</v>
      </c>
      <c r="R23" s="3" t="s">
        <v>27</v>
      </c>
      <c r="S23" s="9">
        <f>N42/1000</f>
        <v>6482.6944699999995</v>
      </c>
      <c r="T23" s="3"/>
    </row>
    <row r="24" spans="1:20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R24" s="3"/>
      <c r="S24" s="3"/>
      <c r="T24" s="3"/>
    </row>
    <row r="25" spans="1:20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R25" s="3"/>
      <c r="S25" s="3" t="s">
        <v>28</v>
      </c>
      <c r="T25" s="3" t="s">
        <v>29</v>
      </c>
    </row>
    <row r="26" spans="1:20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R26" s="3" t="s">
        <v>11</v>
      </c>
      <c r="S26" s="10">
        <f>M42/1000</f>
        <v>1927.22396</v>
      </c>
      <c r="T26" s="11">
        <f>M43</f>
        <v>0.29728748885492362</v>
      </c>
    </row>
    <row r="27" spans="1:20">
      <c r="A27" s="64" t="s">
        <v>30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R27" s="63" t="s">
        <v>33</v>
      </c>
      <c r="S27" s="10">
        <f>G42/1000</f>
        <v>1875.3063</v>
      </c>
      <c r="T27" s="12">
        <f>G43</f>
        <v>0.28927883439183588</v>
      </c>
    </row>
    <row r="28" spans="1:20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R28" s="3" t="s">
        <v>8</v>
      </c>
      <c r="S28" s="10">
        <f>J42/1000</f>
        <v>75.036000000000001</v>
      </c>
      <c r="T28" s="11">
        <f>J43</f>
        <v>1.1574816667242997E-2</v>
      </c>
    </row>
    <row r="29" spans="1:20">
      <c r="B29" s="63" t="s">
        <v>31</v>
      </c>
      <c r="C29" s="63" t="s">
        <v>2</v>
      </c>
      <c r="D29" s="63" t="s">
        <v>3</v>
      </c>
      <c r="E29" s="63" t="s">
        <v>4</v>
      </c>
      <c r="F29" s="63" t="s">
        <v>32</v>
      </c>
      <c r="G29" s="63" t="s">
        <v>33</v>
      </c>
      <c r="H29" s="63" t="s">
        <v>6</v>
      </c>
      <c r="I29" s="63" t="s">
        <v>5</v>
      </c>
      <c r="J29" s="63" t="s">
        <v>8</v>
      </c>
      <c r="K29" s="63" t="s">
        <v>9</v>
      </c>
      <c r="L29" s="63" t="s">
        <v>10</v>
      </c>
      <c r="M29" s="63" t="s">
        <v>11</v>
      </c>
      <c r="N29" s="63" t="s">
        <v>34</v>
      </c>
      <c r="R29" s="3" t="s">
        <v>9</v>
      </c>
      <c r="S29" s="10">
        <f>K42/1000</f>
        <v>146.48599999999999</v>
      </c>
      <c r="T29" s="11">
        <f>K43</f>
        <v>2.2596468286126093E-2</v>
      </c>
    </row>
    <row r="30" spans="1:20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R30" s="3" t="s">
        <v>32</v>
      </c>
      <c r="S30" s="10">
        <f>F42/1000</f>
        <v>181.881</v>
      </c>
      <c r="T30" s="11">
        <f>F43</f>
        <v>2.8056389336516118E-2</v>
      </c>
    </row>
    <row r="31" spans="1:20">
      <c r="A31" t="s">
        <v>36</v>
      </c>
      <c r="B31" s="63">
        <v>0</v>
      </c>
      <c r="C31" s="63">
        <v>66715</v>
      </c>
      <c r="D31" s="63">
        <v>0</v>
      </c>
      <c r="E31" s="63">
        <v>0</v>
      </c>
      <c r="F31" s="63">
        <v>7183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99730</v>
      </c>
      <c r="N31" s="63">
        <f>SUM(B31:M31)</f>
        <v>173628</v>
      </c>
      <c r="O31" s="13">
        <f>N31/N$39</f>
        <v>2.826532299970437E-2</v>
      </c>
      <c r="P31" s="14" t="s">
        <v>37</v>
      </c>
      <c r="Q31" s="3"/>
      <c r="R31" s="3" t="s">
        <v>35</v>
      </c>
      <c r="S31" s="9">
        <f>E42/1000</f>
        <v>94.869</v>
      </c>
      <c r="T31" s="11">
        <f>E43</f>
        <v>1.4634192686239616E-2</v>
      </c>
    </row>
    <row r="32" spans="1:20">
      <c r="A32" t="s">
        <v>39</v>
      </c>
      <c r="B32" s="63">
        <v>153088.97645327446</v>
      </c>
      <c r="C32" s="63">
        <v>109431</v>
      </c>
      <c r="D32" s="63">
        <v>0</v>
      </c>
      <c r="E32" s="63">
        <v>90976</v>
      </c>
      <c r="F32" s="63">
        <v>28889</v>
      </c>
      <c r="G32" s="63">
        <v>307328</v>
      </c>
      <c r="H32" s="63">
        <v>0</v>
      </c>
      <c r="I32" s="63">
        <v>402651</v>
      </c>
      <c r="J32" s="63">
        <v>0</v>
      </c>
      <c r="K32" s="63">
        <v>0</v>
      </c>
      <c r="L32" s="63">
        <v>0</v>
      </c>
      <c r="M32" s="63">
        <v>577538</v>
      </c>
      <c r="N32" s="63">
        <f t="shared" ref="N32:N38" si="2">SUM(B32:M32)</f>
        <v>1669901.9764532745</v>
      </c>
      <c r="O32" s="13">
        <f>N32/N$39</f>
        <v>0.27184739064146635</v>
      </c>
      <c r="P32" s="14" t="s">
        <v>40</v>
      </c>
      <c r="Q32" s="3"/>
      <c r="R32" s="3" t="s">
        <v>92</v>
      </c>
      <c r="S32" s="9">
        <f>D42/1000</f>
        <v>0</v>
      </c>
      <c r="T32" s="11">
        <f>D43</f>
        <v>0</v>
      </c>
    </row>
    <row r="33" spans="1:20">
      <c r="A33" t="s">
        <v>42</v>
      </c>
      <c r="B33" s="63">
        <v>117142.44959529066</v>
      </c>
      <c r="C33" s="63">
        <v>13340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169989</v>
      </c>
      <c r="N33" s="63">
        <f t="shared" si="2"/>
        <v>300471.44959529064</v>
      </c>
      <c r="O33" s="13">
        <f>N33/N$39</f>
        <v>4.8914475631812157E-2</v>
      </c>
      <c r="P33" s="14" t="s">
        <v>43</v>
      </c>
      <c r="Q33" s="3"/>
      <c r="R33" s="3" t="s">
        <v>5</v>
      </c>
      <c r="S33" s="9">
        <f>I42/1000</f>
        <v>402.65100000000001</v>
      </c>
      <c r="T33" s="11">
        <f>I43</f>
        <v>6.2111673141985978E-2</v>
      </c>
    </row>
    <row r="34" spans="1:20">
      <c r="A34" t="s">
        <v>44</v>
      </c>
      <c r="B34" s="63">
        <v>0</v>
      </c>
      <c r="C34" s="63">
        <v>1536816</v>
      </c>
      <c r="D34" s="63">
        <v>0</v>
      </c>
      <c r="E34" s="63">
        <v>0</v>
      </c>
      <c r="F34" s="63">
        <v>145809</v>
      </c>
      <c r="G34" s="63">
        <v>0</v>
      </c>
      <c r="H34" s="63">
        <v>1969</v>
      </c>
      <c r="I34" s="63">
        <v>0</v>
      </c>
      <c r="J34" s="63">
        <v>0</v>
      </c>
      <c r="K34" s="63">
        <v>0</v>
      </c>
      <c r="L34" s="63">
        <v>0</v>
      </c>
      <c r="M34" s="63">
        <v>749</v>
      </c>
      <c r="N34" s="63">
        <f t="shared" si="2"/>
        <v>1685343</v>
      </c>
      <c r="O34" s="13">
        <f>N34/N$39</f>
        <v>0.27436107229416201</v>
      </c>
      <c r="P34" s="14" t="s">
        <v>45</v>
      </c>
      <c r="Q34" s="3"/>
      <c r="R34" s="3" t="s">
        <v>38</v>
      </c>
      <c r="S34" s="10">
        <f>C42/1000</f>
        <v>1776.8212100000001</v>
      </c>
      <c r="T34" s="12">
        <f>C43</f>
        <v>0.27408683506875192</v>
      </c>
    </row>
    <row r="35" spans="1:20">
      <c r="A35" t="s">
        <v>46</v>
      </c>
      <c r="B35" s="63">
        <v>209148.69904341426</v>
      </c>
      <c r="C35" s="63">
        <v>14193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467588</v>
      </c>
      <c r="N35" s="63">
        <f t="shared" si="2"/>
        <v>690929.69904341432</v>
      </c>
      <c r="O35" s="13">
        <f>N35/N$39</f>
        <v>0.11247812054248529</v>
      </c>
      <c r="P35" s="14" t="s">
        <v>47</v>
      </c>
      <c r="Q35" s="14"/>
      <c r="R35" s="3" t="s">
        <v>10</v>
      </c>
      <c r="S35" s="10">
        <f>L42/1000</f>
        <v>0</v>
      </c>
      <c r="T35" s="12">
        <f>L43</f>
        <v>0</v>
      </c>
    </row>
    <row r="36" spans="1:20">
      <c r="A36" t="s">
        <v>48</v>
      </c>
      <c r="B36" s="63">
        <v>227511.31935246504</v>
      </c>
      <c r="C36" s="63">
        <v>4278</v>
      </c>
      <c r="D36" s="63">
        <v>0</v>
      </c>
      <c r="E36" s="63">
        <v>0</v>
      </c>
      <c r="F36" s="63">
        <v>0</v>
      </c>
      <c r="G36" s="63">
        <v>404134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478031</v>
      </c>
      <c r="N36" s="63">
        <f t="shared" si="2"/>
        <v>1113954.319352465</v>
      </c>
      <c r="O36" s="14"/>
      <c r="P36" s="14"/>
      <c r="Q36" s="3"/>
      <c r="R36" s="3" t="s">
        <v>6</v>
      </c>
      <c r="S36" s="10">
        <f>H42/1000</f>
        <v>2.42</v>
      </c>
      <c r="T36" s="11">
        <f>H43</f>
        <v>3.7330156637784597E-4</v>
      </c>
    </row>
    <row r="37" spans="1:20">
      <c r="A37" t="s">
        <v>49</v>
      </c>
      <c r="B37" s="63">
        <v>364539.55555555556</v>
      </c>
      <c r="C37" s="63">
        <v>787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96901</v>
      </c>
      <c r="N37" s="63">
        <f t="shared" si="2"/>
        <v>462227.55555555556</v>
      </c>
      <c r="O37" s="14"/>
      <c r="P37" s="14"/>
      <c r="Q37" s="3"/>
      <c r="R37" s="3"/>
      <c r="S37" s="10">
        <f>SUM(S26:S36)</f>
        <v>6482.6944699999995</v>
      </c>
      <c r="T37" s="11">
        <f>SUM(T26:T36)</f>
        <v>1</v>
      </c>
    </row>
    <row r="38" spans="1:20">
      <c r="A38" t="s">
        <v>50</v>
      </c>
      <c r="B38" s="63">
        <v>0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46336</v>
      </c>
      <c r="N38" s="63">
        <f t="shared" si="2"/>
        <v>46336</v>
      </c>
      <c r="O38" s="14">
        <f>SUM(O31:O35)</f>
        <v>0.73586638210963018</v>
      </c>
      <c r="P38" s="14"/>
      <c r="Q38" s="3"/>
      <c r="R38" s="2"/>
      <c r="S38" s="2"/>
      <c r="T38" s="2"/>
    </row>
    <row r="39" spans="1:20">
      <c r="A39" t="s">
        <v>17</v>
      </c>
      <c r="B39" s="63">
        <f>SUM(B31:B38)</f>
        <v>1071431</v>
      </c>
      <c r="C39" s="63">
        <f t="shared" ref="C39:N39" si="3">SUM(C31:C38)</f>
        <v>1745560</v>
      </c>
      <c r="D39" s="63">
        <f t="shared" si="3"/>
        <v>0</v>
      </c>
      <c r="E39" s="63">
        <f t="shared" si="3"/>
        <v>90976</v>
      </c>
      <c r="F39" s="63">
        <f t="shared" si="3"/>
        <v>181881</v>
      </c>
      <c r="G39" s="63">
        <f t="shared" si="3"/>
        <v>711462</v>
      </c>
      <c r="H39" s="63">
        <f t="shared" si="3"/>
        <v>1969</v>
      </c>
      <c r="I39" s="63">
        <f t="shared" si="3"/>
        <v>402651</v>
      </c>
      <c r="J39" s="63">
        <f t="shared" si="3"/>
        <v>0</v>
      </c>
      <c r="K39" s="63">
        <f t="shared" si="3"/>
        <v>0</v>
      </c>
      <c r="L39" s="63">
        <f t="shared" si="3"/>
        <v>0</v>
      </c>
      <c r="M39" s="63">
        <f t="shared" si="3"/>
        <v>1936862</v>
      </c>
      <c r="N39" s="63">
        <f t="shared" si="3"/>
        <v>6142792</v>
      </c>
      <c r="R39" s="6"/>
      <c r="S39" s="6"/>
      <c r="T39" s="6"/>
    </row>
    <row r="40" spans="1:20">
      <c r="R40" s="6"/>
      <c r="S40" s="6" t="s">
        <v>28</v>
      </c>
      <c r="T40" s="6" t="s">
        <v>29</v>
      </c>
    </row>
    <row r="41" spans="1:20">
      <c r="A41" s="17" t="s">
        <v>54</v>
      </c>
      <c r="B41" s="18">
        <f>B38+B37+B36</f>
        <v>592050.8749080206</v>
      </c>
      <c r="C41" s="18">
        <f t="shared" ref="C41:N41" si="4">C38+C37+C36</f>
        <v>5065</v>
      </c>
      <c r="D41" s="18">
        <f t="shared" si="4"/>
        <v>0</v>
      </c>
      <c r="E41" s="18">
        <f t="shared" si="4"/>
        <v>0</v>
      </c>
      <c r="F41" s="18">
        <f t="shared" si="4"/>
        <v>0</v>
      </c>
      <c r="G41" s="18">
        <f t="shared" si="4"/>
        <v>404134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621268</v>
      </c>
      <c r="N41" s="18">
        <f t="shared" si="4"/>
        <v>1622517.8749080205</v>
      </c>
      <c r="O41" s="13">
        <f>N41/N$39</f>
        <v>0.26413361789036982</v>
      </c>
      <c r="P41" s="13" t="s">
        <v>55</v>
      </c>
      <c r="R41" s="6" t="s">
        <v>51</v>
      </c>
      <c r="S41" s="15">
        <f>N45/1000</f>
        <v>365.24206000000004</v>
      </c>
      <c r="T41" s="6"/>
    </row>
    <row r="42" spans="1:20">
      <c r="A42" s="19" t="s">
        <v>57</v>
      </c>
      <c r="B42" s="18"/>
      <c r="C42" s="20">
        <f>C39+C23+C10</f>
        <v>1776821.21</v>
      </c>
      <c r="D42" s="20">
        <f t="shared" ref="D42:L42" si="5">D39+D23+D10</f>
        <v>0</v>
      </c>
      <c r="E42" s="20">
        <f t="shared" si="5"/>
        <v>94869</v>
      </c>
      <c r="F42" s="20">
        <f t="shared" si="5"/>
        <v>181881</v>
      </c>
      <c r="G42" s="20">
        <f t="shared" si="5"/>
        <v>1875306.3</v>
      </c>
      <c r="H42" s="20">
        <f t="shared" si="5"/>
        <v>2420</v>
      </c>
      <c r="I42" s="20">
        <f t="shared" si="5"/>
        <v>402651</v>
      </c>
      <c r="J42" s="20">
        <f t="shared" si="5"/>
        <v>75036</v>
      </c>
      <c r="K42" s="20">
        <f t="shared" si="5"/>
        <v>146486</v>
      </c>
      <c r="L42" s="20">
        <f t="shared" si="5"/>
        <v>0</v>
      </c>
      <c r="M42" s="20">
        <f>M39+M23-B6+M45</f>
        <v>1927223.96</v>
      </c>
      <c r="N42" s="21">
        <f>SUM(C42:M42)</f>
        <v>6482694.4699999997</v>
      </c>
      <c r="O42" s="6"/>
      <c r="P42" s="6"/>
      <c r="R42" s="6" t="s">
        <v>52</v>
      </c>
      <c r="S42" s="16">
        <f>N41/1000</f>
        <v>1622.5178749080205</v>
      </c>
      <c r="T42" s="11">
        <f>O41</f>
        <v>0.26413361789036982</v>
      </c>
    </row>
    <row r="43" spans="1:20">
      <c r="A43" s="19" t="s">
        <v>58</v>
      </c>
      <c r="B43" s="18"/>
      <c r="C43" s="13">
        <f t="shared" ref="C43:M43" si="6">C42/$N42</f>
        <v>0.27408683506875192</v>
      </c>
      <c r="D43" s="13">
        <f t="shared" si="6"/>
        <v>0</v>
      </c>
      <c r="E43" s="13">
        <f t="shared" si="6"/>
        <v>1.4634192686239616E-2</v>
      </c>
      <c r="F43" s="13">
        <f t="shared" si="6"/>
        <v>2.8056389336516118E-2</v>
      </c>
      <c r="G43" s="13">
        <f t="shared" si="6"/>
        <v>0.28927883439183588</v>
      </c>
      <c r="H43" s="13">
        <f t="shared" si="6"/>
        <v>3.7330156637784597E-4</v>
      </c>
      <c r="I43" s="13">
        <f t="shared" si="6"/>
        <v>6.2111673141985978E-2</v>
      </c>
      <c r="J43" s="13">
        <f t="shared" si="6"/>
        <v>1.1574816667242997E-2</v>
      </c>
      <c r="K43" s="13">
        <f t="shared" si="6"/>
        <v>2.2596468286126093E-2</v>
      </c>
      <c r="L43" s="13">
        <f t="shared" si="6"/>
        <v>0</v>
      </c>
      <c r="M43" s="13">
        <f t="shared" si="6"/>
        <v>0.29728748885492362</v>
      </c>
      <c r="N43" s="13">
        <f>SUM(C43:M43)</f>
        <v>1</v>
      </c>
      <c r="O43" s="6"/>
      <c r="P43" s="6"/>
      <c r="R43" s="6" t="s">
        <v>53</v>
      </c>
      <c r="S43" s="16">
        <f>N35/1000</f>
        <v>690.9296990434143</v>
      </c>
      <c r="T43" s="12">
        <f>O35</f>
        <v>0.11247812054248529</v>
      </c>
    </row>
    <row r="44" spans="1:20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R44" s="6" t="s">
        <v>56</v>
      </c>
      <c r="S44" s="16">
        <f>N33/1000</f>
        <v>300.47144959529066</v>
      </c>
      <c r="T44" s="11">
        <f>O33</f>
        <v>4.8914475631812157E-2</v>
      </c>
    </row>
    <row r="45" spans="1:20">
      <c r="A45" s="5" t="s">
        <v>61</v>
      </c>
      <c r="B45" s="5">
        <f>B23-B39</f>
        <v>210293.10000000009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154948.96</v>
      </c>
      <c r="N45" s="21">
        <f>B45+M45</f>
        <v>365242.06000000006</v>
      </c>
      <c r="O45" s="6"/>
      <c r="P45" s="6"/>
      <c r="R45" s="6" t="s">
        <v>37</v>
      </c>
      <c r="S45" s="16">
        <f>N31/1000</f>
        <v>173.62799999999999</v>
      </c>
      <c r="T45" s="11">
        <f>O31</f>
        <v>2.826532299970437E-2</v>
      </c>
    </row>
    <row r="46" spans="1:20">
      <c r="R46" s="6" t="s">
        <v>59</v>
      </c>
      <c r="S46" s="16">
        <f>N32/1000</f>
        <v>1669.9019764532745</v>
      </c>
      <c r="T46" s="12">
        <f>O32</f>
        <v>0.27184739064146635</v>
      </c>
    </row>
    <row r="47" spans="1:20">
      <c r="R47" s="6" t="s">
        <v>60</v>
      </c>
      <c r="S47" s="16">
        <f>N34/1000</f>
        <v>1685.3430000000001</v>
      </c>
      <c r="T47" s="12">
        <f>O34</f>
        <v>0.27436107229416201</v>
      </c>
    </row>
    <row r="48" spans="1:20">
      <c r="D48" s="63"/>
      <c r="R48" s="6" t="s">
        <v>62</v>
      </c>
      <c r="S48" s="16">
        <f>SUM(S42:S47)</f>
        <v>6142.7920000000004</v>
      </c>
      <c r="T48" s="11">
        <f>SUM(T42:T47)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10" sqref="B10"/>
    </sheetView>
  </sheetViews>
  <sheetFormatPr baseColWidth="10" defaultColWidth="8.83203125" defaultRowHeight="15" x14ac:dyDescent="0"/>
  <cols>
    <col min="2" max="2" width="21" bestFit="1" customWidth="1"/>
    <col min="3" max="3" width="34.1640625" bestFit="1" customWidth="1"/>
    <col min="4" max="4" width="15.83203125" bestFit="1" customWidth="1"/>
    <col min="5" max="5" width="12.5" bestFit="1" customWidth="1"/>
  </cols>
  <sheetData>
    <row r="1" spans="1:8">
      <c r="B1" s="37"/>
      <c r="C1" s="37"/>
      <c r="D1" s="37"/>
      <c r="E1" s="37"/>
      <c r="F1" s="37"/>
    </row>
    <row r="2" spans="1:8">
      <c r="B2" s="39"/>
      <c r="C2" s="39"/>
      <c r="D2" s="37"/>
      <c r="E2" s="37"/>
      <c r="F2" s="37"/>
    </row>
    <row r="3" spans="1:8">
      <c r="B3" s="37"/>
      <c r="C3" s="37"/>
      <c r="D3" s="37"/>
      <c r="E3" s="37"/>
      <c r="F3" s="37"/>
    </row>
    <row r="4" spans="1:8">
      <c r="A4" s="43">
        <v>202860</v>
      </c>
      <c r="B4" s="39" t="s">
        <v>73</v>
      </c>
      <c r="C4" s="39" t="s">
        <v>74</v>
      </c>
      <c r="D4" s="39" t="s">
        <v>75</v>
      </c>
      <c r="E4" s="39" t="s">
        <v>71</v>
      </c>
      <c r="F4" s="38" t="s">
        <v>72</v>
      </c>
    </row>
    <row r="5" spans="1:8">
      <c r="A5" s="45">
        <v>203763</v>
      </c>
      <c r="B5" s="39" t="s">
        <v>80</v>
      </c>
      <c r="C5" s="42" t="s">
        <v>80</v>
      </c>
      <c r="D5" s="42" t="s">
        <v>75</v>
      </c>
      <c r="E5" s="42" t="s">
        <v>71</v>
      </c>
      <c r="F5" s="40" t="s">
        <v>72</v>
      </c>
    </row>
    <row r="6" spans="1:8">
      <c r="A6" s="44">
        <v>449</v>
      </c>
      <c r="B6" s="41" t="s">
        <v>76</v>
      </c>
      <c r="C6" s="41" t="s">
        <v>77</v>
      </c>
      <c r="D6" s="41" t="s">
        <v>78</v>
      </c>
      <c r="E6" s="41" t="s">
        <v>71</v>
      </c>
      <c r="F6" s="41" t="s">
        <v>79</v>
      </c>
      <c r="G6" s="46" t="s">
        <v>81</v>
      </c>
      <c r="H6" s="46" t="s">
        <v>82</v>
      </c>
    </row>
    <row r="7" spans="1:8">
      <c r="B7" s="54" t="s">
        <v>85</v>
      </c>
      <c r="F7" s="53" t="s">
        <v>86</v>
      </c>
    </row>
    <row r="10" spans="1:8">
      <c r="B10" s="57" t="s">
        <v>91</v>
      </c>
    </row>
    <row r="12" spans="1:8">
      <c r="F12" t="s">
        <v>88</v>
      </c>
    </row>
    <row r="13" spans="1:8">
      <c r="B13" s="55" t="s">
        <v>87</v>
      </c>
      <c r="F13" t="s">
        <v>90</v>
      </c>
    </row>
    <row r="14" spans="1:8">
      <c r="B14" s="56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U70"/>
  <sheetViews>
    <sheetView topLeftCell="A13" workbookViewId="0">
      <selection activeCell="A25" sqref="A25"/>
    </sheetView>
  </sheetViews>
  <sheetFormatPr baseColWidth="10" defaultColWidth="8.83203125" defaultRowHeight="14" x14ac:dyDescent="0"/>
  <cols>
    <col min="1" max="1" width="19.164062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63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/>
      <c r="J6" s="33"/>
      <c r="K6" s="33"/>
      <c r="L6" s="33"/>
      <c r="M6" s="33"/>
      <c r="N6" s="33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33">
        <v>3564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33">
        <v>8683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12248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/>
      <c r="J10" s="33"/>
      <c r="K10" s="33"/>
      <c r="L10" s="33"/>
      <c r="M10" s="33"/>
      <c r="N10" s="33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/>
      <c r="J17" s="33"/>
      <c r="K17" s="33"/>
      <c r="L17" s="33"/>
      <c r="M17" s="33"/>
      <c r="N17" s="33">
        <v>0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33">
        <v>32388</v>
      </c>
      <c r="C18" s="33">
        <v>647</v>
      </c>
      <c r="D18" s="33">
        <v>0</v>
      </c>
      <c r="E18" s="33">
        <v>0</v>
      </c>
      <c r="F18" s="33">
        <v>0</v>
      </c>
      <c r="G18" s="33">
        <v>35186</v>
      </c>
      <c r="H18" s="33">
        <v>0</v>
      </c>
      <c r="I18" s="33"/>
      <c r="J18" s="33"/>
      <c r="K18" s="33"/>
      <c r="L18" s="33"/>
      <c r="M18" s="33"/>
      <c r="N18" s="33">
        <v>35833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1971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33">
        <v>34359</v>
      </c>
      <c r="C23" s="33">
        <v>647</v>
      </c>
      <c r="D23" s="33">
        <v>0</v>
      </c>
      <c r="E23" s="33">
        <v>0</v>
      </c>
      <c r="F23" s="33">
        <v>0</v>
      </c>
      <c r="G23" s="33">
        <v>35186</v>
      </c>
      <c r="H23" s="33">
        <v>0</v>
      </c>
      <c r="I23" s="33"/>
      <c r="J23" s="33"/>
      <c r="K23" s="33"/>
      <c r="L23" s="33"/>
      <c r="M23" s="33"/>
      <c r="N23" s="33">
        <v>35833</v>
      </c>
      <c r="O23" s="3"/>
      <c r="P23" s="3"/>
      <c r="Q23" s="3"/>
      <c r="R23" s="3" t="s">
        <v>27</v>
      </c>
      <c r="S23" s="9">
        <f>N42/1000</f>
        <v>320.57671999999997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161.98272</v>
      </c>
      <c r="T26" s="11">
        <f>M43</f>
        <v>0.50528534947890169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85.754000000000005</v>
      </c>
      <c r="T27" s="12">
        <f>G43</f>
        <v>0.26749914965752974</v>
      </c>
    </row>
    <row r="28" spans="1:20" ht="15">
      <c r="A28" s="23" t="s">
        <v>63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0</v>
      </c>
      <c r="T28" s="11">
        <f>J43</f>
        <v>0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5.1319999999999997</v>
      </c>
      <c r="T29" s="11">
        <f>F43</f>
        <v>1.6008648413396956E-2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2.6</v>
      </c>
      <c r="T30" s="11">
        <f>E43</f>
        <v>8.1103830621262838E-3</v>
      </c>
    </row>
    <row r="31" spans="1:20" ht="15">
      <c r="A31" s="4" t="s">
        <v>36</v>
      </c>
      <c r="B31" s="33">
        <v>0</v>
      </c>
      <c r="C31" s="33">
        <v>1816</v>
      </c>
      <c r="D31" s="33">
        <v>0</v>
      </c>
      <c r="E31" s="33">
        <v>0</v>
      </c>
      <c r="F31" s="33">
        <v>183</v>
      </c>
      <c r="G31" s="33">
        <v>0</v>
      </c>
      <c r="H31" s="33">
        <v>0</v>
      </c>
      <c r="I31" s="33"/>
      <c r="J31" s="33"/>
      <c r="K31" s="33"/>
      <c r="L31" s="33"/>
      <c r="M31" s="33">
        <v>6349</v>
      </c>
      <c r="N31" s="33">
        <v>8348</v>
      </c>
      <c r="O31" s="13">
        <f>N31/N$39</f>
        <v>2.7620982417596963E-2</v>
      </c>
      <c r="P31" s="14" t="s">
        <v>37</v>
      </c>
      <c r="Q31" s="3"/>
      <c r="R31" s="3" t="s">
        <v>38</v>
      </c>
      <c r="S31" s="10">
        <f>C42/1000</f>
        <v>65.108000000000004</v>
      </c>
      <c r="T31" s="12">
        <f>C43</f>
        <v>0.2030964693880454</v>
      </c>
    </row>
    <row r="32" spans="1:20" ht="15">
      <c r="A32" s="4" t="s">
        <v>39</v>
      </c>
      <c r="B32" s="33">
        <v>13267</v>
      </c>
      <c r="C32" s="33">
        <v>6462</v>
      </c>
      <c r="D32" s="33">
        <v>0</v>
      </c>
      <c r="E32" s="58">
        <v>2600</v>
      </c>
      <c r="F32" s="33">
        <v>329</v>
      </c>
      <c r="G32" s="58">
        <f>N32-SUM(H32:M32,B32:F32)</f>
        <v>16386</v>
      </c>
      <c r="H32" s="33">
        <v>0</v>
      </c>
      <c r="I32" s="33"/>
      <c r="J32" s="33"/>
      <c r="K32" s="33"/>
      <c r="L32" s="33"/>
      <c r="M32" s="33">
        <v>76326</v>
      </c>
      <c r="N32" s="33">
        <v>115370</v>
      </c>
      <c r="O32" s="13">
        <f>N32/N$39</f>
        <v>0.38172409457572609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33">
        <v>3673</v>
      </c>
      <c r="C33" s="33">
        <v>266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5399</v>
      </c>
      <c r="N33" s="33">
        <v>9338</v>
      </c>
      <c r="O33" s="13">
        <f>N33/N$39</f>
        <v>3.0896590059357982E-2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55297</v>
      </c>
      <c r="D34" s="33">
        <v>0</v>
      </c>
      <c r="E34" s="33">
        <v>0</v>
      </c>
      <c r="F34" s="33">
        <v>4620</v>
      </c>
      <c r="G34" s="33">
        <v>0</v>
      </c>
      <c r="H34" s="33">
        <v>0</v>
      </c>
      <c r="I34" s="33"/>
      <c r="J34" s="33"/>
      <c r="K34" s="33"/>
      <c r="L34" s="33"/>
      <c r="M34" s="33">
        <v>92</v>
      </c>
      <c r="N34" s="33">
        <v>60008</v>
      </c>
      <c r="O34" s="13">
        <f>N34/N$39</f>
        <v>0.1985481448149447</v>
      </c>
      <c r="P34" s="14" t="s">
        <v>45</v>
      </c>
      <c r="Q34" s="3"/>
      <c r="R34" s="3"/>
      <c r="S34" s="10">
        <f>SUM(S26:S33)</f>
        <v>320.57672000000002</v>
      </c>
      <c r="T34" s="11">
        <f>SUM(T26:T33)</f>
        <v>1.0000000000000002</v>
      </c>
    </row>
    <row r="35" spans="1:47" ht="15">
      <c r="A35" s="4" t="s">
        <v>46</v>
      </c>
      <c r="B35" s="33">
        <v>1631</v>
      </c>
      <c r="C35" s="33">
        <v>100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21895</v>
      </c>
      <c r="N35" s="33">
        <v>23627</v>
      </c>
      <c r="O35" s="13">
        <f>N35/N$39</f>
        <v>7.8174527022108697E-2</v>
      </c>
      <c r="P35" s="14" t="s">
        <v>47</v>
      </c>
      <c r="Q35" s="14"/>
    </row>
    <row r="36" spans="1:47" ht="15">
      <c r="A36" s="4" t="s">
        <v>48</v>
      </c>
      <c r="B36" s="33">
        <v>2928</v>
      </c>
      <c r="C36" s="33">
        <v>415</v>
      </c>
      <c r="D36" s="33">
        <v>0</v>
      </c>
      <c r="E36" s="33">
        <v>0</v>
      </c>
      <c r="F36" s="33">
        <v>0</v>
      </c>
      <c r="G36" s="33">
        <v>34182</v>
      </c>
      <c r="H36" s="33">
        <v>0</v>
      </c>
      <c r="I36" s="33"/>
      <c r="J36" s="33"/>
      <c r="K36" s="33"/>
      <c r="L36" s="33"/>
      <c r="M36" s="33">
        <v>34555</v>
      </c>
      <c r="N36" s="33">
        <v>72080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7989</v>
      </c>
      <c r="C37" s="33">
        <v>104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2789</v>
      </c>
      <c r="N37" s="33">
        <v>10883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2579</v>
      </c>
      <c r="N38" s="33">
        <v>2579</v>
      </c>
      <c r="O38" s="14">
        <f>SUM(O31:O35)</f>
        <v>0.71696433888973443</v>
      </c>
      <c r="P38" s="14"/>
      <c r="Q38" s="3"/>
      <c r="R38" s="6" t="s">
        <v>51</v>
      </c>
      <c r="S38" s="15">
        <f>N45/1000</f>
        <v>16.86872</v>
      </c>
      <c r="T38" s="6"/>
    </row>
    <row r="39" spans="1:47" ht="15">
      <c r="A39" s="4" t="s">
        <v>17</v>
      </c>
      <c r="B39" s="33">
        <v>29489</v>
      </c>
      <c r="C39" s="33">
        <v>64461</v>
      </c>
      <c r="D39" s="33">
        <v>0</v>
      </c>
      <c r="E39" s="60">
        <f>SUM(E31:E38)</f>
        <v>2600</v>
      </c>
      <c r="F39" s="33">
        <v>5132</v>
      </c>
      <c r="G39" s="58">
        <f>SUM(G31:G38)</f>
        <v>50568</v>
      </c>
      <c r="H39" s="33">
        <v>0</v>
      </c>
      <c r="I39" s="33"/>
      <c r="J39" s="33"/>
      <c r="K39" s="33"/>
      <c r="L39" s="33"/>
      <c r="M39" s="33">
        <v>149984</v>
      </c>
      <c r="N39" s="33">
        <v>302234</v>
      </c>
      <c r="O39" s="3"/>
      <c r="P39" s="3"/>
      <c r="Q39" s="3"/>
      <c r="R39" s="6" t="s">
        <v>52</v>
      </c>
      <c r="S39" s="16">
        <f>N41/1000</f>
        <v>85.542000000000002</v>
      </c>
      <c r="T39" s="11">
        <f>O41</f>
        <v>0.28303235241567792</v>
      </c>
    </row>
    <row r="40" spans="1:47">
      <c r="R40" s="6" t="s">
        <v>53</v>
      </c>
      <c r="S40" s="16">
        <f>N35/1000</f>
        <v>23.626999999999999</v>
      </c>
      <c r="T40" s="12">
        <f>O35</f>
        <v>7.8174527022108697E-2</v>
      </c>
    </row>
    <row r="41" spans="1:47" ht="15">
      <c r="A41" s="17" t="s">
        <v>54</v>
      </c>
      <c r="B41" s="18">
        <f>B38+B37+B36</f>
        <v>10917</v>
      </c>
      <c r="C41" s="18">
        <f t="shared" ref="C41:N41" si="0">C38+C37+C36</f>
        <v>519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34182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39923</v>
      </c>
      <c r="N41" s="18">
        <f t="shared" si="0"/>
        <v>85542</v>
      </c>
      <c r="O41" s="13">
        <f>N41/N$39</f>
        <v>0.28303235241567792</v>
      </c>
      <c r="P41" s="13" t="s">
        <v>55</v>
      </c>
      <c r="Q41" s="6"/>
      <c r="R41" s="6" t="s">
        <v>56</v>
      </c>
      <c r="S41" s="16">
        <f>N33/1000</f>
        <v>9.3379999999999992</v>
      </c>
      <c r="T41" s="11">
        <f>O33</f>
        <v>3.0896590059357982E-2</v>
      </c>
    </row>
    <row r="42" spans="1:47" ht="15">
      <c r="A42" s="19" t="s">
        <v>57</v>
      </c>
      <c r="B42" s="18"/>
      <c r="C42" s="20">
        <f>C39+C23+C10</f>
        <v>65108</v>
      </c>
      <c r="D42" s="20">
        <f t="shared" ref="D42:L42" si="1">D39+D23+D10</f>
        <v>0</v>
      </c>
      <c r="E42" s="20">
        <f t="shared" si="1"/>
        <v>2600</v>
      </c>
      <c r="F42" s="20">
        <f t="shared" si="1"/>
        <v>5132</v>
      </c>
      <c r="G42" s="20">
        <f t="shared" si="1"/>
        <v>85754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>M39+M23-B6+M45</f>
        <v>161982.72</v>
      </c>
      <c r="N42" s="21">
        <f>SUM(C42:M42)</f>
        <v>320576.71999999997</v>
      </c>
      <c r="O42" s="6"/>
      <c r="P42" s="6"/>
      <c r="Q42" s="6"/>
      <c r="R42" s="6" t="s">
        <v>37</v>
      </c>
      <c r="S42" s="16">
        <f>N31/1000</f>
        <v>8.3480000000000008</v>
      </c>
      <c r="T42" s="11">
        <f>O31</f>
        <v>2.7620982417596963E-2</v>
      </c>
    </row>
    <row r="43" spans="1:47" ht="15">
      <c r="A43" s="19" t="s">
        <v>58</v>
      </c>
      <c r="B43" s="18"/>
      <c r="C43" s="13">
        <f t="shared" ref="C43:M43" si="2">C42/$N42</f>
        <v>0.2030964693880454</v>
      </c>
      <c r="D43" s="13">
        <f t="shared" si="2"/>
        <v>0</v>
      </c>
      <c r="E43" s="13">
        <f t="shared" si="2"/>
        <v>8.1103830621262838E-3</v>
      </c>
      <c r="F43" s="13">
        <f t="shared" si="2"/>
        <v>1.6008648413396956E-2</v>
      </c>
      <c r="G43" s="13">
        <f t="shared" si="2"/>
        <v>0.26749914965752974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0.50528534947890169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115.37</v>
      </c>
      <c r="T43" s="12">
        <f>O32</f>
        <v>0.38172409457572609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60.008000000000003</v>
      </c>
      <c r="T44" s="12">
        <f>O34</f>
        <v>0.1985481448149447</v>
      </c>
    </row>
    <row r="45" spans="1:47" ht="15">
      <c r="A45" s="5" t="s">
        <v>61</v>
      </c>
      <c r="B45" s="5">
        <f>B23-B39</f>
        <v>4870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11998.72</v>
      </c>
      <c r="N45" s="21">
        <f>B45+M45</f>
        <v>16868.72</v>
      </c>
      <c r="O45" s="6"/>
      <c r="P45" s="6"/>
      <c r="Q45" s="6"/>
      <c r="R45" s="6" t="s">
        <v>62</v>
      </c>
      <c r="S45" s="16">
        <f>SUM(S39:S44)</f>
        <v>302.233</v>
      </c>
      <c r="T45" s="11">
        <f>SUM(T39:T44)</f>
        <v>0.99999669130541236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33"/>
      <c r="H47" s="33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4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U70"/>
  <sheetViews>
    <sheetView topLeftCell="A13" workbookViewId="0">
      <selection activeCell="J39" sqref="J39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64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/>
      <c r="J6" s="33"/>
      <c r="K6" s="33"/>
      <c r="L6" s="33"/>
      <c r="M6" s="33"/>
      <c r="N6" s="33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/>
      <c r="J10" s="33"/>
      <c r="K10" s="33"/>
      <c r="L10" s="33"/>
      <c r="M10" s="33"/>
      <c r="N10" s="33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/>
      <c r="J17" s="33"/>
      <c r="K17" s="33"/>
      <c r="L17" s="33"/>
      <c r="M17" s="33"/>
      <c r="N17" s="33">
        <v>0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33">
        <v>33159</v>
      </c>
      <c r="C18" s="33">
        <v>199</v>
      </c>
      <c r="D18" s="33">
        <v>0</v>
      </c>
      <c r="E18" s="33">
        <v>384</v>
      </c>
      <c r="F18" s="33">
        <v>0</v>
      </c>
      <c r="G18" s="33">
        <v>36162</v>
      </c>
      <c r="H18" s="33">
        <v>0</v>
      </c>
      <c r="I18" s="33"/>
      <c r="J18" s="33"/>
      <c r="K18" s="33"/>
      <c r="L18" s="33"/>
      <c r="M18" s="33"/>
      <c r="N18" s="33">
        <v>36745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17700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33">
        <v>50859</v>
      </c>
      <c r="C23" s="33">
        <v>199</v>
      </c>
      <c r="D23" s="33">
        <v>0</v>
      </c>
      <c r="E23" s="33">
        <v>384</v>
      </c>
      <c r="F23" s="33">
        <v>0</v>
      </c>
      <c r="G23" s="33">
        <v>36162</v>
      </c>
      <c r="H23" s="33">
        <v>0</v>
      </c>
      <c r="I23" s="33"/>
      <c r="J23" s="33"/>
      <c r="K23" s="33"/>
      <c r="L23" s="33"/>
      <c r="M23" s="33"/>
      <c r="N23" s="33">
        <v>36745</v>
      </c>
      <c r="O23" s="3"/>
      <c r="P23" s="3"/>
      <c r="Q23" s="3"/>
      <c r="R23" s="3" t="s">
        <v>27</v>
      </c>
      <c r="S23" s="9">
        <f>N42/1000</f>
        <v>729.25036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 t="s">
        <v>83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83.23236</v>
      </c>
      <c r="T26" s="11">
        <f>M43</f>
        <v>0.11413413632048122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187.476</v>
      </c>
      <c r="T27" s="12">
        <f>G43</f>
        <v>0.2570804353116809</v>
      </c>
    </row>
    <row r="28" spans="1:20" ht="15">
      <c r="A28" s="23" t="s">
        <v>64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0</v>
      </c>
      <c r="T28" s="11">
        <f>J43</f>
        <v>0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3.2639999999999998</v>
      </c>
      <c r="T29" s="11">
        <f>F43</f>
        <v>4.4758291240336173E-3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4.5659999999999998</v>
      </c>
      <c r="T30" s="11">
        <f>E43</f>
        <v>6.2612241974073215E-3</v>
      </c>
    </row>
    <row r="31" spans="1:20" ht="15">
      <c r="A31" s="4" t="s">
        <v>36</v>
      </c>
      <c r="B31" s="33">
        <v>0</v>
      </c>
      <c r="C31" s="33">
        <v>3840</v>
      </c>
      <c r="D31" s="33">
        <v>0</v>
      </c>
      <c r="E31" s="33">
        <v>0</v>
      </c>
      <c r="F31" s="33">
        <v>417</v>
      </c>
      <c r="G31" s="33">
        <v>0</v>
      </c>
      <c r="H31" s="33">
        <v>0</v>
      </c>
      <c r="I31" s="33"/>
      <c r="J31" s="33"/>
      <c r="K31" s="33"/>
      <c r="L31" s="33"/>
      <c r="M31" s="33">
        <v>1786</v>
      </c>
      <c r="N31" s="33">
        <v>6042</v>
      </c>
      <c r="O31" s="13">
        <f>N31/N$39</f>
        <v>8.3288991571848821E-3</v>
      </c>
      <c r="P31" s="14" t="s">
        <v>37</v>
      </c>
      <c r="Q31" s="3"/>
      <c r="R31" s="3" t="s">
        <v>38</v>
      </c>
      <c r="S31" s="10">
        <f>C42/1000</f>
        <v>48.061</v>
      </c>
      <c r="T31" s="12">
        <f>C43</f>
        <v>6.5904664071746222E-2</v>
      </c>
    </row>
    <row r="32" spans="1:20" ht="15">
      <c r="A32" s="4" t="s">
        <v>39</v>
      </c>
      <c r="B32" s="33">
        <v>7550</v>
      </c>
      <c r="C32" s="33">
        <v>7671</v>
      </c>
      <c r="D32" s="33">
        <v>0</v>
      </c>
      <c r="E32" s="33">
        <v>4182</v>
      </c>
      <c r="F32" s="58">
        <v>100</v>
      </c>
      <c r="G32" s="58">
        <v>131000</v>
      </c>
      <c r="H32" s="33">
        <v>0</v>
      </c>
      <c r="I32" s="50">
        <f>N32-SUM(J32:M32,B32:H32)</f>
        <v>402651</v>
      </c>
      <c r="J32" s="33"/>
      <c r="K32" s="33"/>
      <c r="L32" s="33"/>
      <c r="M32" s="33">
        <v>20547</v>
      </c>
      <c r="N32" s="33">
        <v>573701</v>
      </c>
      <c r="O32" s="13">
        <f>N32/N$39</f>
        <v>0.79084703332938167</v>
      </c>
      <c r="P32" s="14" t="s">
        <v>40</v>
      </c>
      <c r="Q32" s="3"/>
      <c r="R32" s="3" t="s">
        <v>41</v>
      </c>
      <c r="S32" s="10">
        <f>I42/1000</f>
        <v>402.65100000000001</v>
      </c>
      <c r="T32" s="11">
        <f>I43</f>
        <v>0.55214371097465076</v>
      </c>
    </row>
    <row r="33" spans="1:47" ht="15">
      <c r="A33" s="4" t="s">
        <v>42</v>
      </c>
      <c r="B33" s="33">
        <v>10086</v>
      </c>
      <c r="C33" s="33">
        <v>34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8142</v>
      </c>
      <c r="N33" s="33">
        <v>18262</v>
      </c>
      <c r="O33" s="13">
        <f>N33/N$39</f>
        <v>2.5174173520110942E-2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35783</v>
      </c>
      <c r="D34" s="33">
        <v>0</v>
      </c>
      <c r="E34" s="33">
        <v>0</v>
      </c>
      <c r="F34" s="33">
        <v>2747</v>
      </c>
      <c r="G34" s="33">
        <v>0</v>
      </c>
      <c r="H34" s="33">
        <v>0</v>
      </c>
      <c r="I34" s="33"/>
      <c r="J34" s="33"/>
      <c r="K34" s="33"/>
      <c r="L34" s="33"/>
      <c r="M34" s="33">
        <v>25</v>
      </c>
      <c r="N34" s="33">
        <v>38556</v>
      </c>
      <c r="O34" s="13">
        <f>N34/N$39</f>
        <v>5.3149459765710082E-2</v>
      </c>
      <c r="P34" s="14" t="s">
        <v>45</v>
      </c>
      <c r="Q34" s="3"/>
      <c r="R34" s="3"/>
      <c r="S34" s="10">
        <f>SUM(S26:S33)</f>
        <v>729.25036</v>
      </c>
      <c r="T34" s="11">
        <f>SUM(T26:T33)</f>
        <v>1</v>
      </c>
    </row>
    <row r="35" spans="1:47" ht="15">
      <c r="A35" s="4" t="s">
        <v>46</v>
      </c>
      <c r="B35" s="33">
        <v>2700</v>
      </c>
      <c r="C35" s="33">
        <v>293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14106</v>
      </c>
      <c r="N35" s="33">
        <v>17099</v>
      </c>
      <c r="O35" s="13">
        <f>N35/N$39</f>
        <v>2.3570977604883199E-2</v>
      </c>
      <c r="P35" s="14" t="s">
        <v>47</v>
      </c>
      <c r="Q35" s="14"/>
    </row>
    <row r="36" spans="1:47" ht="15">
      <c r="A36" s="4" t="s">
        <v>48</v>
      </c>
      <c r="B36" s="33">
        <v>8750</v>
      </c>
      <c r="C36" s="33">
        <v>240</v>
      </c>
      <c r="D36" s="33">
        <v>0</v>
      </c>
      <c r="E36" s="33">
        <v>0</v>
      </c>
      <c r="F36" s="33">
        <v>0</v>
      </c>
      <c r="G36" s="33">
        <v>20314</v>
      </c>
      <c r="H36" s="33">
        <v>0</v>
      </c>
      <c r="I36" s="33"/>
      <c r="J36" s="33"/>
      <c r="K36" s="33"/>
      <c r="L36" s="33"/>
      <c r="M36" s="33">
        <v>27557</v>
      </c>
      <c r="N36" s="33">
        <v>56861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10000</v>
      </c>
      <c r="C37" s="33">
        <v>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3793</v>
      </c>
      <c r="N37" s="33">
        <v>13794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1111</v>
      </c>
      <c r="N38" s="33">
        <v>1111</v>
      </c>
      <c r="O38" s="14">
        <f>SUM(O31:O35)</f>
        <v>0.90107054337727088</v>
      </c>
      <c r="P38" s="14"/>
      <c r="Q38" s="3"/>
      <c r="R38" s="6" t="s">
        <v>51</v>
      </c>
      <c r="S38" s="15">
        <f>N45/1000</f>
        <v>17.938359999999999</v>
      </c>
      <c r="T38" s="6"/>
    </row>
    <row r="39" spans="1:47" ht="15">
      <c r="A39" s="4" t="s">
        <v>17</v>
      </c>
      <c r="B39" s="33">
        <v>39086</v>
      </c>
      <c r="C39" s="33">
        <v>47862</v>
      </c>
      <c r="D39" s="33">
        <v>0</v>
      </c>
      <c r="E39" s="33">
        <v>4182</v>
      </c>
      <c r="F39" s="58">
        <f>SUM(F31:F38)</f>
        <v>3264</v>
      </c>
      <c r="G39" s="58">
        <f>SUM(G31:G38)</f>
        <v>151314</v>
      </c>
      <c r="H39" s="33">
        <v>0</v>
      </c>
      <c r="I39" s="50">
        <f>SUM(I31:I38)</f>
        <v>402651</v>
      </c>
      <c r="J39" s="33"/>
      <c r="K39" s="33"/>
      <c r="L39" s="33"/>
      <c r="M39" s="33">
        <v>77067</v>
      </c>
      <c r="N39" s="33">
        <v>725426</v>
      </c>
      <c r="O39" s="3"/>
      <c r="P39" s="3"/>
      <c r="Q39" s="3"/>
      <c r="R39" s="6" t="s">
        <v>52</v>
      </c>
      <c r="S39" s="16">
        <f>N41/1000</f>
        <v>71.766000000000005</v>
      </c>
      <c r="T39" s="11">
        <f>O41</f>
        <v>9.892945662272927E-2</v>
      </c>
    </row>
    <row r="40" spans="1:47">
      <c r="R40" s="6" t="s">
        <v>53</v>
      </c>
      <c r="S40" s="16">
        <f>N35/1000</f>
        <v>17.099</v>
      </c>
      <c r="T40" s="12">
        <f>O35</f>
        <v>2.3570977604883199E-2</v>
      </c>
    </row>
    <row r="41" spans="1:47" ht="15">
      <c r="A41" s="17" t="s">
        <v>54</v>
      </c>
      <c r="B41" s="18">
        <f>B38+B37+B36</f>
        <v>18750</v>
      </c>
      <c r="C41" s="18">
        <f t="shared" ref="C41:N41" si="0">C38+C37+C36</f>
        <v>241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20314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32461</v>
      </c>
      <c r="N41" s="18">
        <f t="shared" si="0"/>
        <v>71766</v>
      </c>
      <c r="O41" s="13">
        <f>N41/N$39</f>
        <v>9.892945662272927E-2</v>
      </c>
      <c r="P41" s="13" t="s">
        <v>55</v>
      </c>
      <c r="Q41" s="6"/>
      <c r="R41" s="6" t="s">
        <v>56</v>
      </c>
      <c r="S41" s="16">
        <f>N33/1000</f>
        <v>18.262</v>
      </c>
      <c r="T41" s="11">
        <f>O33</f>
        <v>2.5174173520110942E-2</v>
      </c>
    </row>
    <row r="42" spans="1:47" ht="15">
      <c r="A42" s="19" t="s">
        <v>57</v>
      </c>
      <c r="B42" s="18"/>
      <c r="C42" s="20">
        <f>C39+C23+C10</f>
        <v>48061</v>
      </c>
      <c r="D42" s="20">
        <f t="shared" ref="D42:L42" si="1">D39+D23+D10</f>
        <v>0</v>
      </c>
      <c r="E42" s="20">
        <f t="shared" si="1"/>
        <v>4566</v>
      </c>
      <c r="F42" s="20">
        <f t="shared" si="1"/>
        <v>3264</v>
      </c>
      <c r="G42" s="20">
        <f t="shared" si="1"/>
        <v>187476</v>
      </c>
      <c r="H42" s="20">
        <f t="shared" si="1"/>
        <v>0</v>
      </c>
      <c r="I42" s="20">
        <f t="shared" si="1"/>
        <v>402651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>M39+M23-B6+M45</f>
        <v>83232.36</v>
      </c>
      <c r="N42" s="21">
        <f>SUM(C42:M42)</f>
        <v>729250.36</v>
      </c>
      <c r="O42" s="6"/>
      <c r="P42" s="6"/>
      <c r="Q42" s="6"/>
      <c r="R42" s="6" t="s">
        <v>37</v>
      </c>
      <c r="S42" s="16">
        <f>N31/1000</f>
        <v>6.0419999999999998</v>
      </c>
      <c r="T42" s="11">
        <f>O31</f>
        <v>8.3288991571848821E-3</v>
      </c>
    </row>
    <row r="43" spans="1:47" ht="15">
      <c r="A43" s="19" t="s">
        <v>58</v>
      </c>
      <c r="B43" s="18"/>
      <c r="C43" s="13">
        <f t="shared" ref="C43:M43" si="2">C42/$N42</f>
        <v>6.5904664071746222E-2</v>
      </c>
      <c r="D43" s="13">
        <f t="shared" si="2"/>
        <v>0</v>
      </c>
      <c r="E43" s="13">
        <f t="shared" si="2"/>
        <v>6.2612241974073215E-3</v>
      </c>
      <c r="F43" s="13">
        <f t="shared" si="2"/>
        <v>4.4758291240336173E-3</v>
      </c>
      <c r="G43" s="13">
        <f t="shared" si="2"/>
        <v>0.2570804353116809</v>
      </c>
      <c r="H43" s="13">
        <f t="shared" si="2"/>
        <v>0</v>
      </c>
      <c r="I43" s="13">
        <f t="shared" si="2"/>
        <v>0.55214371097465076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0.11413413632048122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573.70100000000002</v>
      </c>
      <c r="T43" s="12">
        <f>O32</f>
        <v>0.79084703332938167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38.555999999999997</v>
      </c>
      <c r="T44" s="12">
        <f>O34</f>
        <v>5.3149459765710082E-2</v>
      </c>
    </row>
    <row r="45" spans="1:47" ht="15">
      <c r="A45" s="5" t="s">
        <v>61</v>
      </c>
      <c r="B45" s="5">
        <f>B23-B39</f>
        <v>11773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6165.3600000000006</v>
      </c>
      <c r="N45" s="21">
        <f>B45+M45</f>
        <v>17938.36</v>
      </c>
      <c r="O45" s="6"/>
      <c r="P45" s="6"/>
      <c r="Q45" s="6"/>
      <c r="R45" s="6" t="s">
        <v>62</v>
      </c>
      <c r="S45" s="16">
        <f>SUM(S39:S44)</f>
        <v>725.42600000000004</v>
      </c>
      <c r="T45" s="11">
        <f>SUM(T39:T44)</f>
        <v>1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4"/>
      <c r="E48" s="24"/>
      <c r="F48" s="24"/>
      <c r="G48" s="25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33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4"/>
      <c r="G55" s="25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4"/>
      <c r="G56" s="25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/>
  <dimension ref="A1:AU70"/>
  <sheetViews>
    <sheetView topLeftCell="A9" workbookViewId="0">
      <selection activeCell="H47" sqref="H47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10.1640625" style="2" bestFit="1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65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/>
      <c r="J6" s="33"/>
      <c r="K6" s="33"/>
      <c r="L6" s="33"/>
      <c r="M6" s="33"/>
      <c r="N6" s="33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33">
        <v>45720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45720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/>
      <c r="J10" s="33"/>
      <c r="K10" s="33"/>
      <c r="L10" s="33"/>
      <c r="M10" s="33"/>
      <c r="N10" s="33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/>
      <c r="J17" s="33"/>
      <c r="K17" s="33"/>
      <c r="L17" s="33"/>
      <c r="M17" s="33"/>
      <c r="N17" s="33">
        <v>0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50">
        <f>41935+4650+14622.5</f>
        <v>61207.5</v>
      </c>
      <c r="C18" s="50">
        <f>2647+1176.21</f>
        <v>3823.21</v>
      </c>
      <c r="D18" s="33">
        <v>0</v>
      </c>
      <c r="E18" s="33">
        <v>0</v>
      </c>
      <c r="F18" s="33">
        <v>0</v>
      </c>
      <c r="G18" s="50">
        <f>42307+16436.3</f>
        <v>58743.3</v>
      </c>
      <c r="H18" s="33">
        <v>0</v>
      </c>
      <c r="I18" s="33"/>
      <c r="J18" s="33"/>
      <c r="K18" s="33"/>
      <c r="L18" s="33"/>
      <c r="M18" s="33"/>
      <c r="N18" s="50">
        <f>SUM(C18:M18)</f>
        <v>62566.51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50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50">
        <f>SUM(B17:B22)</f>
        <v>61207.5</v>
      </c>
      <c r="C23" s="50">
        <f>SUM(C17:C22)</f>
        <v>3823.21</v>
      </c>
      <c r="D23" s="33">
        <v>0</v>
      </c>
      <c r="E23" s="33">
        <v>0</v>
      </c>
      <c r="F23" s="33">
        <v>0</v>
      </c>
      <c r="G23" s="50">
        <f>SUM(G17:G22)</f>
        <v>58743.3</v>
      </c>
      <c r="H23" s="33">
        <v>0</v>
      </c>
      <c r="I23" s="33"/>
      <c r="J23" s="33"/>
      <c r="K23" s="33"/>
      <c r="L23" s="33"/>
      <c r="M23" s="33"/>
      <c r="N23" s="50">
        <f>SUM(N17:N22)</f>
        <v>62566.51</v>
      </c>
      <c r="O23" s="3"/>
      <c r="P23" s="3"/>
      <c r="Q23" s="3"/>
      <c r="R23" s="3" t="s">
        <v>27</v>
      </c>
      <c r="S23" s="9">
        <f>N42/1000</f>
        <v>502.48939000000001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174.86387999999999</v>
      </c>
      <c r="T26" s="11">
        <f>M43</f>
        <v>0.34799516861440599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177.34029999999998</v>
      </c>
      <c r="T27" s="12">
        <f>G43</f>
        <v>0.35292347167768057</v>
      </c>
    </row>
    <row r="28" spans="1:20" ht="15">
      <c r="A28" s="23" t="s">
        <v>65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0</v>
      </c>
      <c r="T28" s="11">
        <f>J43</f>
        <v>0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11.468</v>
      </c>
      <c r="T29" s="11">
        <f>F43</f>
        <v>2.2822372428599934E-2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3.347</v>
      </c>
      <c r="T30" s="11">
        <f>E43</f>
        <v>6.660837157178582E-3</v>
      </c>
    </row>
    <row r="31" spans="1:20" ht="15">
      <c r="A31" s="4" t="s">
        <v>36</v>
      </c>
      <c r="B31" s="33">
        <v>0</v>
      </c>
      <c r="C31" s="33">
        <v>8771</v>
      </c>
      <c r="D31" s="33">
        <v>0</v>
      </c>
      <c r="E31" s="33">
        <v>0</v>
      </c>
      <c r="F31" s="33">
        <v>955</v>
      </c>
      <c r="G31" s="33">
        <v>0</v>
      </c>
      <c r="H31" s="33">
        <v>0</v>
      </c>
      <c r="I31" s="33"/>
      <c r="J31" s="33"/>
      <c r="K31" s="33"/>
      <c r="L31" s="33"/>
      <c r="M31" s="33">
        <v>13139</v>
      </c>
      <c r="N31" s="33">
        <v>22865</v>
      </c>
      <c r="O31" s="13">
        <f>N31/N$39</f>
        <v>4.7908896618195536E-2</v>
      </c>
      <c r="P31" s="14" t="s">
        <v>37</v>
      </c>
      <c r="Q31" s="3"/>
      <c r="R31" s="3" t="s">
        <v>38</v>
      </c>
      <c r="S31" s="10">
        <f>C42/1000</f>
        <v>135.47020999999998</v>
      </c>
      <c r="T31" s="12">
        <f>C43</f>
        <v>0.26959815012213489</v>
      </c>
    </row>
    <row r="32" spans="1:20" ht="15">
      <c r="A32" s="4" t="s">
        <v>39</v>
      </c>
      <c r="B32" s="33">
        <v>12543</v>
      </c>
      <c r="C32" s="58">
        <v>18595</v>
      </c>
      <c r="D32" s="33">
        <v>0</v>
      </c>
      <c r="E32" s="58">
        <v>3347</v>
      </c>
      <c r="F32" s="33">
        <v>841</v>
      </c>
      <c r="G32" s="58">
        <v>59055</v>
      </c>
      <c r="H32" s="33">
        <v>0</v>
      </c>
      <c r="I32" s="33"/>
      <c r="J32" s="33"/>
      <c r="K32" s="33"/>
      <c r="L32" s="33"/>
      <c r="M32" s="33">
        <v>62728</v>
      </c>
      <c r="N32" s="33">
        <v>157109</v>
      </c>
      <c r="O32" s="13">
        <f>N32/N$39</f>
        <v>0.32918954029250302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33">
        <v>10159</v>
      </c>
      <c r="C33" s="33">
        <v>1573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13882</v>
      </c>
      <c r="N33" s="33">
        <v>25613</v>
      </c>
      <c r="O33" s="13">
        <f>N33/N$39</f>
        <v>5.3666764447051922E-2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101667</v>
      </c>
      <c r="D34" s="33">
        <v>0</v>
      </c>
      <c r="E34" s="33">
        <v>0</v>
      </c>
      <c r="F34" s="33">
        <v>9673</v>
      </c>
      <c r="G34" s="33">
        <v>0</v>
      </c>
      <c r="H34" s="33">
        <v>0</v>
      </c>
      <c r="I34" s="33"/>
      <c r="J34" s="33"/>
      <c r="K34" s="33"/>
      <c r="L34" s="33"/>
      <c r="M34" s="33">
        <v>171</v>
      </c>
      <c r="N34" s="33">
        <v>111511</v>
      </c>
      <c r="O34" s="13">
        <f>N34/N$39</f>
        <v>0.23364832586011816</v>
      </c>
      <c r="P34" s="14" t="s">
        <v>45</v>
      </c>
      <c r="Q34" s="3"/>
      <c r="R34" s="3"/>
      <c r="S34" s="10">
        <f>SUM(S26:S33)</f>
        <v>502.48938999999996</v>
      </c>
      <c r="T34" s="11">
        <f>SUM(T26:T33)</f>
        <v>1</v>
      </c>
    </row>
    <row r="35" spans="1:47" ht="15">
      <c r="A35" s="4" t="s">
        <v>46</v>
      </c>
      <c r="B35" s="33">
        <v>7901</v>
      </c>
      <c r="C35" s="33">
        <v>198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19633</v>
      </c>
      <c r="N35" s="33">
        <v>27732</v>
      </c>
      <c r="O35" s="13">
        <f>N35/N$39</f>
        <v>5.810669236893936E-2</v>
      </c>
      <c r="P35" s="14" t="s">
        <v>47</v>
      </c>
      <c r="Q35" s="14"/>
    </row>
    <row r="36" spans="1:47" ht="15">
      <c r="A36" s="4" t="s">
        <v>48</v>
      </c>
      <c r="B36" s="33">
        <v>7996</v>
      </c>
      <c r="C36" s="58">
        <v>450</v>
      </c>
      <c r="D36" s="33">
        <v>0</v>
      </c>
      <c r="E36" s="33">
        <v>0</v>
      </c>
      <c r="F36" s="33">
        <v>0</v>
      </c>
      <c r="G36" s="58">
        <v>59542</v>
      </c>
      <c r="H36" s="33">
        <v>0</v>
      </c>
      <c r="I36" s="33"/>
      <c r="J36" s="33"/>
      <c r="K36" s="33"/>
      <c r="L36" s="33"/>
      <c r="M36" s="33">
        <v>42647</v>
      </c>
      <c r="N36" s="33">
        <v>110635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11689</v>
      </c>
      <c r="C37" s="33">
        <v>393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3611</v>
      </c>
      <c r="N37" s="33">
        <v>15694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6100</v>
      </c>
      <c r="N38" s="33">
        <v>6100</v>
      </c>
      <c r="O38" s="14">
        <f>SUM(O31:O35)</f>
        <v>0.72252021958680801</v>
      </c>
      <c r="P38" s="14"/>
      <c r="Q38" s="3"/>
      <c r="R38" s="6" t="s">
        <v>51</v>
      </c>
      <c r="S38" s="15">
        <f>N45/1000</f>
        <v>23.87238</v>
      </c>
      <c r="T38" s="6"/>
    </row>
    <row r="39" spans="1:47" ht="15">
      <c r="A39" s="4" t="s">
        <v>17</v>
      </c>
      <c r="B39" s="33">
        <v>50288</v>
      </c>
      <c r="C39" s="33">
        <v>131647</v>
      </c>
      <c r="D39" s="33">
        <v>0</v>
      </c>
      <c r="E39" s="58">
        <f>SUM(E31:E38)</f>
        <v>3347</v>
      </c>
      <c r="F39" s="33">
        <v>11468</v>
      </c>
      <c r="G39" s="58">
        <f>SUM(G31:G38)</f>
        <v>118597</v>
      </c>
      <c r="H39" s="33">
        <v>0</v>
      </c>
      <c r="I39" s="33"/>
      <c r="J39" s="33"/>
      <c r="K39" s="33"/>
      <c r="L39" s="33"/>
      <c r="M39" s="33">
        <v>161911</v>
      </c>
      <c r="N39" s="33">
        <v>477260</v>
      </c>
      <c r="O39" s="3"/>
      <c r="P39" s="3"/>
      <c r="Q39" s="3"/>
      <c r="R39" s="6" t="s">
        <v>52</v>
      </c>
      <c r="S39" s="16">
        <f>N41/1000</f>
        <v>132.429</v>
      </c>
      <c r="T39" s="11">
        <f>O41</f>
        <v>0.27747768511922222</v>
      </c>
    </row>
    <row r="40" spans="1:47">
      <c r="K40" s="8"/>
      <c r="N40" s="8"/>
      <c r="R40" s="6" t="s">
        <v>53</v>
      </c>
      <c r="S40" s="16">
        <f>N35/1000</f>
        <v>27.731999999999999</v>
      </c>
      <c r="T40" s="12">
        <f>O35</f>
        <v>5.810669236893936E-2</v>
      </c>
    </row>
    <row r="41" spans="1:47" ht="15">
      <c r="A41" s="17" t="s">
        <v>54</v>
      </c>
      <c r="B41" s="18">
        <f>B38+B37+B36</f>
        <v>19685</v>
      </c>
      <c r="C41" s="18">
        <f t="shared" ref="C41:N41" si="0">C38+C37+C36</f>
        <v>843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59542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52358</v>
      </c>
      <c r="N41" s="18">
        <f t="shared" si="0"/>
        <v>132429</v>
      </c>
      <c r="O41" s="13">
        <f>N41/N$39</f>
        <v>0.27747768511922222</v>
      </c>
      <c r="P41" s="13" t="s">
        <v>55</v>
      </c>
      <c r="Q41" s="6"/>
      <c r="R41" s="6" t="s">
        <v>56</v>
      </c>
      <c r="S41" s="16">
        <f>N33/1000</f>
        <v>25.613</v>
      </c>
      <c r="T41" s="11">
        <f>O33</f>
        <v>5.3666764447051922E-2</v>
      </c>
    </row>
    <row r="42" spans="1:47" ht="15">
      <c r="A42" s="19" t="s">
        <v>57</v>
      </c>
      <c r="B42" s="18"/>
      <c r="C42" s="20">
        <f>C39+C23+C10</f>
        <v>135470.21</v>
      </c>
      <c r="D42" s="20">
        <f t="shared" ref="D42:L42" si="1">D39+D23+D10</f>
        <v>0</v>
      </c>
      <c r="E42" s="20">
        <f t="shared" si="1"/>
        <v>3347</v>
      </c>
      <c r="F42" s="20">
        <f t="shared" si="1"/>
        <v>11468</v>
      </c>
      <c r="G42" s="20">
        <f t="shared" si="1"/>
        <v>177340.3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>M39+M23-B6+M45</f>
        <v>174863.88</v>
      </c>
      <c r="N42" s="21">
        <f>SUM(C42:M42)</f>
        <v>502489.39</v>
      </c>
      <c r="O42" s="6"/>
      <c r="P42" s="6"/>
      <c r="Q42" s="6"/>
      <c r="R42" s="6" t="s">
        <v>37</v>
      </c>
      <c r="S42" s="16">
        <f>N31/1000</f>
        <v>22.864999999999998</v>
      </c>
      <c r="T42" s="11">
        <f>O31</f>
        <v>4.7908896618195536E-2</v>
      </c>
    </row>
    <row r="43" spans="1:47" ht="15">
      <c r="A43" s="19" t="s">
        <v>58</v>
      </c>
      <c r="B43" s="18"/>
      <c r="C43" s="13">
        <f t="shared" ref="C43:M43" si="2">C42/$N42</f>
        <v>0.26959815012213489</v>
      </c>
      <c r="D43" s="13">
        <f t="shared" si="2"/>
        <v>0</v>
      </c>
      <c r="E43" s="13">
        <f t="shared" si="2"/>
        <v>6.660837157178582E-3</v>
      </c>
      <c r="F43" s="13">
        <f t="shared" si="2"/>
        <v>2.2822372428599934E-2</v>
      </c>
      <c r="G43" s="13">
        <f t="shared" si="2"/>
        <v>0.35292347167768057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0.34799516861440599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157.10900000000001</v>
      </c>
      <c r="T43" s="12">
        <f>O32</f>
        <v>0.32918954029250302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111.511</v>
      </c>
      <c r="T44" s="12">
        <f>O34</f>
        <v>0.23364832586011816</v>
      </c>
    </row>
    <row r="45" spans="1:47" ht="15">
      <c r="A45" s="5" t="s">
        <v>61</v>
      </c>
      <c r="B45" s="5">
        <f>B23-B39</f>
        <v>10919.5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12952.880000000001</v>
      </c>
      <c r="N45" s="21">
        <f>B45+M45</f>
        <v>23872.38</v>
      </c>
      <c r="O45" s="6"/>
      <c r="P45" s="6"/>
      <c r="Q45" s="6"/>
      <c r="R45" s="6" t="s">
        <v>62</v>
      </c>
      <c r="S45" s="16">
        <f>SUM(S39:S44)</f>
        <v>477.25900000000001</v>
      </c>
      <c r="T45" s="11">
        <f>SUM(T39:T44)</f>
        <v>0.99999790470603023</v>
      </c>
    </row>
    <row r="46" spans="1:47" ht="15">
      <c r="A46" s="5"/>
      <c r="B46" s="5"/>
      <c r="C46" s="49"/>
      <c r="D46" s="5"/>
      <c r="E46" s="48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5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5"/>
      <c r="E52" s="24"/>
      <c r="F52" s="24"/>
      <c r="G52" s="24"/>
      <c r="H52" s="25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U70"/>
  <sheetViews>
    <sheetView topLeftCell="A13" workbookViewId="0">
      <selection activeCell="K40" sqref="K40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66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/>
      <c r="J6" s="33"/>
      <c r="K6" s="33"/>
      <c r="L6" s="33"/>
      <c r="M6" s="33"/>
      <c r="N6" s="33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33">
        <v>172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172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/>
      <c r="J10" s="33"/>
      <c r="K10" s="33"/>
      <c r="L10" s="33"/>
      <c r="M10" s="33"/>
      <c r="N10" s="33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/>
      <c r="J17" s="33"/>
      <c r="K17" s="33"/>
      <c r="L17" s="33"/>
      <c r="M17" s="33"/>
      <c r="N17" s="33">
        <v>0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50">
        <f>134882+14430</f>
        <v>149312</v>
      </c>
      <c r="C18" s="33">
        <v>3313</v>
      </c>
      <c r="D18" s="33">
        <v>0</v>
      </c>
      <c r="E18" s="33">
        <v>0</v>
      </c>
      <c r="F18" s="33">
        <v>0</v>
      </c>
      <c r="G18" s="33">
        <v>159731</v>
      </c>
      <c r="H18" s="33">
        <v>0</v>
      </c>
      <c r="I18" s="33"/>
      <c r="J18" s="33"/>
      <c r="K18" s="33"/>
      <c r="L18" s="33"/>
      <c r="M18" s="33"/>
      <c r="N18" s="33">
        <v>163045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180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50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33">
        <v>149492</v>
      </c>
      <c r="C23" s="33">
        <v>3313</v>
      </c>
      <c r="D23" s="33">
        <v>0</v>
      </c>
      <c r="E23" s="33">
        <v>0</v>
      </c>
      <c r="F23" s="33">
        <v>0</v>
      </c>
      <c r="G23" s="33">
        <v>159731</v>
      </c>
      <c r="H23" s="33">
        <v>0</v>
      </c>
      <c r="I23" s="33"/>
      <c r="J23" s="33"/>
      <c r="K23" s="33"/>
      <c r="L23" s="33"/>
      <c r="M23" s="33"/>
      <c r="N23" s="33">
        <v>163045</v>
      </c>
      <c r="O23" s="3"/>
      <c r="P23" s="3"/>
      <c r="Q23" s="3"/>
      <c r="R23" s="3" t="s">
        <v>27</v>
      </c>
      <c r="S23" s="9">
        <f>N42/1000</f>
        <v>737.25740000000008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293.60340000000002</v>
      </c>
      <c r="T26" s="11">
        <f>M43</f>
        <v>0.39823730490870624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276.69200000000001</v>
      </c>
      <c r="T27" s="12">
        <f>G43</f>
        <v>0.37529904752397192</v>
      </c>
    </row>
    <row r="28" spans="1:20" ht="15">
      <c r="A28" s="23" t="s">
        <v>66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0</v>
      </c>
      <c r="T28" s="11">
        <f>J43</f>
        <v>0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12.568</v>
      </c>
      <c r="T29" s="11">
        <f>F43</f>
        <v>1.7046963516405531E-2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3.347</v>
      </c>
      <c r="T30" s="11">
        <f>E43</f>
        <v>4.5397984475978133E-3</v>
      </c>
    </row>
    <row r="31" spans="1:20" ht="15">
      <c r="A31" s="4" t="s">
        <v>36</v>
      </c>
      <c r="B31" s="33">
        <v>0</v>
      </c>
      <c r="C31" s="33">
        <v>16829</v>
      </c>
      <c r="D31" s="33">
        <v>0</v>
      </c>
      <c r="E31" s="33">
        <v>0</v>
      </c>
      <c r="F31" s="33">
        <v>1823</v>
      </c>
      <c r="G31" s="33">
        <v>0</v>
      </c>
      <c r="H31" s="33">
        <v>0</v>
      </c>
      <c r="I31" s="33"/>
      <c r="J31" s="33"/>
      <c r="K31" s="33"/>
      <c r="L31" s="33"/>
      <c r="M31" s="33">
        <v>19999</v>
      </c>
      <c r="N31" s="33">
        <v>38652</v>
      </c>
      <c r="O31" s="13">
        <f>N31/N$39</f>
        <v>5.6379856585234929E-2</v>
      </c>
      <c r="P31" s="14" t="s">
        <v>37</v>
      </c>
      <c r="Q31" s="3"/>
      <c r="R31" s="3" t="s">
        <v>38</v>
      </c>
      <c r="S31" s="10">
        <f>C42/1000</f>
        <v>151.047</v>
      </c>
      <c r="T31" s="12">
        <f>C43</f>
        <v>0.20487688560331846</v>
      </c>
    </row>
    <row r="32" spans="1:20" ht="15">
      <c r="A32" s="4" t="s">
        <v>39</v>
      </c>
      <c r="B32" s="50">
        <f>68689*133100/149490</f>
        <v>61157.976453274467</v>
      </c>
      <c r="C32" s="33">
        <v>27761</v>
      </c>
      <c r="D32" s="33">
        <v>0</v>
      </c>
      <c r="E32" s="58">
        <v>3347</v>
      </c>
      <c r="F32" s="33">
        <v>2043</v>
      </c>
      <c r="G32" s="58">
        <f>N32-SUM(H32:M32,B32:F32)</f>
        <v>68057.000000000029</v>
      </c>
      <c r="H32" s="33">
        <v>0</v>
      </c>
      <c r="I32" s="33"/>
      <c r="J32" s="33"/>
      <c r="K32" s="33"/>
      <c r="L32" s="33"/>
      <c r="M32" s="33">
        <v>135827</v>
      </c>
      <c r="N32" s="50">
        <f>305724-68689+B32</f>
        <v>298192.97645327449</v>
      </c>
      <c r="O32" s="13">
        <f>N32/N$39</f>
        <v>0.43496008607989112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50">
        <f>9290*133100/149490</f>
        <v>8271.4495952906545</v>
      </c>
      <c r="C33" s="33">
        <v>321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14065</v>
      </c>
      <c r="N33" s="50">
        <f>23676-9290+B33</f>
        <v>22657.449595290655</v>
      </c>
      <c r="O33" s="13">
        <f>N33/N$39</f>
        <v>3.3049357310609449E-2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102107</v>
      </c>
      <c r="D34" s="33">
        <v>0</v>
      </c>
      <c r="E34" s="33">
        <v>0</v>
      </c>
      <c r="F34" s="33">
        <v>8701</v>
      </c>
      <c r="G34" s="33">
        <v>0</v>
      </c>
      <c r="H34" s="33">
        <v>0</v>
      </c>
      <c r="I34" s="33"/>
      <c r="J34" s="33"/>
      <c r="K34" s="33"/>
      <c r="L34" s="33"/>
      <c r="M34" s="33">
        <v>97</v>
      </c>
      <c r="N34" s="33">
        <v>110905</v>
      </c>
      <c r="O34" s="13">
        <f>N34/N$39</f>
        <v>0.16177191334434129</v>
      </c>
      <c r="P34" s="14" t="s">
        <v>45</v>
      </c>
      <c r="Q34" s="3"/>
      <c r="R34" s="3"/>
      <c r="S34" s="10">
        <f>SUM(S26:S33)</f>
        <v>737.25739999999996</v>
      </c>
      <c r="T34" s="11">
        <f>SUM(T26:T33)</f>
        <v>1</v>
      </c>
    </row>
    <row r="35" spans="1:47" ht="15">
      <c r="A35" s="4" t="s">
        <v>46</v>
      </c>
      <c r="B35" s="50">
        <f>9233*133100/149490</f>
        <v>8220.6990434142754</v>
      </c>
      <c r="C35" s="33">
        <v>61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38959</v>
      </c>
      <c r="N35" s="50">
        <f>48253-9233+B35</f>
        <v>47240.699043414279</v>
      </c>
      <c r="O35" s="13">
        <f>N35/N$39</f>
        <v>6.8907788395269121E-2</v>
      </c>
      <c r="P35" s="14" t="s">
        <v>47</v>
      </c>
      <c r="Q35" s="14"/>
    </row>
    <row r="36" spans="1:47" ht="15">
      <c r="A36" s="4" t="s">
        <v>48</v>
      </c>
      <c r="B36" s="50">
        <f>27095*133100/149490</f>
        <v>24124.319352465049</v>
      </c>
      <c r="C36" s="33">
        <v>654</v>
      </c>
      <c r="D36" s="33">
        <v>0</v>
      </c>
      <c r="E36" s="33">
        <v>0</v>
      </c>
      <c r="F36" s="33">
        <v>0</v>
      </c>
      <c r="G36" s="33">
        <v>48904</v>
      </c>
      <c r="H36" s="33">
        <v>0</v>
      </c>
      <c r="I36" s="33"/>
      <c r="J36" s="33"/>
      <c r="K36" s="33"/>
      <c r="L36" s="33"/>
      <c r="M36" s="33">
        <v>55137</v>
      </c>
      <c r="N36" s="50">
        <f>131790-27095+B36</f>
        <v>128819.31935246504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50">
        <f>35183*133100/149490</f>
        <v>31325.555555555555</v>
      </c>
      <c r="C37" s="33">
        <v>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2853</v>
      </c>
      <c r="N37" s="50">
        <f>38037-35183+B37</f>
        <v>34179.555555555555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4918</v>
      </c>
      <c r="N38" s="33">
        <v>4918</v>
      </c>
      <c r="O38" s="14">
        <f>SUM(O31:O35)</f>
        <v>0.75506900171534586</v>
      </c>
      <c r="P38" s="14"/>
      <c r="Q38" s="3"/>
      <c r="R38" s="6" t="s">
        <v>51</v>
      </c>
      <c r="S38" s="15">
        <f>N45/1000</f>
        <v>38.1404</v>
      </c>
      <c r="T38" s="6"/>
    </row>
    <row r="39" spans="1:47" ht="15">
      <c r="A39" s="4" t="s">
        <v>17</v>
      </c>
      <c r="B39" s="50">
        <v>133100</v>
      </c>
      <c r="C39" s="33">
        <v>147734</v>
      </c>
      <c r="D39" s="33">
        <v>0</v>
      </c>
      <c r="E39" s="58">
        <f>SUM(E31:E38)</f>
        <v>3347</v>
      </c>
      <c r="F39" s="33">
        <v>12568</v>
      </c>
      <c r="G39" s="58">
        <f>SUM(G31:G38)</f>
        <v>116961.00000000003</v>
      </c>
      <c r="H39" s="33">
        <v>0</v>
      </c>
      <c r="I39" s="33"/>
      <c r="J39" s="33"/>
      <c r="K39" s="33"/>
      <c r="L39" s="33"/>
      <c r="M39" s="33">
        <v>271855</v>
      </c>
      <c r="N39" s="50">
        <f>701954-149490+B39</f>
        <v>685564</v>
      </c>
      <c r="O39" s="3"/>
      <c r="P39" s="3"/>
      <c r="Q39" s="3"/>
      <c r="R39" s="6" t="s">
        <v>52</v>
      </c>
      <c r="S39" s="16">
        <f>N41/1000</f>
        <v>167.91687490802062</v>
      </c>
      <c r="T39" s="11">
        <f>O41</f>
        <v>0.24493245693767554</v>
      </c>
    </row>
    <row r="40" spans="1:47">
      <c r="B40" s="8"/>
      <c r="E40" s="8"/>
      <c r="F40" s="8"/>
      <c r="G40" s="8"/>
      <c r="N40" s="8"/>
      <c r="R40" s="6" t="s">
        <v>53</v>
      </c>
      <c r="S40" s="16">
        <f>N35/1000</f>
        <v>47.240699043414281</v>
      </c>
      <c r="T40" s="12">
        <f>O35</f>
        <v>6.8907788395269121E-2</v>
      </c>
    </row>
    <row r="41" spans="1:47" ht="15">
      <c r="A41" s="17" t="s">
        <v>54</v>
      </c>
      <c r="B41" s="18">
        <f>B38+B37+B36</f>
        <v>55449.874908020603</v>
      </c>
      <c r="C41" s="18">
        <f t="shared" ref="C41:N41" si="0">C38+C37+C36</f>
        <v>655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48904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62908</v>
      </c>
      <c r="N41" s="18">
        <f t="shared" si="0"/>
        <v>167916.8749080206</v>
      </c>
      <c r="O41" s="13">
        <f>N41/N$39</f>
        <v>0.24493245693767554</v>
      </c>
      <c r="P41" s="13" t="s">
        <v>55</v>
      </c>
      <c r="Q41" s="6"/>
      <c r="R41" s="6" t="s">
        <v>56</v>
      </c>
      <c r="S41" s="16">
        <f>N33/1000</f>
        <v>22.657449595290654</v>
      </c>
      <c r="T41" s="11">
        <f>O33</f>
        <v>3.3049357310609449E-2</v>
      </c>
    </row>
    <row r="42" spans="1:47" ht="15">
      <c r="A42" s="19" t="s">
        <v>57</v>
      </c>
      <c r="B42" s="18"/>
      <c r="C42" s="20">
        <f>C39+C23+C10</f>
        <v>151047</v>
      </c>
      <c r="D42" s="20">
        <f t="shared" ref="D42:L42" si="1">D39+D23+D10</f>
        <v>0</v>
      </c>
      <c r="E42" s="20">
        <f t="shared" si="1"/>
        <v>3347</v>
      </c>
      <c r="F42" s="20">
        <f t="shared" si="1"/>
        <v>12568</v>
      </c>
      <c r="G42" s="20">
        <f t="shared" si="1"/>
        <v>276692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>M39+M23-B6+M45</f>
        <v>293603.40000000002</v>
      </c>
      <c r="N42" s="21">
        <f>SUM(C42:M42)</f>
        <v>737257.4</v>
      </c>
      <c r="O42" s="6"/>
      <c r="P42" s="6"/>
      <c r="Q42" s="6"/>
      <c r="R42" s="6" t="s">
        <v>37</v>
      </c>
      <c r="S42" s="16">
        <f>N31/1000</f>
        <v>38.652000000000001</v>
      </c>
      <c r="T42" s="11">
        <f>O31</f>
        <v>5.6379856585234929E-2</v>
      </c>
    </row>
    <row r="43" spans="1:47" ht="15">
      <c r="A43" s="19" t="s">
        <v>58</v>
      </c>
      <c r="B43" s="18"/>
      <c r="C43" s="13">
        <f t="shared" ref="C43:M43" si="2">C42/$N42</f>
        <v>0.20487688560331846</v>
      </c>
      <c r="D43" s="13">
        <f t="shared" si="2"/>
        <v>0</v>
      </c>
      <c r="E43" s="13">
        <f t="shared" si="2"/>
        <v>4.5397984475978133E-3</v>
      </c>
      <c r="F43" s="13">
        <f t="shared" si="2"/>
        <v>1.7046963516405531E-2</v>
      </c>
      <c r="G43" s="13">
        <f t="shared" si="2"/>
        <v>0.37529904752397192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0.39823730490870624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298.19297645327447</v>
      </c>
      <c r="T43" s="12">
        <f>O32</f>
        <v>0.43496008607989112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110.905</v>
      </c>
      <c r="T44" s="12">
        <f>O34</f>
        <v>0.16177191334434129</v>
      </c>
    </row>
    <row r="45" spans="1:47" ht="15">
      <c r="A45" s="5" t="s">
        <v>61</v>
      </c>
      <c r="B45" s="5">
        <f>B23-B39</f>
        <v>16392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21748.400000000001</v>
      </c>
      <c r="N45" s="21">
        <f>B45+M45</f>
        <v>38140.400000000001</v>
      </c>
      <c r="O45" s="6"/>
      <c r="P45" s="6"/>
      <c r="Q45" s="6"/>
      <c r="R45" s="6" t="s">
        <v>62</v>
      </c>
      <c r="S45" s="16">
        <f>SUM(S39:S44)</f>
        <v>685.56500000000005</v>
      </c>
      <c r="T45" s="11">
        <f>SUM(T39:T44)</f>
        <v>1.0000014586530215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24"/>
      <c r="I47" s="33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4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U70"/>
  <sheetViews>
    <sheetView topLeftCell="A13" workbookViewId="0">
      <selection activeCell="N19" sqref="N19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7" width="8.83203125" style="2"/>
    <col min="8" max="8" width="10.1640625" style="2" bestFit="1" customWidth="1"/>
    <col min="9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67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/>
      <c r="J6" s="33"/>
      <c r="K6" s="33"/>
      <c r="L6" s="33"/>
      <c r="M6" s="33"/>
      <c r="N6" s="33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33">
        <v>9639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9639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/>
      <c r="J10" s="33"/>
      <c r="K10" s="33"/>
      <c r="L10" s="33"/>
      <c r="M10" s="33"/>
      <c r="N10" s="33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/>
      <c r="J17" s="33"/>
      <c r="K17" s="33"/>
      <c r="L17" s="33"/>
      <c r="M17" s="33"/>
      <c r="N17" s="33">
        <v>0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50">
        <f>N18*0.9</f>
        <v>85098.6</v>
      </c>
      <c r="C18" s="50">
        <v>2018</v>
      </c>
      <c r="D18" s="33">
        <v>0</v>
      </c>
      <c r="E18" s="50">
        <v>1591</v>
      </c>
      <c r="F18" s="33">
        <v>0</v>
      </c>
      <c r="G18" s="50">
        <v>90494</v>
      </c>
      <c r="H18" s="50">
        <v>451</v>
      </c>
      <c r="I18" s="33"/>
      <c r="J18" s="33"/>
      <c r="K18" s="33"/>
      <c r="L18" s="33"/>
      <c r="M18" s="33"/>
      <c r="N18" s="50">
        <f>SUM(C18:H18)</f>
        <v>94554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5485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50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50">
        <f>SUM(B17:B22)</f>
        <v>90583.6</v>
      </c>
      <c r="C23" s="50">
        <f>SUM(C17:C22)</f>
        <v>2018</v>
      </c>
      <c r="D23" s="33">
        <v>0</v>
      </c>
      <c r="E23" s="50">
        <f>SUM(E17:E22)</f>
        <v>1591</v>
      </c>
      <c r="F23" s="33">
        <v>0</v>
      </c>
      <c r="G23" s="50">
        <f>SUM(G17:G22)</f>
        <v>90494</v>
      </c>
      <c r="H23" s="50">
        <f>SUM(H17:H22)</f>
        <v>451</v>
      </c>
      <c r="I23" s="33"/>
      <c r="J23" s="33"/>
      <c r="K23" s="33"/>
      <c r="L23" s="33"/>
      <c r="M23" s="33"/>
      <c r="N23" s="50">
        <f>SUM(N17:N22)</f>
        <v>94554</v>
      </c>
      <c r="O23" s="3"/>
      <c r="P23" s="3"/>
      <c r="Q23" s="3"/>
      <c r="R23" s="3" t="s">
        <v>27</v>
      </c>
      <c r="S23" s="9">
        <f>N42/1000</f>
        <v>539.29847999999993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209.74248</v>
      </c>
      <c r="T26" s="11">
        <f>M43</f>
        <v>0.38891724671651218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152.16399999999999</v>
      </c>
      <c r="T27" s="12">
        <f>G43</f>
        <v>0.28215173163477114</v>
      </c>
    </row>
    <row r="28" spans="1:20" ht="15">
      <c r="A28" s="23" t="s">
        <v>67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0</v>
      </c>
      <c r="T28" s="11">
        <f>J43</f>
        <v>0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10.138999999999999</v>
      </c>
      <c r="T29" s="11">
        <f>F43</f>
        <v>1.8800349669073794E-2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47.591000000000001</v>
      </c>
      <c r="T30" s="11">
        <f>E43</f>
        <v>8.8246123000383758E-2</v>
      </c>
    </row>
    <row r="31" spans="1:20" ht="15">
      <c r="A31" s="4" t="s">
        <v>36</v>
      </c>
      <c r="B31" s="33">
        <v>0</v>
      </c>
      <c r="C31" s="33">
        <v>3838</v>
      </c>
      <c r="D31" s="33">
        <v>0</v>
      </c>
      <c r="E31" s="33">
        <v>0</v>
      </c>
      <c r="F31" s="33">
        <v>392</v>
      </c>
      <c r="G31" s="33">
        <v>0</v>
      </c>
      <c r="H31" s="33">
        <v>0</v>
      </c>
      <c r="I31" s="33"/>
      <c r="J31" s="33"/>
      <c r="K31" s="33"/>
      <c r="L31" s="33"/>
      <c r="M31" s="33">
        <v>8706</v>
      </c>
      <c r="N31" s="33">
        <v>12936</v>
      </c>
      <c r="O31" s="13">
        <f>N31/N$39</f>
        <v>2.5655874909760179E-2</v>
      </c>
      <c r="P31" s="14" t="s">
        <v>37</v>
      </c>
      <c r="Q31" s="3"/>
      <c r="R31" s="3" t="s">
        <v>38</v>
      </c>
      <c r="S31" s="10">
        <f>C42/1000</f>
        <v>119.211</v>
      </c>
      <c r="T31" s="12">
        <f>C43</f>
        <v>0.22104827738435309</v>
      </c>
    </row>
    <row r="32" spans="1:20" ht="15">
      <c r="A32" s="4" t="s">
        <v>39</v>
      </c>
      <c r="B32" s="33">
        <v>11209</v>
      </c>
      <c r="C32" s="33">
        <v>8137</v>
      </c>
      <c r="D32" s="33">
        <v>0</v>
      </c>
      <c r="E32" s="58">
        <v>46000</v>
      </c>
      <c r="F32" s="33">
        <v>365</v>
      </c>
      <c r="G32" s="58">
        <f>N32-M32-F32-E32-C32-B32</f>
        <v>16426</v>
      </c>
      <c r="H32" s="33">
        <v>0</v>
      </c>
      <c r="I32" s="33"/>
      <c r="J32" s="33"/>
      <c r="K32" s="33"/>
      <c r="L32" s="33"/>
      <c r="M32" s="33">
        <v>47546</v>
      </c>
      <c r="N32" s="33">
        <v>129683</v>
      </c>
      <c r="O32" s="13">
        <f>N32/N$39</f>
        <v>0.257199352653249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33">
        <v>703</v>
      </c>
      <c r="C33" s="33">
        <v>2918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15105</v>
      </c>
      <c r="N33" s="33">
        <v>18726</v>
      </c>
      <c r="O33" s="13">
        <f>N33/N$39</f>
        <v>3.7139139885603675E-2</v>
      </c>
      <c r="P33" s="14" t="s">
        <v>43</v>
      </c>
      <c r="Q33" s="3"/>
      <c r="R33" s="3" t="s">
        <v>6</v>
      </c>
      <c r="S33" s="10">
        <f>H42/1000</f>
        <v>0.45100000000000001</v>
      </c>
      <c r="T33" s="11">
        <f>H43</f>
        <v>8.3627159490603424E-4</v>
      </c>
    </row>
    <row r="34" spans="1:47" ht="15">
      <c r="A34" s="4" t="s">
        <v>44</v>
      </c>
      <c r="B34" s="33">
        <v>0</v>
      </c>
      <c r="C34" s="33">
        <v>101973</v>
      </c>
      <c r="D34" s="33">
        <v>0</v>
      </c>
      <c r="E34" s="33">
        <v>0</v>
      </c>
      <c r="F34" s="33">
        <v>9382</v>
      </c>
      <c r="G34" s="33">
        <v>0</v>
      </c>
      <c r="H34" s="33">
        <v>0</v>
      </c>
      <c r="I34" s="33"/>
      <c r="J34" s="33"/>
      <c r="K34" s="33"/>
      <c r="L34" s="33"/>
      <c r="M34" s="33">
        <v>78</v>
      </c>
      <c r="N34" s="33">
        <v>111433</v>
      </c>
      <c r="O34" s="13">
        <f>N34/N$39</f>
        <v>0.22100426011280969</v>
      </c>
      <c r="P34" s="14" t="s">
        <v>45</v>
      </c>
      <c r="Q34" s="3"/>
      <c r="R34" s="3"/>
      <c r="S34" s="10">
        <f>SUM(S26:S33)</f>
        <v>539.29848000000004</v>
      </c>
      <c r="T34" s="11">
        <f>SUM(T26:T33)</f>
        <v>1</v>
      </c>
    </row>
    <row r="35" spans="1:47" ht="15">
      <c r="A35" s="4" t="s">
        <v>46</v>
      </c>
      <c r="B35" s="33">
        <v>10854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61168</v>
      </c>
      <c r="N35" s="33">
        <v>72022</v>
      </c>
      <c r="O35" s="13">
        <f>N35/N$39</f>
        <v>0.14284070986013819</v>
      </c>
      <c r="P35" s="14" t="s">
        <v>47</v>
      </c>
      <c r="Q35" s="14"/>
    </row>
    <row r="36" spans="1:47" ht="15">
      <c r="A36" s="4" t="s">
        <v>48</v>
      </c>
      <c r="B36" s="33">
        <v>10325</v>
      </c>
      <c r="C36" s="33">
        <v>307</v>
      </c>
      <c r="D36" s="33">
        <v>0</v>
      </c>
      <c r="E36" s="33">
        <v>0</v>
      </c>
      <c r="F36" s="33">
        <v>0</v>
      </c>
      <c r="G36" s="33">
        <v>45244</v>
      </c>
      <c r="H36" s="33">
        <v>0</v>
      </c>
      <c r="I36" s="33"/>
      <c r="J36" s="33"/>
      <c r="K36" s="33"/>
      <c r="L36" s="33"/>
      <c r="M36" s="33">
        <v>51342</v>
      </c>
      <c r="N36" s="33">
        <v>107218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41913</v>
      </c>
      <c r="C37" s="33">
        <v>20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4594</v>
      </c>
      <c r="N37" s="33">
        <v>46527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5667</v>
      </c>
      <c r="N38" s="33">
        <v>5667</v>
      </c>
      <c r="O38" s="14">
        <f>SUM(O31:O35)</f>
        <v>0.68383933742156078</v>
      </c>
      <c r="P38" s="14"/>
      <c r="Q38" s="3"/>
      <c r="R38" s="6" t="s">
        <v>51</v>
      </c>
      <c r="S38" s="15">
        <f>N45/1000</f>
        <v>31.116080000000004</v>
      </c>
      <c r="T38" s="6"/>
    </row>
    <row r="39" spans="1:47" ht="15">
      <c r="A39" s="4" t="s">
        <v>17</v>
      </c>
      <c r="B39" s="33">
        <v>75004</v>
      </c>
      <c r="C39" s="33">
        <v>117193</v>
      </c>
      <c r="D39" s="33">
        <v>0</v>
      </c>
      <c r="E39" s="58">
        <f>SUM(E31:E38)</f>
        <v>46000</v>
      </c>
      <c r="F39" s="33">
        <v>10139</v>
      </c>
      <c r="G39" s="58">
        <f>SUM(G31:G38)</f>
        <v>61670</v>
      </c>
      <c r="H39" s="33">
        <v>0</v>
      </c>
      <c r="I39" s="33"/>
      <c r="J39" s="33"/>
      <c r="K39" s="33"/>
      <c r="L39" s="33"/>
      <c r="M39" s="33">
        <v>194206</v>
      </c>
      <c r="N39" s="33">
        <v>504212</v>
      </c>
      <c r="O39" s="3"/>
      <c r="P39" s="3"/>
      <c r="Q39" s="3"/>
      <c r="R39" s="6" t="s">
        <v>52</v>
      </c>
      <c r="S39" s="16">
        <f>N41/1000</f>
        <v>159.41200000000001</v>
      </c>
      <c r="T39" s="11">
        <f>O41</f>
        <v>0.31616066257843922</v>
      </c>
    </row>
    <row r="40" spans="1:47">
      <c r="R40" s="6" t="s">
        <v>53</v>
      </c>
      <c r="S40" s="16">
        <f>N35/1000</f>
        <v>72.022000000000006</v>
      </c>
      <c r="T40" s="12">
        <f>O35</f>
        <v>0.14284070986013819</v>
      </c>
    </row>
    <row r="41" spans="1:47" ht="15">
      <c r="A41" s="17" t="s">
        <v>54</v>
      </c>
      <c r="B41" s="18">
        <f>B38+B37+B36</f>
        <v>52238</v>
      </c>
      <c r="C41" s="18">
        <f t="shared" ref="C41:N41" si="0">C38+C37+C36</f>
        <v>327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45244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61603</v>
      </c>
      <c r="N41" s="18">
        <f t="shared" si="0"/>
        <v>159412</v>
      </c>
      <c r="O41" s="13">
        <f>N41/N$39</f>
        <v>0.31616066257843922</v>
      </c>
      <c r="P41" s="13" t="s">
        <v>55</v>
      </c>
      <c r="Q41" s="6"/>
      <c r="R41" s="6" t="s">
        <v>56</v>
      </c>
      <c r="S41" s="16">
        <f>N33/1000</f>
        <v>18.725999999999999</v>
      </c>
      <c r="T41" s="11">
        <f>O33</f>
        <v>3.7139139885603675E-2</v>
      </c>
    </row>
    <row r="42" spans="1:47" ht="15">
      <c r="A42" s="19" t="s">
        <v>57</v>
      </c>
      <c r="B42" s="18"/>
      <c r="C42" s="20">
        <f>C39+C23+C10</f>
        <v>119211</v>
      </c>
      <c r="D42" s="20">
        <f t="shared" ref="D42:L42" si="1">D39+D23+D10</f>
        <v>0</v>
      </c>
      <c r="E42" s="20">
        <f t="shared" si="1"/>
        <v>47591</v>
      </c>
      <c r="F42" s="20">
        <f t="shared" si="1"/>
        <v>10139</v>
      </c>
      <c r="G42" s="20">
        <f t="shared" si="1"/>
        <v>152164</v>
      </c>
      <c r="H42" s="20">
        <f t="shared" si="1"/>
        <v>451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>M39+M23-B6+M45</f>
        <v>209742.48</v>
      </c>
      <c r="N42" s="21">
        <f>SUM(C42:M42)</f>
        <v>539298.48</v>
      </c>
      <c r="O42" s="6"/>
      <c r="P42" s="6"/>
      <c r="Q42" s="6"/>
      <c r="R42" s="6" t="s">
        <v>37</v>
      </c>
      <c r="S42" s="16">
        <f>N31/1000</f>
        <v>12.936</v>
      </c>
      <c r="T42" s="11">
        <f>O31</f>
        <v>2.5655874909760179E-2</v>
      </c>
    </row>
    <row r="43" spans="1:47" ht="15">
      <c r="A43" s="19" t="s">
        <v>58</v>
      </c>
      <c r="B43" s="18"/>
      <c r="C43" s="13">
        <f t="shared" ref="C43:M43" si="2">C42/$N42</f>
        <v>0.22104827738435309</v>
      </c>
      <c r="D43" s="13">
        <f t="shared" si="2"/>
        <v>0</v>
      </c>
      <c r="E43" s="13">
        <f t="shared" si="2"/>
        <v>8.8246123000383758E-2</v>
      </c>
      <c r="F43" s="13">
        <f t="shared" si="2"/>
        <v>1.8800349669073794E-2</v>
      </c>
      <c r="G43" s="13">
        <f t="shared" si="2"/>
        <v>0.28215173163477114</v>
      </c>
      <c r="H43" s="13">
        <f t="shared" si="2"/>
        <v>8.3627159490603424E-4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0.38891724671651218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129.68299999999999</v>
      </c>
      <c r="T43" s="12">
        <f>O32</f>
        <v>0.257199352653249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111.43300000000001</v>
      </c>
      <c r="T44" s="12">
        <f>O34</f>
        <v>0.22100426011280969</v>
      </c>
    </row>
    <row r="45" spans="1:47" ht="15">
      <c r="A45" s="5" t="s">
        <v>61</v>
      </c>
      <c r="B45" s="5">
        <f>B23-B39</f>
        <v>15579.600000000006</v>
      </c>
      <c r="C45" s="5"/>
      <c r="D45" s="5"/>
      <c r="E45" s="5"/>
      <c r="F45" s="5"/>
      <c r="G45" s="5"/>
      <c r="H45" s="5"/>
      <c r="I45" s="5"/>
      <c r="K45" s="5"/>
      <c r="L45" s="5"/>
      <c r="M45" s="22">
        <f>M39*0.08</f>
        <v>15536.48</v>
      </c>
      <c r="N45" s="21">
        <f>B45+M45</f>
        <v>31116.080000000005</v>
      </c>
      <c r="O45" s="6"/>
      <c r="P45" s="6"/>
      <c r="Q45" s="6"/>
      <c r="R45" s="6" t="s">
        <v>62</v>
      </c>
      <c r="S45" s="16">
        <f>SUM(S39:S44)</f>
        <v>504.21199999999999</v>
      </c>
      <c r="T45" s="11">
        <f>SUM(T39:T44)</f>
        <v>1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33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 ht="15">
      <c r="A48" s="24"/>
      <c r="B48" s="23"/>
      <c r="C48" s="24"/>
      <c r="D48" s="24"/>
      <c r="E48"/>
      <c r="F48" s="59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33"/>
      <c r="G49" s="24"/>
      <c r="H49" s="24"/>
      <c r="I49" s="33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U70"/>
  <sheetViews>
    <sheetView topLeftCell="A13" workbookViewId="0">
      <selection activeCell="N18" sqref="N18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68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/>
      <c r="J6" s="33"/>
      <c r="K6" s="33"/>
      <c r="L6" s="33"/>
      <c r="M6" s="33"/>
      <c r="N6" s="33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58">
        <v>174200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62">
        <v>9.8670454545454547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58">
        <f>SUM(B6:B9)</f>
        <v>174209.86704545454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/>
      <c r="J10" s="33"/>
      <c r="K10" s="33"/>
      <c r="L10" s="33"/>
      <c r="M10" s="33"/>
      <c r="N10" s="33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/>
      <c r="J17" s="33"/>
      <c r="K17" s="33"/>
      <c r="L17" s="33"/>
      <c r="M17" s="33"/>
      <c r="N17" s="33">
        <v>0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50">
        <v>24825</v>
      </c>
      <c r="C18" s="50">
        <v>0</v>
      </c>
      <c r="D18" s="33">
        <v>0</v>
      </c>
      <c r="E18" s="50">
        <v>168</v>
      </c>
      <c r="F18" s="33">
        <v>0</v>
      </c>
      <c r="G18" s="50">
        <v>26878</v>
      </c>
      <c r="H18" s="33">
        <v>0</v>
      </c>
      <c r="I18" s="33"/>
      <c r="J18" s="33"/>
      <c r="K18" s="33"/>
      <c r="L18" s="33"/>
      <c r="M18" s="33"/>
      <c r="N18" s="50">
        <f>SUM(C18:M18)</f>
        <v>27046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50">
        <v>24825</v>
      </c>
      <c r="C23" s="50">
        <f>SUM(C17:C22)</f>
        <v>0</v>
      </c>
      <c r="D23" s="33">
        <v>0</v>
      </c>
      <c r="E23" s="50">
        <f>SUM(E17:E22)</f>
        <v>168</v>
      </c>
      <c r="F23" s="33">
        <v>0</v>
      </c>
      <c r="G23" s="50">
        <f>SUM(G17:G22)</f>
        <v>26878</v>
      </c>
      <c r="H23" s="33">
        <v>0</v>
      </c>
      <c r="I23" s="33"/>
      <c r="J23" s="33"/>
      <c r="K23" s="33"/>
      <c r="L23" s="33"/>
      <c r="M23" s="33"/>
      <c r="N23" s="50">
        <f>SUM(N17:N22)</f>
        <v>27046</v>
      </c>
      <c r="O23" s="3"/>
      <c r="P23" s="3"/>
      <c r="Q23" s="3"/>
      <c r="R23" s="3" t="s">
        <v>27</v>
      </c>
      <c r="S23" s="9">
        <f>N42/1000</f>
        <v>418.01191999999998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129.94991999999999</v>
      </c>
      <c r="T26" s="11">
        <f>M43</f>
        <v>0.31087611090133505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68.457999999999998</v>
      </c>
      <c r="T27" s="12">
        <f>G43</f>
        <v>0.16377044941684918</v>
      </c>
    </row>
    <row r="28" spans="1:20" ht="15">
      <c r="A28" s="23" t="s">
        <v>68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0</v>
      </c>
      <c r="T28" s="11">
        <f>J43</f>
        <v>0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17.100999999999999</v>
      </c>
      <c r="T29" s="11">
        <f>F43</f>
        <v>4.0910316624463726E-2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16.411999999999999</v>
      </c>
      <c r="T30" s="11">
        <f>E43</f>
        <v>3.9262038269147925E-2</v>
      </c>
    </row>
    <row r="31" spans="1:20" ht="15">
      <c r="A31" s="4" t="s">
        <v>36</v>
      </c>
      <c r="B31" s="33">
        <v>0</v>
      </c>
      <c r="C31" s="33">
        <v>731</v>
      </c>
      <c r="D31" s="33">
        <v>0</v>
      </c>
      <c r="E31" s="33">
        <v>0</v>
      </c>
      <c r="F31" s="33">
        <v>80</v>
      </c>
      <c r="G31" s="33">
        <v>0</v>
      </c>
      <c r="H31" s="33">
        <v>0</v>
      </c>
      <c r="I31" s="33"/>
      <c r="J31" s="33"/>
      <c r="K31" s="33"/>
      <c r="L31" s="33"/>
      <c r="M31" s="33">
        <v>3336</v>
      </c>
      <c r="N31" s="33">
        <v>4146</v>
      </c>
      <c r="O31" s="13">
        <f>N31/N$39</f>
        <v>1.0281514105463635E-2</v>
      </c>
      <c r="P31" s="14" t="s">
        <v>37</v>
      </c>
      <c r="Q31" s="3"/>
      <c r="R31" s="3" t="s">
        <v>38</v>
      </c>
      <c r="S31" s="10">
        <f>C42/1000</f>
        <v>186.09100000000001</v>
      </c>
      <c r="T31" s="12">
        <f>C43</f>
        <v>0.44518108478820412</v>
      </c>
    </row>
    <row r="32" spans="1:20" ht="15">
      <c r="A32" s="4" t="s">
        <v>39</v>
      </c>
      <c r="B32" s="33">
        <v>234</v>
      </c>
      <c r="C32" s="33">
        <v>10968</v>
      </c>
      <c r="D32" s="33">
        <v>0</v>
      </c>
      <c r="E32" s="58">
        <v>16244</v>
      </c>
      <c r="F32" s="33">
        <v>253</v>
      </c>
      <c r="G32" s="58">
        <f>N32-SUM(H32:M32,B32:F32)</f>
        <v>11679</v>
      </c>
      <c r="H32" s="33">
        <v>0</v>
      </c>
      <c r="I32" s="33"/>
      <c r="J32" s="33"/>
      <c r="K32" s="33"/>
      <c r="L32" s="33"/>
      <c r="M32" s="33">
        <v>37183</v>
      </c>
      <c r="N32" s="33">
        <v>76561</v>
      </c>
      <c r="O32" s="13">
        <f>N32/N$39</f>
        <v>0.1898608300599135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33">
        <v>4121</v>
      </c>
      <c r="C33" s="33">
        <v>315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9649</v>
      </c>
      <c r="N33" s="33">
        <v>14085</v>
      </c>
      <c r="O33" s="13">
        <f>N33/N$39</f>
        <v>3.4928877514581597E-2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173507</v>
      </c>
      <c r="D34" s="33">
        <v>0</v>
      </c>
      <c r="E34" s="33">
        <v>0</v>
      </c>
      <c r="F34" s="33">
        <v>16769</v>
      </c>
      <c r="G34" s="33">
        <v>0</v>
      </c>
      <c r="H34" s="33">
        <v>0</v>
      </c>
      <c r="I34" s="33"/>
      <c r="J34" s="33"/>
      <c r="K34" s="33"/>
      <c r="L34" s="33"/>
      <c r="M34" s="33">
        <v>78</v>
      </c>
      <c r="N34" s="33">
        <v>190353</v>
      </c>
      <c r="O34" s="13">
        <f>N34/N$39</f>
        <v>0.47204945839780976</v>
      </c>
      <c r="P34" s="14" t="s">
        <v>45</v>
      </c>
      <c r="Q34" s="3"/>
      <c r="R34" s="3"/>
      <c r="S34" s="10">
        <f>SUM(S26:S33)</f>
        <v>418.01192000000003</v>
      </c>
      <c r="T34" s="11">
        <f>SUM(T26:T33)</f>
        <v>1</v>
      </c>
    </row>
    <row r="35" spans="1:47" ht="15">
      <c r="A35" s="4" t="s">
        <v>46</v>
      </c>
      <c r="B35" s="33">
        <v>16335</v>
      </c>
      <c r="C35" s="33">
        <v>108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27758</v>
      </c>
      <c r="N35" s="33">
        <v>44202</v>
      </c>
      <c r="O35" s="13">
        <f>N35/N$39</f>
        <v>0.10961492679442923</v>
      </c>
      <c r="P35" s="14" t="s">
        <v>47</v>
      </c>
      <c r="Q35" s="14"/>
    </row>
    <row r="36" spans="1:47" ht="15">
      <c r="A36" s="4" t="s">
        <v>48</v>
      </c>
      <c r="B36" s="33">
        <v>1166</v>
      </c>
      <c r="C36" s="33">
        <v>462</v>
      </c>
      <c r="D36" s="33">
        <v>0</v>
      </c>
      <c r="E36" s="33">
        <v>0</v>
      </c>
      <c r="F36" s="33">
        <v>0</v>
      </c>
      <c r="G36" s="33">
        <v>29901</v>
      </c>
      <c r="H36" s="33">
        <v>0</v>
      </c>
      <c r="I36" s="33"/>
      <c r="J36" s="33"/>
      <c r="K36" s="33"/>
      <c r="L36" s="33"/>
      <c r="M36" s="33">
        <v>23849</v>
      </c>
      <c r="N36" s="33">
        <v>55378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51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15486</v>
      </c>
      <c r="N37" s="33">
        <v>15537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2985</v>
      </c>
      <c r="N38" s="33">
        <v>2985</v>
      </c>
      <c r="O38" s="14">
        <f>SUM(O31:O35)</f>
        <v>0.81673560687219771</v>
      </c>
      <c r="P38" s="14"/>
      <c r="Q38" s="3"/>
      <c r="R38" s="6" t="s">
        <v>51</v>
      </c>
      <c r="S38" s="15">
        <f>N45/1000</f>
        <v>12.54392</v>
      </c>
      <c r="T38" s="6"/>
    </row>
    <row r="39" spans="1:47" ht="15">
      <c r="A39" s="4" t="s">
        <v>17</v>
      </c>
      <c r="B39" s="33">
        <v>21907</v>
      </c>
      <c r="C39" s="33">
        <v>186091</v>
      </c>
      <c r="D39" s="33">
        <v>0</v>
      </c>
      <c r="E39" s="58">
        <f>SUM(E31:E38)</f>
        <v>16244</v>
      </c>
      <c r="F39" s="33">
        <v>17101</v>
      </c>
      <c r="G39" s="58">
        <f>SUM(G31:G38)</f>
        <v>41580</v>
      </c>
      <c r="H39" s="33">
        <v>0</v>
      </c>
      <c r="I39" s="33"/>
      <c r="J39" s="33"/>
      <c r="K39" s="33"/>
      <c r="L39" s="33"/>
      <c r="M39" s="33">
        <v>120324</v>
      </c>
      <c r="N39" s="33">
        <v>403248</v>
      </c>
      <c r="O39" s="3"/>
      <c r="P39" s="3"/>
      <c r="Q39" s="3"/>
      <c r="R39" s="6" t="s">
        <v>52</v>
      </c>
      <c r="S39" s="16">
        <f>N41/1000</f>
        <v>73.900000000000006</v>
      </c>
      <c r="T39" s="11">
        <f>O41</f>
        <v>0.18326191326429395</v>
      </c>
    </row>
    <row r="40" spans="1:47">
      <c r="R40" s="6" t="s">
        <v>53</v>
      </c>
      <c r="S40" s="16">
        <f>N35/1000</f>
        <v>44.201999999999998</v>
      </c>
      <c r="T40" s="12">
        <f>O35</f>
        <v>0.10961492679442923</v>
      </c>
    </row>
    <row r="41" spans="1:47" ht="15">
      <c r="A41" s="17" t="s">
        <v>54</v>
      </c>
      <c r="B41" s="18">
        <f>B38+B37+B36</f>
        <v>1217</v>
      </c>
      <c r="C41" s="18">
        <f t="shared" ref="C41:N41" si="0">C38+C37+C36</f>
        <v>462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29901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42320</v>
      </c>
      <c r="N41" s="18">
        <f t="shared" si="0"/>
        <v>73900</v>
      </c>
      <c r="O41" s="13">
        <f>N41/N$39</f>
        <v>0.18326191326429395</v>
      </c>
      <c r="P41" s="13" t="s">
        <v>55</v>
      </c>
      <c r="Q41" s="6"/>
      <c r="R41" s="6" t="s">
        <v>56</v>
      </c>
      <c r="S41" s="16">
        <f>N33/1000</f>
        <v>14.085000000000001</v>
      </c>
      <c r="T41" s="11">
        <f>O33</f>
        <v>3.4928877514581597E-2</v>
      </c>
    </row>
    <row r="42" spans="1:47" ht="15">
      <c r="A42" s="19" t="s">
        <v>57</v>
      </c>
      <c r="B42" s="18"/>
      <c r="C42" s="20">
        <f>C39+C23+C10</f>
        <v>186091</v>
      </c>
      <c r="D42" s="20">
        <f t="shared" ref="D42:L42" si="1">D39+D23+D10</f>
        <v>0</v>
      </c>
      <c r="E42" s="20">
        <f t="shared" si="1"/>
        <v>16412</v>
      </c>
      <c r="F42" s="20">
        <f t="shared" si="1"/>
        <v>17101</v>
      </c>
      <c r="G42" s="20">
        <f t="shared" si="1"/>
        <v>68458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>M39+M23-B6+M45</f>
        <v>129949.92</v>
      </c>
      <c r="N42" s="21">
        <f>SUM(C42:M42)</f>
        <v>418011.92</v>
      </c>
      <c r="O42" s="6"/>
      <c r="P42" s="6"/>
      <c r="Q42" s="6"/>
      <c r="R42" s="6" t="s">
        <v>37</v>
      </c>
      <c r="S42" s="16">
        <f>N31/1000</f>
        <v>4.1459999999999999</v>
      </c>
      <c r="T42" s="11">
        <f>O31</f>
        <v>1.0281514105463635E-2</v>
      </c>
    </row>
    <row r="43" spans="1:47" ht="15">
      <c r="A43" s="19" t="s">
        <v>58</v>
      </c>
      <c r="B43" s="18"/>
      <c r="C43" s="13">
        <f t="shared" ref="C43:M43" si="2">C42/$N42</f>
        <v>0.44518108478820412</v>
      </c>
      <c r="D43" s="13">
        <f t="shared" si="2"/>
        <v>0</v>
      </c>
      <c r="E43" s="13">
        <f t="shared" si="2"/>
        <v>3.9262038269147925E-2</v>
      </c>
      <c r="F43" s="13">
        <f t="shared" si="2"/>
        <v>4.0910316624463726E-2</v>
      </c>
      <c r="G43" s="13">
        <f t="shared" si="2"/>
        <v>0.16377044941684918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0.31087611090133505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76.561000000000007</v>
      </c>
      <c r="T43" s="12">
        <f>O32</f>
        <v>0.1898608300599135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190.35300000000001</v>
      </c>
      <c r="T44" s="12">
        <f>O34</f>
        <v>0.47204945839780976</v>
      </c>
    </row>
    <row r="45" spans="1:47" ht="15">
      <c r="A45" s="5" t="s">
        <v>61</v>
      </c>
      <c r="B45" s="5">
        <f>B23-B39</f>
        <v>2918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9625.92</v>
      </c>
      <c r="N45" s="21">
        <f>B45+M45</f>
        <v>12543.92</v>
      </c>
      <c r="O45" s="6"/>
      <c r="P45" s="6"/>
      <c r="Q45" s="6"/>
      <c r="R45" s="6" t="s">
        <v>62</v>
      </c>
      <c r="S45" s="16">
        <f>SUM(S39:S44)</f>
        <v>403.24700000000001</v>
      </c>
      <c r="T45" s="11">
        <f>SUM(T39:T44)</f>
        <v>0.99999752013649168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4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5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5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5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5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5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5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U70"/>
  <sheetViews>
    <sheetView topLeftCell="A13" workbookViewId="0">
      <selection activeCell="I20" sqref="I20"/>
    </sheetView>
  </sheetViews>
  <sheetFormatPr baseColWidth="10" defaultColWidth="8.83203125" defaultRowHeight="14" x14ac:dyDescent="0"/>
  <cols>
    <col min="1" max="1" width="20.5" style="2" customWidth="1"/>
    <col min="2" max="2" width="12" style="2" customWidth="1"/>
    <col min="3" max="3" width="13.83203125" style="2" customWidth="1"/>
    <col min="4" max="9" width="8.83203125" style="2"/>
    <col min="10" max="10" width="10" style="2" bestFit="1" customWidth="1"/>
    <col min="11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69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146742</v>
      </c>
      <c r="C6" s="50">
        <v>0</v>
      </c>
      <c r="D6" s="33">
        <v>0</v>
      </c>
      <c r="E6" s="33">
        <v>0</v>
      </c>
      <c r="F6" s="33">
        <v>0</v>
      </c>
      <c r="G6" s="50">
        <v>0</v>
      </c>
      <c r="H6" s="33">
        <v>0</v>
      </c>
      <c r="I6" s="33"/>
      <c r="J6" s="33"/>
      <c r="K6" s="33"/>
      <c r="L6" s="33"/>
      <c r="M6" s="33"/>
      <c r="N6" s="50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58">
        <f>B10-B9-B6</f>
        <v>6642.2272727272648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62">
        <v>2762.772727272727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156147</v>
      </c>
      <c r="C10" s="50">
        <v>0</v>
      </c>
      <c r="D10" s="33">
        <v>0</v>
      </c>
      <c r="E10" s="33">
        <v>0</v>
      </c>
      <c r="F10" s="33">
        <v>0</v>
      </c>
      <c r="G10" s="50">
        <v>0</v>
      </c>
      <c r="H10" s="33">
        <v>0</v>
      </c>
      <c r="I10" s="33"/>
      <c r="J10" s="33"/>
      <c r="K10" s="33"/>
      <c r="L10" s="33"/>
      <c r="M10" s="33"/>
      <c r="N10" s="50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69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50">
        <v>602667</v>
      </c>
      <c r="C17" s="50">
        <v>18130</v>
      </c>
      <c r="D17" s="50">
        <v>0</v>
      </c>
      <c r="E17" s="33">
        <v>0</v>
      </c>
      <c r="F17" s="33">
        <v>0</v>
      </c>
      <c r="G17" s="50">
        <f>(574054-18000)+145681</f>
        <v>701735</v>
      </c>
      <c r="H17" s="33">
        <v>0</v>
      </c>
      <c r="I17" s="33"/>
      <c r="J17" s="50">
        <f>(17594+18000)+0</f>
        <v>35594</v>
      </c>
      <c r="K17" s="33"/>
      <c r="L17" s="33"/>
      <c r="M17" s="33"/>
      <c r="N17" s="50">
        <v>755458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61">
        <v>18553</v>
      </c>
      <c r="C18" s="33">
        <v>2627</v>
      </c>
      <c r="D18" s="33">
        <v>0</v>
      </c>
      <c r="E18" s="33">
        <v>0</v>
      </c>
      <c r="F18" s="33">
        <v>0</v>
      </c>
      <c r="G18" s="33">
        <v>17359</v>
      </c>
      <c r="H18" s="33">
        <v>0</v>
      </c>
      <c r="I18" s="33"/>
      <c r="J18" s="33"/>
      <c r="K18" s="33"/>
      <c r="L18" s="33"/>
      <c r="M18" s="33"/>
      <c r="N18" s="33">
        <v>19986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53387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50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33">
        <v>674607</v>
      </c>
      <c r="C23" s="50">
        <f>SUM(C17:C22)</f>
        <v>20757</v>
      </c>
      <c r="D23" s="50">
        <f>SUM(D17:D22)</f>
        <v>0</v>
      </c>
      <c r="E23" s="33">
        <v>0</v>
      </c>
      <c r="F23" s="33">
        <v>0</v>
      </c>
      <c r="G23" s="50">
        <f>SUM(G17:G22)</f>
        <v>719094</v>
      </c>
      <c r="H23" s="33">
        <v>0</v>
      </c>
      <c r="I23" s="33"/>
      <c r="J23" s="50">
        <f>SUM(J17:J22)</f>
        <v>35594</v>
      </c>
      <c r="K23" s="33"/>
      <c r="L23" s="33"/>
      <c r="M23" s="33"/>
      <c r="N23" s="50">
        <f>SUM(N17:N22)</f>
        <v>775444</v>
      </c>
      <c r="O23" s="3"/>
      <c r="P23" s="3"/>
      <c r="Q23" s="3"/>
      <c r="R23" s="3" t="s">
        <v>27</v>
      </c>
      <c r="S23" s="9">
        <f>N42/1000</f>
        <v>2183.2124800000001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 t="s">
        <v>84</v>
      </c>
      <c r="C25" s="8"/>
      <c r="D25" s="8"/>
      <c r="E25" s="8"/>
      <c r="F25" s="8"/>
      <c r="G25" s="8"/>
      <c r="H25" s="8"/>
      <c r="I25" s="51"/>
      <c r="J25" s="52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572.03147999999999</v>
      </c>
      <c r="T26" s="11">
        <f>M43</f>
        <v>0.26201365430084017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824.53599999999994</v>
      </c>
      <c r="T27" s="12">
        <f>G43</f>
        <v>0.37767098143374483</v>
      </c>
    </row>
    <row r="28" spans="1:20" ht="15">
      <c r="A28" s="23" t="s">
        <v>69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35.594000000000001</v>
      </c>
      <c r="T28" s="11">
        <f>J43</f>
        <v>1.6303497862012954E-2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84.242000000000004</v>
      </c>
      <c r="T29" s="11">
        <f>F43</f>
        <v>3.8586257989877373E-2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7.1449999999999996</v>
      </c>
      <c r="T30" s="11">
        <f>E43</f>
        <v>3.2727002366714211E-3</v>
      </c>
    </row>
    <row r="31" spans="1:20" ht="15">
      <c r="A31" s="4" t="s">
        <v>36</v>
      </c>
      <c r="B31" s="33">
        <v>0</v>
      </c>
      <c r="C31" s="33">
        <v>16537</v>
      </c>
      <c r="D31" s="33">
        <v>0</v>
      </c>
      <c r="E31" s="33">
        <v>0</v>
      </c>
      <c r="F31" s="33">
        <v>1792</v>
      </c>
      <c r="G31" s="33">
        <v>0</v>
      </c>
      <c r="H31" s="33">
        <v>0</v>
      </c>
      <c r="I31" s="33"/>
      <c r="J31" s="33"/>
      <c r="K31" s="33"/>
      <c r="L31" s="33"/>
      <c r="M31" s="33">
        <v>25535</v>
      </c>
      <c r="N31" s="33">
        <v>43865</v>
      </c>
      <c r="O31" s="13">
        <f>N31/N$39</f>
        <v>2.1210012731326462E-2</v>
      </c>
      <c r="P31" s="14" t="s">
        <v>37</v>
      </c>
      <c r="Q31" s="3"/>
      <c r="R31" s="3" t="s">
        <v>38</v>
      </c>
      <c r="S31" s="10">
        <f>C42/1000</f>
        <v>659.66399999999999</v>
      </c>
      <c r="T31" s="12">
        <f>C43</f>
        <v>0.3021529081768532</v>
      </c>
    </row>
    <row r="32" spans="1:20" ht="15">
      <c r="A32" s="4" t="s">
        <v>39</v>
      </c>
      <c r="B32" s="33">
        <v>17661</v>
      </c>
      <c r="C32" s="33">
        <v>18636</v>
      </c>
      <c r="D32" s="33">
        <v>0</v>
      </c>
      <c r="E32" s="58">
        <v>7145</v>
      </c>
      <c r="F32" s="58">
        <v>24260</v>
      </c>
      <c r="G32" s="58">
        <f>N32-SUM(B32:F32,H32:M32)</f>
        <v>3041</v>
      </c>
      <c r="H32" s="33">
        <v>0</v>
      </c>
      <c r="I32" s="33"/>
      <c r="J32" s="33"/>
      <c r="K32" s="33"/>
      <c r="L32" s="33"/>
      <c r="M32" s="33">
        <v>102591</v>
      </c>
      <c r="N32" s="33">
        <v>173334</v>
      </c>
      <c r="O32" s="13">
        <f>N32/N$39</f>
        <v>8.3812067634144324E-2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33">
        <v>61726</v>
      </c>
      <c r="C33" s="33">
        <v>6626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75125</v>
      </c>
      <c r="N33" s="33">
        <v>143477</v>
      </c>
      <c r="O33" s="13">
        <f>N33/N$39</f>
        <v>6.9375333333010977E-2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595414</v>
      </c>
      <c r="D34" s="33">
        <v>0</v>
      </c>
      <c r="E34" s="33">
        <v>0</v>
      </c>
      <c r="F34" s="33">
        <v>58190</v>
      </c>
      <c r="G34" s="33">
        <v>0</v>
      </c>
      <c r="H34" s="33">
        <v>0</v>
      </c>
      <c r="I34" s="33"/>
      <c r="J34" s="33"/>
      <c r="K34" s="33"/>
      <c r="L34" s="33"/>
      <c r="M34" s="33">
        <v>200</v>
      </c>
      <c r="N34" s="33">
        <v>653804</v>
      </c>
      <c r="O34" s="13">
        <f>N34/N$39</f>
        <v>0.31613339026084958</v>
      </c>
      <c r="P34" s="14" t="s">
        <v>45</v>
      </c>
      <c r="Q34" s="3"/>
      <c r="R34" s="3"/>
      <c r="S34" s="10">
        <f>SUM(S26:S33)</f>
        <v>2183.2124800000001</v>
      </c>
      <c r="T34" s="11">
        <f>SUM(T26:T33)</f>
        <v>0.99999999999999978</v>
      </c>
    </row>
    <row r="35" spans="1:47" ht="15">
      <c r="A35" s="4" t="s">
        <v>46</v>
      </c>
      <c r="B35" s="33">
        <v>140720</v>
      </c>
      <c r="C35" s="33">
        <v>348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232594</v>
      </c>
      <c r="N35" s="33">
        <v>373662</v>
      </c>
      <c r="O35" s="13">
        <f>N35/N$39</f>
        <v>0.18067652518438182</v>
      </c>
      <c r="P35" s="14" t="s">
        <v>47</v>
      </c>
      <c r="Q35" s="14"/>
    </row>
    <row r="36" spans="1:47" ht="15">
      <c r="A36" s="4" t="s">
        <v>48</v>
      </c>
      <c r="B36" s="33">
        <v>130136</v>
      </c>
      <c r="C36" s="33">
        <v>1266</v>
      </c>
      <c r="D36" s="33">
        <v>0</v>
      </c>
      <c r="E36" s="33">
        <v>0</v>
      </c>
      <c r="F36" s="33">
        <v>0</v>
      </c>
      <c r="G36" s="33">
        <v>102401</v>
      </c>
      <c r="H36" s="33">
        <v>0</v>
      </c>
      <c r="I36" s="33"/>
      <c r="J36" s="33"/>
      <c r="K36" s="33"/>
      <c r="L36" s="33"/>
      <c r="M36" s="33">
        <v>168298</v>
      </c>
      <c r="N36" s="33">
        <v>402101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216617</v>
      </c>
      <c r="C37" s="33">
        <v>80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51686</v>
      </c>
      <c r="N37" s="33">
        <v>268383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9502</v>
      </c>
      <c r="N38" s="33">
        <v>9502</v>
      </c>
      <c r="O38" s="14">
        <f>SUM(O31:O35)</f>
        <v>0.67120732914371317</v>
      </c>
      <c r="P38" s="14"/>
      <c r="Q38" s="3"/>
      <c r="R38" s="6" t="s">
        <v>51</v>
      </c>
      <c r="S38" s="15">
        <f>N45/1000</f>
        <v>160.98948000000001</v>
      </c>
      <c r="T38" s="6"/>
    </row>
    <row r="39" spans="1:47" ht="15">
      <c r="A39" s="4" t="s">
        <v>17</v>
      </c>
      <c r="B39" s="33">
        <v>566860</v>
      </c>
      <c r="C39" s="33">
        <v>638907</v>
      </c>
      <c r="D39" s="33">
        <v>0</v>
      </c>
      <c r="E39" s="58">
        <f>SUM(E31:E38)</f>
        <v>7145</v>
      </c>
      <c r="F39" s="58">
        <f>SUM(F31:F38)</f>
        <v>84242</v>
      </c>
      <c r="G39" s="58">
        <f>SUM(G31:G38)</f>
        <v>105442</v>
      </c>
      <c r="H39" s="33">
        <v>0</v>
      </c>
      <c r="I39" s="33"/>
      <c r="J39" s="33"/>
      <c r="K39" s="33"/>
      <c r="L39" s="33"/>
      <c r="M39" s="33">
        <v>665531</v>
      </c>
      <c r="N39" s="33">
        <v>2068127</v>
      </c>
      <c r="O39" s="3"/>
      <c r="P39" s="3"/>
      <c r="Q39" s="3"/>
      <c r="R39" s="6" t="s">
        <v>52</v>
      </c>
      <c r="S39" s="16">
        <f>N41/1000</f>
        <v>679.98599999999999</v>
      </c>
      <c r="T39" s="11">
        <f>O41</f>
        <v>0.32879315438558659</v>
      </c>
    </row>
    <row r="40" spans="1:47">
      <c r="H40" s="8"/>
      <c r="R40" s="6" t="s">
        <v>53</v>
      </c>
      <c r="S40" s="16">
        <f>N35/1000</f>
        <v>373.66199999999998</v>
      </c>
      <c r="T40" s="12">
        <f>O35</f>
        <v>0.18067652518438182</v>
      </c>
    </row>
    <row r="41" spans="1:47" ht="15">
      <c r="A41" s="17" t="s">
        <v>54</v>
      </c>
      <c r="B41" s="18">
        <f>B38+B37+B36</f>
        <v>346753</v>
      </c>
      <c r="C41" s="18">
        <f t="shared" ref="C41:N41" si="0">C38+C37+C36</f>
        <v>1346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102401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229486</v>
      </c>
      <c r="N41" s="18">
        <f t="shared" si="0"/>
        <v>679986</v>
      </c>
      <c r="O41" s="13">
        <f>N41/N$39</f>
        <v>0.32879315438558659</v>
      </c>
      <c r="P41" s="13" t="s">
        <v>55</v>
      </c>
      <c r="Q41" s="6"/>
      <c r="R41" s="6" t="s">
        <v>56</v>
      </c>
      <c r="S41" s="16">
        <f>N33/1000</f>
        <v>143.477</v>
      </c>
      <c r="T41" s="11">
        <f>O33</f>
        <v>6.9375333333010977E-2</v>
      </c>
    </row>
    <row r="42" spans="1:47" ht="15">
      <c r="A42" s="19" t="s">
        <v>57</v>
      </c>
      <c r="B42" s="18"/>
      <c r="C42" s="20">
        <f>C39+C23+C10</f>
        <v>659664</v>
      </c>
      <c r="D42" s="20">
        <f t="shared" ref="D42:L42" si="1">D39+D23+D10</f>
        <v>0</v>
      </c>
      <c r="E42" s="20">
        <f t="shared" si="1"/>
        <v>7145</v>
      </c>
      <c r="F42" s="20">
        <f t="shared" si="1"/>
        <v>84242</v>
      </c>
      <c r="G42" s="20">
        <f t="shared" si="1"/>
        <v>824536</v>
      </c>
      <c r="H42" s="20">
        <f t="shared" si="1"/>
        <v>0</v>
      </c>
      <c r="I42" s="20">
        <f t="shared" si="1"/>
        <v>0</v>
      </c>
      <c r="J42" s="20">
        <f t="shared" si="1"/>
        <v>35594</v>
      </c>
      <c r="K42" s="20">
        <f t="shared" si="1"/>
        <v>0</v>
      </c>
      <c r="L42" s="20">
        <f t="shared" si="1"/>
        <v>0</v>
      </c>
      <c r="M42" s="20">
        <f>M39+M23-B6+M45</f>
        <v>572031.48</v>
      </c>
      <c r="N42" s="21">
        <f>SUM(C42:M42)</f>
        <v>2183212.48</v>
      </c>
      <c r="O42" s="6"/>
      <c r="P42" s="6"/>
      <c r="Q42" s="6"/>
      <c r="R42" s="6" t="s">
        <v>37</v>
      </c>
      <c r="S42" s="16">
        <f>N31/1000</f>
        <v>43.865000000000002</v>
      </c>
      <c r="T42" s="11">
        <f>O31</f>
        <v>2.1210012731326462E-2</v>
      </c>
    </row>
    <row r="43" spans="1:47" ht="15">
      <c r="A43" s="19" t="s">
        <v>58</v>
      </c>
      <c r="B43" s="18"/>
      <c r="C43" s="13">
        <f t="shared" ref="C43:M43" si="2">C42/$N42</f>
        <v>0.3021529081768532</v>
      </c>
      <c r="D43" s="13">
        <f t="shared" si="2"/>
        <v>0</v>
      </c>
      <c r="E43" s="13">
        <f t="shared" si="2"/>
        <v>3.2727002366714211E-3</v>
      </c>
      <c r="F43" s="13">
        <f t="shared" si="2"/>
        <v>3.8586257989877373E-2</v>
      </c>
      <c r="G43" s="13">
        <f t="shared" si="2"/>
        <v>0.37767098143374483</v>
      </c>
      <c r="H43" s="13">
        <f t="shared" si="2"/>
        <v>0</v>
      </c>
      <c r="I43" s="13">
        <f t="shared" si="2"/>
        <v>0</v>
      </c>
      <c r="J43" s="13">
        <f t="shared" si="2"/>
        <v>1.6303497862012954E-2</v>
      </c>
      <c r="K43" s="13">
        <f t="shared" si="2"/>
        <v>0</v>
      </c>
      <c r="L43" s="13">
        <f t="shared" si="2"/>
        <v>0</v>
      </c>
      <c r="M43" s="13">
        <f t="shared" si="2"/>
        <v>0.26201365430084017</v>
      </c>
      <c r="N43" s="13">
        <f>SUM(C43:M43)</f>
        <v>1</v>
      </c>
      <c r="O43" s="6"/>
      <c r="P43" s="6"/>
      <c r="Q43" s="6"/>
      <c r="R43" s="6" t="s">
        <v>59</v>
      </c>
      <c r="S43" s="16">
        <f>N32/1000</f>
        <v>173.334</v>
      </c>
      <c r="T43" s="12">
        <f>O32</f>
        <v>8.3812067634144324E-2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653.80399999999997</v>
      </c>
      <c r="T44" s="12">
        <f>O34</f>
        <v>0.31613339026084958</v>
      </c>
    </row>
    <row r="45" spans="1:47" ht="15">
      <c r="A45" s="5" t="s">
        <v>61</v>
      </c>
      <c r="B45" s="5">
        <f>B23-B39</f>
        <v>107747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53242.48</v>
      </c>
      <c r="N45" s="21">
        <f>B45+M45</f>
        <v>160989.48000000001</v>
      </c>
      <c r="O45" s="6"/>
      <c r="P45" s="6"/>
      <c r="Q45" s="6"/>
      <c r="R45" s="6" t="s">
        <v>62</v>
      </c>
      <c r="S45" s="16">
        <f>SUM(S39:S44)</f>
        <v>2068.1280000000002</v>
      </c>
      <c r="T45" s="11">
        <f>SUM(T39:T44)</f>
        <v>1.0000004835292997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4"/>
      <c r="E48" s="24"/>
      <c r="F48" s="25"/>
      <c r="G48" s="25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5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5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5"/>
      <c r="G55" s="25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5"/>
      <c r="G56" s="25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U70"/>
  <sheetViews>
    <sheetView topLeftCell="A9" workbookViewId="0">
      <selection activeCell="B23" sqref="B2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23" t="s">
        <v>70</v>
      </c>
      <c r="O2" s="3"/>
      <c r="P2" s="3"/>
      <c r="Q2" s="3"/>
      <c r="R2" s="3"/>
      <c r="S2" s="3"/>
      <c r="T2" s="3"/>
    </row>
    <row r="3" spans="1:20" ht="15">
      <c r="A3" s="4">
        <v>2013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33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4"/>
      <c r="O5" s="3"/>
      <c r="P5" s="3"/>
      <c r="Q5" s="3"/>
      <c r="R5" s="3"/>
      <c r="S5" s="3"/>
      <c r="T5" s="3"/>
    </row>
    <row r="6" spans="1:20" ht="15">
      <c r="A6" s="7" t="s">
        <v>13</v>
      </c>
      <c r="B6" s="33">
        <v>17845</v>
      </c>
      <c r="C6" s="50">
        <v>0</v>
      </c>
      <c r="D6" s="50">
        <v>0</v>
      </c>
      <c r="E6" s="33">
        <v>0</v>
      </c>
      <c r="F6" s="33">
        <v>0</v>
      </c>
      <c r="G6" s="50">
        <v>0</v>
      </c>
      <c r="H6" s="33">
        <v>0</v>
      </c>
      <c r="I6" s="33"/>
      <c r="J6" s="33"/>
      <c r="K6" s="33"/>
      <c r="L6" s="33"/>
      <c r="M6" s="33"/>
      <c r="N6" s="50">
        <v>0</v>
      </c>
      <c r="O6" s="3"/>
      <c r="P6" s="3"/>
      <c r="Q6" s="3"/>
      <c r="R6" s="3"/>
      <c r="S6" s="3"/>
      <c r="T6" s="3"/>
    </row>
    <row r="7" spans="1:20" ht="15">
      <c r="A7" s="7" t="s">
        <v>14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/>
      <c r="J7" s="33"/>
      <c r="K7" s="33"/>
      <c r="L7" s="33"/>
      <c r="M7" s="33"/>
      <c r="N7" s="33">
        <v>0</v>
      </c>
      <c r="O7" s="3"/>
      <c r="P7" s="3"/>
      <c r="Q7" s="3"/>
      <c r="R7" s="3"/>
      <c r="S7" s="3"/>
      <c r="T7" s="3"/>
    </row>
    <row r="8" spans="1:20" ht="15">
      <c r="A8" s="7" t="s">
        <v>15</v>
      </c>
      <c r="B8" s="33">
        <v>25138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/>
      <c r="J8" s="33"/>
      <c r="K8" s="33"/>
      <c r="L8" s="33"/>
      <c r="M8" s="33"/>
      <c r="N8" s="33">
        <v>0</v>
      </c>
      <c r="O8" s="3"/>
      <c r="P8" s="3"/>
      <c r="Q8" s="3"/>
      <c r="R8" s="3"/>
      <c r="S8" s="3"/>
      <c r="T8" s="3"/>
    </row>
    <row r="9" spans="1:20" ht="15">
      <c r="A9" s="7" t="s">
        <v>16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/>
      <c r="J9" s="33"/>
      <c r="K9" s="33"/>
      <c r="L9" s="33"/>
      <c r="M9" s="33"/>
      <c r="N9" s="33">
        <v>0</v>
      </c>
      <c r="O9" s="3"/>
      <c r="P9" s="3"/>
      <c r="Q9" s="3"/>
      <c r="R9" s="3"/>
      <c r="S9" s="3"/>
      <c r="T9" s="3"/>
    </row>
    <row r="10" spans="1:20" ht="15">
      <c r="A10" s="7" t="s">
        <v>17</v>
      </c>
      <c r="B10" s="33">
        <v>42983</v>
      </c>
      <c r="C10" s="50">
        <v>0</v>
      </c>
      <c r="D10" s="50">
        <v>0</v>
      </c>
      <c r="E10" s="47">
        <v>0</v>
      </c>
      <c r="F10" s="33">
        <v>0</v>
      </c>
      <c r="G10" s="50">
        <v>0</v>
      </c>
      <c r="H10" s="33">
        <v>0</v>
      </c>
      <c r="I10" s="33"/>
      <c r="J10" s="33"/>
      <c r="K10" s="33"/>
      <c r="L10" s="33"/>
      <c r="M10" s="33"/>
      <c r="N10" s="50">
        <v>0</v>
      </c>
      <c r="O10" s="3"/>
      <c r="P10" s="3"/>
      <c r="Q10" s="3"/>
      <c r="R10" s="3"/>
      <c r="S10" s="3"/>
      <c r="T10" s="3"/>
    </row>
    <row r="11" spans="1:20" ht="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</row>
    <row r="12" spans="1:20" ht="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34"/>
      <c r="O13" s="3"/>
      <c r="P13" s="3"/>
      <c r="Q13" s="3"/>
      <c r="R13" s="3"/>
      <c r="S13" s="3"/>
      <c r="T13" s="3"/>
    </row>
    <row r="14" spans="1:20" ht="15">
      <c r="A14" s="23" t="s">
        <v>70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  <c r="Q14" s="3"/>
      <c r="R14" s="3"/>
      <c r="S14" s="3"/>
      <c r="T14" s="3"/>
    </row>
    <row r="15" spans="1:20" ht="15">
      <c r="B15" s="5" t="s">
        <v>19</v>
      </c>
      <c r="C15" s="5" t="s">
        <v>2</v>
      </c>
      <c r="D15" s="5" t="s">
        <v>3</v>
      </c>
      <c r="E15" s="5" t="s">
        <v>4</v>
      </c>
      <c r="F15" s="5" t="s">
        <v>20</v>
      </c>
      <c r="G15" s="5" t="s">
        <v>33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8" t="s">
        <v>12</v>
      </c>
      <c r="O15" s="3"/>
      <c r="P15" s="3"/>
      <c r="Q15" s="3"/>
      <c r="R15" s="3"/>
      <c r="S15" s="3"/>
      <c r="T15" s="3"/>
    </row>
    <row r="16" spans="1:20" ht="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  <c r="Q16" s="3"/>
      <c r="R16" s="3"/>
      <c r="S16" s="3"/>
      <c r="T16" s="3"/>
    </row>
    <row r="17" spans="1:20" ht="15">
      <c r="A17" s="7" t="s">
        <v>21</v>
      </c>
      <c r="B17" s="33">
        <v>183241</v>
      </c>
      <c r="C17" s="50">
        <v>404</v>
      </c>
      <c r="D17" s="33">
        <v>0</v>
      </c>
      <c r="E17" s="50">
        <v>1750</v>
      </c>
      <c r="F17" s="33">
        <v>0</v>
      </c>
      <c r="G17" s="50">
        <f>22739+475</f>
        <v>23214</v>
      </c>
      <c r="H17" s="33">
        <v>0</v>
      </c>
      <c r="I17" s="33"/>
      <c r="J17" s="60">
        <v>39442</v>
      </c>
      <c r="K17" s="50">
        <v>146486</v>
      </c>
      <c r="L17" s="33"/>
      <c r="M17" s="33"/>
      <c r="N17" s="50">
        <f>SUM(C17:M17)</f>
        <v>211296</v>
      </c>
      <c r="O17" s="3"/>
      <c r="P17" s="3"/>
      <c r="Q17" s="3"/>
      <c r="R17" s="3"/>
      <c r="S17" s="3"/>
      <c r="T17" s="3"/>
    </row>
    <row r="18" spans="1:20" ht="15">
      <c r="A18" s="7" t="s">
        <v>22</v>
      </c>
      <c r="B18" s="33">
        <v>12550</v>
      </c>
      <c r="C18" s="33">
        <v>100</v>
      </c>
      <c r="D18" s="33">
        <v>0</v>
      </c>
      <c r="E18" s="33">
        <v>0</v>
      </c>
      <c r="F18" s="33">
        <v>0</v>
      </c>
      <c r="G18" s="33">
        <v>14342</v>
      </c>
      <c r="H18" s="33">
        <v>0</v>
      </c>
      <c r="I18" s="33"/>
      <c r="J18" s="33"/>
      <c r="K18" s="33"/>
      <c r="L18" s="33"/>
      <c r="M18" s="33"/>
      <c r="N18" s="33">
        <v>14441</v>
      </c>
      <c r="O18" s="3"/>
      <c r="P18" s="3"/>
      <c r="Q18" s="3"/>
      <c r="R18" s="3"/>
      <c r="S18" s="3"/>
      <c r="T18" s="3"/>
    </row>
    <row r="19" spans="1:20" ht="15">
      <c r="A19" s="7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/>
      <c r="J19" s="33"/>
      <c r="K19" s="33"/>
      <c r="L19" s="33"/>
      <c r="M19" s="33"/>
      <c r="N19" s="33">
        <v>0</v>
      </c>
      <c r="O19" s="3"/>
      <c r="P19" s="3"/>
      <c r="Q19" s="3"/>
      <c r="R19" s="3"/>
      <c r="S19" s="3"/>
      <c r="T19" s="3"/>
    </row>
    <row r="20" spans="1:20" ht="15">
      <c r="A20" s="7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/>
      <c r="J20" s="33"/>
      <c r="K20" s="33"/>
      <c r="L20" s="33"/>
      <c r="M20" s="33"/>
      <c r="N20" s="33">
        <v>0</v>
      </c>
      <c r="O20" s="3"/>
      <c r="P20" s="3"/>
      <c r="Q20" s="3"/>
      <c r="R20" s="3"/>
      <c r="S20" s="3"/>
      <c r="T20" s="3"/>
    </row>
    <row r="21" spans="1:20" ht="15">
      <c r="A21" s="7" t="s">
        <v>25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/>
      <c r="J21" s="33"/>
      <c r="K21" s="33"/>
      <c r="L21" s="33"/>
      <c r="M21" s="33"/>
      <c r="N21" s="33">
        <v>0</v>
      </c>
      <c r="O21" s="3"/>
      <c r="P21" s="3"/>
      <c r="Q21" s="3"/>
      <c r="R21" s="3"/>
      <c r="S21" s="3"/>
      <c r="T21" s="3"/>
    </row>
    <row r="22" spans="1:20" ht="15">
      <c r="A22" s="7" t="s">
        <v>26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/>
      <c r="J22" s="33"/>
      <c r="K22" s="33"/>
      <c r="L22" s="33"/>
      <c r="M22" s="33"/>
      <c r="N22" s="33">
        <v>0</v>
      </c>
      <c r="O22" s="3"/>
      <c r="P22" s="3"/>
      <c r="Q22" s="3"/>
      <c r="R22" s="3"/>
      <c r="S22" s="3"/>
      <c r="T22" s="3"/>
    </row>
    <row r="23" spans="1:20" ht="15">
      <c r="A23" s="7" t="s">
        <v>17</v>
      </c>
      <c r="B23" s="33">
        <v>195791</v>
      </c>
      <c r="C23" s="50">
        <f>SUM(C17:C22)</f>
        <v>504</v>
      </c>
      <c r="D23" s="50">
        <f>SUM(D17:D22)</f>
        <v>0</v>
      </c>
      <c r="E23" s="50">
        <f>SUM(E17:E22)</f>
        <v>1750</v>
      </c>
      <c r="F23" s="33">
        <v>0</v>
      </c>
      <c r="G23" s="50">
        <f>SUM(G17:G22)</f>
        <v>37556</v>
      </c>
      <c r="H23" s="33">
        <v>0</v>
      </c>
      <c r="I23" s="33"/>
      <c r="J23" s="50">
        <f>SUM(J17:J22)</f>
        <v>39442</v>
      </c>
      <c r="K23" s="50">
        <f>SUM(K17:K22)</f>
        <v>146486</v>
      </c>
      <c r="L23" s="33"/>
      <c r="M23" s="33"/>
      <c r="N23" s="50">
        <f>SUM(N17:N22)</f>
        <v>225737</v>
      </c>
      <c r="O23" s="3"/>
      <c r="P23" s="3"/>
      <c r="Q23" s="3"/>
      <c r="R23" s="3" t="s">
        <v>27</v>
      </c>
      <c r="S23" s="9">
        <f>N42/1000</f>
        <v>1050.6287199999999</v>
      </c>
      <c r="T23" s="3"/>
    </row>
    <row r="24" spans="1:20" ht="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3"/>
      <c r="P24" s="3"/>
      <c r="Q24" s="3"/>
      <c r="R24" s="3"/>
      <c r="S24" s="3"/>
      <c r="T24" s="3"/>
    </row>
    <row r="25" spans="1:20" ht="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 t="s">
        <v>11</v>
      </c>
      <c r="S26" s="10">
        <f>M42/1000</f>
        <v>301.81771999999995</v>
      </c>
      <c r="T26" s="11">
        <f>M43</f>
        <v>0.28727343375878778</v>
      </c>
    </row>
    <row r="27" spans="1:20" ht="18">
      <c r="A27" s="1" t="s">
        <v>30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3"/>
      <c r="P27" s="3"/>
      <c r="Q27" s="3"/>
      <c r="R27" s="3" t="s">
        <v>33</v>
      </c>
      <c r="S27" s="10">
        <f>G42/1000</f>
        <v>102.886</v>
      </c>
      <c r="T27" s="12">
        <f>G43</f>
        <v>9.7928029228060695E-2</v>
      </c>
    </row>
    <row r="28" spans="1:20" ht="15">
      <c r="A28" s="23" t="s">
        <v>70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 t="s">
        <v>8</v>
      </c>
      <c r="S28" s="10">
        <f>J42/1000</f>
        <v>39.442</v>
      </c>
      <c r="T28" s="11">
        <f>J43</f>
        <v>3.7541330490184967E-2</v>
      </c>
    </row>
    <row r="29" spans="1:20" ht="15">
      <c r="B29" s="5" t="s">
        <v>31</v>
      </c>
      <c r="C29" s="5" t="s">
        <v>2</v>
      </c>
      <c r="D29" s="5" t="s">
        <v>3</v>
      </c>
      <c r="E29" s="5" t="s">
        <v>4</v>
      </c>
      <c r="F29" s="5" t="s">
        <v>32</v>
      </c>
      <c r="G29" s="5" t="s">
        <v>33</v>
      </c>
      <c r="H29" s="5" t="s">
        <v>6</v>
      </c>
      <c r="I29" s="5" t="s">
        <v>5</v>
      </c>
      <c r="J29" s="5" t="s">
        <v>8</v>
      </c>
      <c r="K29" s="5" t="s">
        <v>9</v>
      </c>
      <c r="L29" s="5" t="s">
        <v>10</v>
      </c>
      <c r="M29" s="5" t="s">
        <v>11</v>
      </c>
      <c r="N29" s="5" t="s">
        <v>34</v>
      </c>
      <c r="O29" s="3"/>
      <c r="P29" s="3"/>
      <c r="Q29" s="3"/>
      <c r="R29" s="3" t="s">
        <v>32</v>
      </c>
      <c r="S29" s="10">
        <f>F42/1000</f>
        <v>37.966000000000001</v>
      </c>
      <c r="T29" s="11">
        <f>F43</f>
        <v>3.6136457415708187E-2</v>
      </c>
    </row>
    <row r="30" spans="1:20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 t="s">
        <v>35</v>
      </c>
      <c r="S30" s="9">
        <f>E42/1000</f>
        <v>9.8610000000000007</v>
      </c>
      <c r="T30" s="11">
        <f>E43</f>
        <v>9.3858085280592758E-3</v>
      </c>
    </row>
    <row r="31" spans="1:20" ht="15">
      <c r="A31" s="4" t="s">
        <v>36</v>
      </c>
      <c r="B31" s="33">
        <v>0</v>
      </c>
      <c r="C31" s="33">
        <v>14353</v>
      </c>
      <c r="D31" s="33">
        <v>0</v>
      </c>
      <c r="E31" s="33">
        <v>0</v>
      </c>
      <c r="F31" s="33">
        <v>1541</v>
      </c>
      <c r="G31" s="33">
        <v>0</v>
      </c>
      <c r="H31" s="33">
        <v>0</v>
      </c>
      <c r="I31" s="33"/>
      <c r="J31" s="33"/>
      <c r="K31" s="33"/>
      <c r="L31" s="33"/>
      <c r="M31" s="33">
        <v>20880</v>
      </c>
      <c r="N31" s="33">
        <v>36775</v>
      </c>
      <c r="O31" s="13">
        <f>N31/N$39</f>
        <v>3.7727428943683285E-2</v>
      </c>
      <c r="P31" s="14" t="s">
        <v>37</v>
      </c>
      <c r="Q31" s="3"/>
      <c r="R31" s="3" t="s">
        <v>38</v>
      </c>
      <c r="S31" s="10">
        <f>C42/1000</f>
        <v>412.17</v>
      </c>
      <c r="T31" s="12">
        <f>C43</f>
        <v>0.39230795061456153</v>
      </c>
    </row>
    <row r="32" spans="1:20" ht="15">
      <c r="A32" s="4" t="s">
        <v>39</v>
      </c>
      <c r="B32" s="33">
        <v>29467</v>
      </c>
      <c r="C32" s="33">
        <v>11201</v>
      </c>
      <c r="D32" s="33">
        <v>0</v>
      </c>
      <c r="E32" s="33">
        <v>8111</v>
      </c>
      <c r="F32" s="33">
        <v>698</v>
      </c>
      <c r="G32" s="33">
        <v>1684</v>
      </c>
      <c r="H32" s="33">
        <v>0</v>
      </c>
      <c r="I32" s="33"/>
      <c r="J32" s="33"/>
      <c r="K32" s="33"/>
      <c r="L32" s="33"/>
      <c r="M32" s="33">
        <v>94790</v>
      </c>
      <c r="N32" s="33">
        <v>145950</v>
      </c>
      <c r="O32" s="13">
        <f>N32/N$39</f>
        <v>0.14972993213679334</v>
      </c>
      <c r="P32" s="14" t="s">
        <v>40</v>
      </c>
      <c r="Q32" s="3"/>
      <c r="R32" s="3" t="s">
        <v>41</v>
      </c>
      <c r="S32" s="10">
        <f>I42/1000</f>
        <v>0</v>
      </c>
      <c r="T32" s="11">
        <f>I43</f>
        <v>0</v>
      </c>
    </row>
    <row r="33" spans="1:47" ht="15">
      <c r="A33" s="4" t="s">
        <v>42</v>
      </c>
      <c r="B33" s="33">
        <v>18403</v>
      </c>
      <c r="C33" s="33">
        <v>1287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/>
      <c r="J33" s="33"/>
      <c r="K33" s="33"/>
      <c r="L33" s="33"/>
      <c r="M33" s="33">
        <v>28622</v>
      </c>
      <c r="N33" s="33">
        <v>48312</v>
      </c>
      <c r="O33" s="13">
        <f>N33/N$39</f>
        <v>4.9563223579258381E-2</v>
      </c>
      <c r="P33" s="14" t="s">
        <v>43</v>
      </c>
      <c r="Q33" s="3"/>
      <c r="R33" s="3" t="s">
        <v>6</v>
      </c>
      <c r="S33" s="10">
        <f>H42/1000</f>
        <v>0</v>
      </c>
      <c r="T33" s="11">
        <f>H43</f>
        <v>0</v>
      </c>
    </row>
    <row r="34" spans="1:47" ht="15">
      <c r="A34" s="4" t="s">
        <v>44</v>
      </c>
      <c r="B34" s="33">
        <v>0</v>
      </c>
      <c r="C34" s="33">
        <v>371068</v>
      </c>
      <c r="D34" s="33">
        <v>0</v>
      </c>
      <c r="E34" s="33">
        <v>0</v>
      </c>
      <c r="F34" s="33">
        <v>35727</v>
      </c>
      <c r="G34" s="33">
        <v>0</v>
      </c>
      <c r="H34" s="33">
        <v>0</v>
      </c>
      <c r="I34" s="33"/>
      <c r="J34" s="33"/>
      <c r="K34" s="33"/>
      <c r="L34" s="33"/>
      <c r="M34" s="33">
        <v>8</v>
      </c>
      <c r="N34" s="33">
        <v>406803</v>
      </c>
      <c r="O34" s="13">
        <f>N34/N$39</f>
        <v>0.41733871588245253</v>
      </c>
      <c r="P34" s="14" t="s">
        <v>45</v>
      </c>
      <c r="Q34" s="3"/>
      <c r="R34" s="3"/>
      <c r="S34" s="10">
        <f>SUM(S26:S33)</f>
        <v>904.14272000000005</v>
      </c>
      <c r="T34" s="11">
        <f>SUM(T26:T33)</f>
        <v>0.86057301003536246</v>
      </c>
    </row>
    <row r="35" spans="1:47" ht="15">
      <c r="A35" s="4" t="s">
        <v>46</v>
      </c>
      <c r="B35" s="33">
        <v>20787</v>
      </c>
      <c r="C35" s="33">
        <v>13085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>
        <v>51475</v>
      </c>
      <c r="N35" s="33">
        <v>85348</v>
      </c>
      <c r="O35" s="13">
        <f>N35/N$39</f>
        <v>8.7558412113813211E-2</v>
      </c>
      <c r="P35" s="14" t="s">
        <v>47</v>
      </c>
      <c r="Q35" s="14"/>
    </row>
    <row r="36" spans="1:47" ht="15">
      <c r="A36" s="4" t="s">
        <v>48</v>
      </c>
      <c r="B36" s="33">
        <v>42086</v>
      </c>
      <c r="C36" s="33">
        <v>484</v>
      </c>
      <c r="D36" s="33">
        <v>0</v>
      </c>
      <c r="E36" s="33">
        <v>0</v>
      </c>
      <c r="F36" s="33">
        <v>0</v>
      </c>
      <c r="G36" s="33">
        <v>63646</v>
      </c>
      <c r="H36" s="33">
        <v>0</v>
      </c>
      <c r="I36" s="33"/>
      <c r="J36" s="33"/>
      <c r="K36" s="33"/>
      <c r="L36" s="33"/>
      <c r="M36" s="33">
        <v>74646</v>
      </c>
      <c r="N36" s="33">
        <v>180862</v>
      </c>
      <c r="O36" s="14"/>
      <c r="P36" s="14"/>
      <c r="Q36" s="3"/>
      <c r="R36" s="6"/>
      <c r="S36" s="6"/>
      <c r="T36" s="6"/>
    </row>
    <row r="37" spans="1:47" ht="15">
      <c r="A37" s="4" t="s">
        <v>49</v>
      </c>
      <c r="B37" s="33">
        <v>44955</v>
      </c>
      <c r="C37" s="33">
        <v>188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/>
      <c r="J37" s="33"/>
      <c r="K37" s="33"/>
      <c r="L37" s="33"/>
      <c r="M37" s="33">
        <v>12089</v>
      </c>
      <c r="N37" s="33">
        <v>57232</v>
      </c>
      <c r="O37" s="14"/>
      <c r="P37" s="14"/>
      <c r="Q37" s="3"/>
      <c r="R37" s="6"/>
      <c r="S37" s="6" t="s">
        <v>28</v>
      </c>
      <c r="T37" s="6" t="s">
        <v>29</v>
      </c>
    </row>
    <row r="38" spans="1:47" ht="15">
      <c r="A38" s="4" t="s">
        <v>50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>
        <v>13474</v>
      </c>
      <c r="N38" s="33">
        <v>13474</v>
      </c>
      <c r="O38" s="14">
        <f>SUM(O31:O35)</f>
        <v>0.74191771265600071</v>
      </c>
      <c r="P38" s="14"/>
      <c r="Q38" s="3"/>
      <c r="R38" s="6" t="s">
        <v>51</v>
      </c>
      <c r="S38" s="15">
        <f>N45/1000</f>
        <v>63.771720000000002</v>
      </c>
      <c r="T38" s="6"/>
    </row>
    <row r="39" spans="1:47" ht="15">
      <c r="A39" s="4" t="s">
        <v>17</v>
      </c>
      <c r="B39" s="33">
        <v>155698</v>
      </c>
      <c r="C39" s="33">
        <v>411666</v>
      </c>
      <c r="D39" s="33">
        <v>0</v>
      </c>
      <c r="E39" s="33">
        <v>8111</v>
      </c>
      <c r="F39" s="33">
        <v>37966</v>
      </c>
      <c r="G39" s="33">
        <v>65330</v>
      </c>
      <c r="H39" s="33">
        <v>0</v>
      </c>
      <c r="I39" s="33"/>
      <c r="J39" s="33"/>
      <c r="K39" s="33"/>
      <c r="L39" s="33"/>
      <c r="M39" s="33">
        <v>295984</v>
      </c>
      <c r="N39" s="33">
        <v>974755</v>
      </c>
      <c r="O39" s="3"/>
      <c r="P39" s="3"/>
      <c r="Q39" s="3"/>
      <c r="R39" s="6" t="s">
        <v>52</v>
      </c>
      <c r="S39" s="16">
        <f>N41/1000</f>
        <v>251.56800000000001</v>
      </c>
      <c r="T39" s="11">
        <f>O41</f>
        <v>0.25808331324281486</v>
      </c>
    </row>
    <row r="40" spans="1:47">
      <c r="R40" s="6" t="s">
        <v>53</v>
      </c>
      <c r="S40" s="16">
        <f>N35/1000</f>
        <v>85.347999999999999</v>
      </c>
      <c r="T40" s="12">
        <f>O35</f>
        <v>8.7558412113813211E-2</v>
      </c>
    </row>
    <row r="41" spans="1:47" ht="15">
      <c r="A41" s="17" t="s">
        <v>54</v>
      </c>
      <c r="B41" s="18">
        <f>B38+B37+B36</f>
        <v>87041</v>
      </c>
      <c r="C41" s="18">
        <f t="shared" ref="C41:N41" si="0">C38+C37+C36</f>
        <v>672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63646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100209</v>
      </c>
      <c r="N41" s="18">
        <f t="shared" si="0"/>
        <v>251568</v>
      </c>
      <c r="O41" s="13">
        <f>N41/N$39</f>
        <v>0.25808331324281486</v>
      </c>
      <c r="P41" s="13" t="s">
        <v>55</v>
      </c>
      <c r="Q41" s="6"/>
      <c r="R41" s="6" t="s">
        <v>56</v>
      </c>
      <c r="S41" s="16">
        <f>N33/1000</f>
        <v>48.311999999999998</v>
      </c>
      <c r="T41" s="11">
        <f>O33</f>
        <v>4.9563223579258381E-2</v>
      </c>
    </row>
    <row r="42" spans="1:47" ht="15">
      <c r="A42" s="19" t="s">
        <v>57</v>
      </c>
      <c r="B42" s="18"/>
      <c r="C42" s="20">
        <f>C39+C23+C10</f>
        <v>412170</v>
      </c>
      <c r="D42" s="20">
        <f t="shared" ref="D42:L42" si="1">D39+D23+D10</f>
        <v>0</v>
      </c>
      <c r="E42" s="20">
        <f t="shared" si="1"/>
        <v>9861</v>
      </c>
      <c r="F42" s="20">
        <f t="shared" si="1"/>
        <v>37966</v>
      </c>
      <c r="G42" s="20">
        <f t="shared" si="1"/>
        <v>102886</v>
      </c>
      <c r="H42" s="20">
        <f t="shared" si="1"/>
        <v>0</v>
      </c>
      <c r="I42" s="20">
        <f t="shared" si="1"/>
        <v>0</v>
      </c>
      <c r="J42" s="20">
        <f t="shared" si="1"/>
        <v>39442</v>
      </c>
      <c r="K42" s="20">
        <f t="shared" si="1"/>
        <v>146486</v>
      </c>
      <c r="L42" s="20">
        <f t="shared" si="1"/>
        <v>0</v>
      </c>
      <c r="M42" s="20">
        <f>M39+M23-B6+M45</f>
        <v>301817.71999999997</v>
      </c>
      <c r="N42" s="21">
        <f>SUM(C42:M42)</f>
        <v>1050628.72</v>
      </c>
      <c r="O42" s="6"/>
      <c r="P42" s="6"/>
      <c r="Q42" s="6"/>
      <c r="R42" s="6" t="s">
        <v>37</v>
      </c>
      <c r="S42" s="16">
        <f>N31/1000</f>
        <v>36.774999999999999</v>
      </c>
      <c r="T42" s="11">
        <f>O31</f>
        <v>3.7727428943683285E-2</v>
      </c>
    </row>
    <row r="43" spans="1:47" ht="15">
      <c r="A43" s="19" t="s">
        <v>58</v>
      </c>
      <c r="B43" s="18"/>
      <c r="C43" s="13">
        <f t="shared" ref="C43:M43" si="2">C42/$N42</f>
        <v>0.39230795061456153</v>
      </c>
      <c r="D43" s="13">
        <f t="shared" si="2"/>
        <v>0</v>
      </c>
      <c r="E43" s="13">
        <f t="shared" si="2"/>
        <v>9.3858085280592758E-3</v>
      </c>
      <c r="F43" s="13">
        <f t="shared" si="2"/>
        <v>3.6136457415708187E-2</v>
      </c>
      <c r="G43" s="13">
        <f t="shared" si="2"/>
        <v>9.7928029228060695E-2</v>
      </c>
      <c r="H43" s="13">
        <f t="shared" si="2"/>
        <v>0</v>
      </c>
      <c r="I43" s="13">
        <f t="shared" si="2"/>
        <v>0</v>
      </c>
      <c r="J43" s="13">
        <f t="shared" si="2"/>
        <v>3.7541330490184967E-2</v>
      </c>
      <c r="K43" s="13">
        <f t="shared" si="2"/>
        <v>0.13942698996463757</v>
      </c>
      <c r="L43" s="13">
        <f t="shared" si="2"/>
        <v>0</v>
      </c>
      <c r="M43" s="13">
        <f t="shared" si="2"/>
        <v>0.28727343375878778</v>
      </c>
      <c r="N43" s="13">
        <f>SUM(C43:M43)</f>
        <v>0.99999999999999989</v>
      </c>
      <c r="O43" s="6"/>
      <c r="P43" s="6"/>
      <c r="Q43" s="6"/>
      <c r="R43" s="6" t="s">
        <v>59</v>
      </c>
      <c r="S43" s="16">
        <f>N32/1000</f>
        <v>145.94999999999999</v>
      </c>
      <c r="T43" s="12">
        <f>O32</f>
        <v>0.14972993213679334</v>
      </c>
    </row>
    <row r="44" spans="1:4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"/>
      <c r="R44" s="6" t="s">
        <v>60</v>
      </c>
      <c r="S44" s="16">
        <f>N34/1000</f>
        <v>406.803</v>
      </c>
      <c r="T44" s="12">
        <f>O34</f>
        <v>0.41733871588245253</v>
      </c>
    </row>
    <row r="45" spans="1:47" ht="15">
      <c r="A45" s="5" t="s">
        <v>61</v>
      </c>
      <c r="B45" s="5">
        <f>B23-B39</f>
        <v>40093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22">
        <f>M39*0.08</f>
        <v>23678.720000000001</v>
      </c>
      <c r="N45" s="21">
        <f>B45+M45</f>
        <v>63771.72</v>
      </c>
      <c r="O45" s="6"/>
      <c r="P45" s="6"/>
      <c r="Q45" s="6"/>
      <c r="R45" s="6" t="s">
        <v>62</v>
      </c>
      <c r="S45" s="16">
        <f>SUM(S39:S44)</f>
        <v>974.75599999999997</v>
      </c>
      <c r="T45" s="11">
        <f>SUM(T39:T44)</f>
        <v>1.0000010258988157</v>
      </c>
    </row>
    <row r="46" spans="1:47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/>
      <c r="N46" s="5"/>
      <c r="O46" s="6"/>
      <c r="P46" s="6"/>
      <c r="Q46" s="6"/>
    </row>
    <row r="47" spans="1:47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3"/>
      <c r="R47" s="23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3"/>
      <c r="AH47" s="23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>
      <c r="A48" s="24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3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3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>
      <c r="A55" s="24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3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3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>
      <c r="A56" s="24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27"/>
      <c r="N57" s="6"/>
      <c r="O57" s="5"/>
      <c r="P57" s="11"/>
      <c r="Q57" s="6"/>
      <c r="R57" s="6"/>
      <c r="S57" s="5"/>
      <c r="T57" s="35"/>
    </row>
    <row r="58" spans="1:47" ht="15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27"/>
      <c r="N58" s="6"/>
      <c r="O58" s="5"/>
      <c r="P58" s="11"/>
      <c r="Q58" s="6"/>
      <c r="R58" s="6"/>
      <c r="S58" s="5"/>
      <c r="T58" s="35"/>
    </row>
    <row r="59" spans="1:47" ht="15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27"/>
      <c r="N59" s="6"/>
      <c r="O59" s="5"/>
      <c r="P59" s="11"/>
      <c r="Q59" s="6"/>
      <c r="R59" s="6"/>
      <c r="S59" s="5"/>
      <c r="T59" s="35"/>
    </row>
    <row r="60" spans="1:47" ht="15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27"/>
      <c r="N60" s="6"/>
      <c r="O60" s="5"/>
      <c r="P60" s="11"/>
      <c r="Q60" s="6"/>
      <c r="R60" s="6"/>
      <c r="S60" s="5"/>
      <c r="T60" s="35"/>
    </row>
    <row r="61" spans="1:47" ht="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27"/>
      <c r="N61" s="6"/>
      <c r="O61" s="5"/>
      <c r="P61" s="11"/>
      <c r="Q61" s="6"/>
      <c r="R61" s="6"/>
      <c r="S61" s="28"/>
      <c r="T61" s="29"/>
    </row>
    <row r="62" spans="1: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</row>
    <row r="63" spans="1:47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30"/>
      <c r="T63" s="31"/>
    </row>
    <row r="64" spans="1:47" ht="15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5"/>
      <c r="P64" s="27"/>
      <c r="Q64" s="6"/>
      <c r="R64" s="6"/>
      <c r="S64" s="5"/>
      <c r="T64" s="35"/>
    </row>
    <row r="65" spans="1:20" ht="15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5"/>
      <c r="P65" s="27"/>
      <c r="Q65" s="6"/>
      <c r="R65" s="6"/>
      <c r="S65" s="5"/>
      <c r="T65" s="35"/>
    </row>
    <row r="66" spans="1:20" ht="15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5"/>
      <c r="P66" s="27"/>
      <c r="Q66" s="6"/>
      <c r="R66" s="6"/>
      <c r="S66" s="5"/>
      <c r="T66" s="35"/>
    </row>
    <row r="67" spans="1:20" ht="15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5"/>
      <c r="P67" s="27"/>
      <c r="Q67" s="6"/>
      <c r="R67" s="6"/>
      <c r="S67" s="5"/>
      <c r="T67" s="35"/>
    </row>
    <row r="68" spans="1:20" ht="15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5"/>
      <c r="P68" s="27"/>
      <c r="Q68" s="6"/>
      <c r="R68" s="6"/>
      <c r="S68" s="5"/>
      <c r="T68" s="35"/>
    </row>
    <row r="69" spans="1:20" ht="15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5"/>
      <c r="P69" s="27"/>
      <c r="Q69" s="6"/>
      <c r="R69" s="6"/>
      <c r="S69" s="5"/>
      <c r="T69" s="35"/>
    </row>
    <row r="70" spans="1:20" ht="15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28"/>
      <c r="P70" s="32"/>
      <c r="Q70" s="6"/>
      <c r="R70" s="36"/>
      <c r="S70" s="28"/>
      <c r="T70" s="32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FE420C46-E8A6-49F0-9C84-996B6056D4E6}"/>
</file>

<file path=customXml/itemProps2.xml><?xml version="1.0" encoding="utf-8"?>
<ds:datastoreItem xmlns:ds="http://schemas.openxmlformats.org/officeDocument/2006/customXml" ds:itemID="{CCB1AB6B-F7CE-469D-A7C6-5353E4DEF09B}"/>
</file>

<file path=customXml/itemProps3.xml><?xml version="1.0" encoding="utf-8"?>
<ds:datastoreItem xmlns:ds="http://schemas.openxmlformats.org/officeDocument/2006/customXml" ds:itemID="{2AD2B14D-2673-4FCA-84D7-34953FC60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Kronobergs län</vt:lpstr>
      <vt:lpstr>Uppvidinge</vt:lpstr>
      <vt:lpstr>Lessebo</vt:lpstr>
      <vt:lpstr>Tingsryd</vt:lpstr>
      <vt:lpstr>Alvesta</vt:lpstr>
      <vt:lpstr>Älmhult</vt:lpstr>
      <vt:lpstr>Markaryd</vt:lpstr>
      <vt:lpstr>Växjö</vt:lpstr>
      <vt:lpstr>Ljungby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2016-02-06T10:28:02Z</dcterms:created>
  <dcterms:modified xsi:type="dcterms:W3CDTF">2016-03-30T00:07:48Z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