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9.xml" ContentType="application/vnd.openxmlformats-officedocument.spreadsheetml.comments+xml"/>
  <Override PartName="/xl/comments4.xml" ContentType="application/vnd.openxmlformats-officedocument.spreadsheetml.comments+xml"/>
  <Override PartName="/xl/comments8.xml" ContentType="application/vnd.openxmlformats-officedocument.spreadsheetml.comments+xml"/>
  <Override PartName="/xl/comments7.xml" ContentType="application/vnd.openxmlformats-officedocument.spreadsheetml.comments+xml"/>
  <Override PartName="/xl/comments5.xml" ContentType="application/vnd.openxmlformats-officedocument.spreadsheetml.comments+xml"/>
  <Override PartName="/xl/comments10.xml" ContentType="application/vnd.openxmlformats-officedocument.spreadsheetml.comments+xml"/>
  <Override PartName="/xl/comments3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xl/comments14.xml" ContentType="application/vnd.openxmlformats-officedocument.spreadsheetml.comments+xml"/>
  <Override PartName="/xl/comments13.xml" ContentType="application/vnd.openxmlformats-officedocument.spreadsheetml.comments+xml"/>
  <Override PartName="/xl/comments2.xml" ContentType="application/vnd.openxmlformats-officedocument.spreadsheetml.comments+xml"/>
  <Override PartName="/xl/comments12.xml" ContentType="application/vnd.openxmlformats-officedocument.spreadsheetml.comment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codeName="ThisWorkbook" autoCompressPictures="0"/>
  <bookViews>
    <workbookView xWindow="1680" yWindow="1160" windowWidth="25600" windowHeight="16060" tabRatio="938"/>
  </bookViews>
  <sheets>
    <sheet name="Norrbotten" sheetId="18" r:id="rId1"/>
    <sheet name="Arvidsjaur" sheetId="2" r:id="rId2"/>
    <sheet name="Arjeplog" sheetId="3" r:id="rId3"/>
    <sheet name="Jokkmokk" sheetId="4" r:id="rId4"/>
    <sheet name="Överkalix" sheetId="5" r:id="rId5"/>
    <sheet name="Kalix" sheetId="6" r:id="rId6"/>
    <sheet name="Övertorneå" sheetId="7" r:id="rId7"/>
    <sheet name="Pajala" sheetId="8" r:id="rId8"/>
    <sheet name="Gällivare" sheetId="9" r:id="rId9"/>
    <sheet name="Älvsbyn" sheetId="10" r:id="rId10"/>
    <sheet name="Luleå" sheetId="11" r:id="rId11"/>
    <sheet name="Piteå" sheetId="12" r:id="rId12"/>
    <sheet name="Boden" sheetId="13" r:id="rId13"/>
    <sheet name="Haparanda" sheetId="14" r:id="rId14"/>
    <sheet name="Kiruna" sheetId="15" r:id="rId1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8" l="1"/>
  <c r="K52" i="15"/>
  <c r="C53" i="15"/>
  <c r="G53" i="15"/>
  <c r="K53" i="15"/>
  <c r="K51" i="15"/>
  <c r="N38" i="18"/>
  <c r="N37" i="18"/>
  <c r="N36" i="18"/>
  <c r="N41" i="18"/>
  <c r="N31" i="18"/>
  <c r="N32" i="18"/>
  <c r="N33" i="18"/>
  <c r="N34" i="18"/>
  <c r="N35" i="18"/>
  <c r="N39" i="18"/>
  <c r="O41" i="18"/>
  <c r="T42" i="18"/>
  <c r="O35" i="18"/>
  <c r="T43" i="18"/>
  <c r="O33" i="18"/>
  <c r="T44" i="18"/>
  <c r="O31" i="18"/>
  <c r="T45" i="18"/>
  <c r="O32" i="18"/>
  <c r="T46" i="18"/>
  <c r="O34" i="18"/>
  <c r="T47" i="18"/>
  <c r="T48" i="18"/>
  <c r="S42" i="18"/>
  <c r="S43" i="18"/>
  <c r="S44" i="18"/>
  <c r="S45" i="18"/>
  <c r="S46" i="18"/>
  <c r="S47" i="18"/>
  <c r="S48" i="18"/>
  <c r="B23" i="18"/>
  <c r="B39" i="18"/>
  <c r="B45" i="18"/>
  <c r="B46" i="18"/>
  <c r="M39" i="18"/>
  <c r="M45" i="18"/>
  <c r="N45" i="18"/>
  <c r="B42" i="18"/>
  <c r="C39" i="18"/>
  <c r="C23" i="18"/>
  <c r="C10" i="18"/>
  <c r="C42" i="18"/>
  <c r="D39" i="18"/>
  <c r="D23" i="18"/>
  <c r="D10" i="18"/>
  <c r="D42" i="18"/>
  <c r="E39" i="18"/>
  <c r="E23" i="18"/>
  <c r="E10" i="18"/>
  <c r="E42" i="18"/>
  <c r="F39" i="18"/>
  <c r="F23" i="18"/>
  <c r="F10" i="18"/>
  <c r="F42" i="18"/>
  <c r="G39" i="18"/>
  <c r="G23" i="18"/>
  <c r="G10" i="18"/>
  <c r="G42" i="18"/>
  <c r="H39" i="18"/>
  <c r="H23" i="18"/>
  <c r="H10" i="18"/>
  <c r="H42" i="18"/>
  <c r="I39" i="18"/>
  <c r="I23" i="18"/>
  <c r="I10" i="18"/>
  <c r="I42" i="18"/>
  <c r="J39" i="18"/>
  <c r="J23" i="18"/>
  <c r="J10" i="18"/>
  <c r="J42" i="18"/>
  <c r="K39" i="18"/>
  <c r="K23" i="18"/>
  <c r="K10" i="18"/>
  <c r="K42" i="18"/>
  <c r="L39" i="18"/>
  <c r="L42" i="18"/>
  <c r="M23" i="18"/>
  <c r="M42" i="18"/>
  <c r="N42" i="18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S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O38" i="18"/>
  <c r="T25" i="18"/>
  <c r="T26" i="18"/>
  <c r="T27" i="18"/>
  <c r="T28" i="18"/>
  <c r="T29" i="18"/>
  <c r="T30" i="18"/>
  <c r="T31" i="18"/>
  <c r="T32" i="18"/>
  <c r="T33" i="18"/>
  <c r="T34" i="18"/>
  <c r="T35" i="18"/>
  <c r="T36" i="18"/>
  <c r="T37" i="18"/>
  <c r="S25" i="18"/>
  <c r="S26" i="18"/>
  <c r="S27" i="18"/>
  <c r="S28" i="18"/>
  <c r="S29" i="18"/>
  <c r="S30" i="18"/>
  <c r="S31" i="18"/>
  <c r="S32" i="18"/>
  <c r="S33" i="18"/>
  <c r="S34" i="18"/>
  <c r="S35" i="18"/>
  <c r="S36" i="18"/>
  <c r="S37" i="18"/>
  <c r="V31" i="18"/>
  <c r="U31" i="18"/>
  <c r="S23" i="18"/>
  <c r="N17" i="18"/>
  <c r="N18" i="18"/>
  <c r="N19" i="18"/>
  <c r="N20" i="18"/>
  <c r="N23" i="18"/>
  <c r="L23" i="18"/>
  <c r="N7" i="18"/>
  <c r="N10" i="18"/>
  <c r="L10" i="18"/>
  <c r="B10" i="18"/>
  <c r="C32" i="8"/>
  <c r="C39" i="8"/>
  <c r="C32" i="9"/>
  <c r="C39" i="9"/>
  <c r="C39" i="10"/>
  <c r="C32" i="15"/>
  <c r="C39" i="15"/>
  <c r="C23" i="11"/>
  <c r="C23" i="15"/>
  <c r="D39" i="15"/>
  <c r="F39" i="8"/>
  <c r="F39" i="9"/>
  <c r="F39" i="12"/>
  <c r="G39" i="8"/>
  <c r="G39" i="9"/>
  <c r="G39" i="11"/>
  <c r="G39" i="12"/>
  <c r="G39" i="15"/>
  <c r="I39" i="12"/>
  <c r="L39" i="6"/>
  <c r="L39" i="12"/>
  <c r="M39" i="6"/>
  <c r="M39" i="11"/>
  <c r="M32" i="12"/>
  <c r="M39" i="12"/>
  <c r="M19" i="15"/>
  <c r="M23" i="15"/>
  <c r="N18" i="3"/>
  <c r="N19" i="3"/>
  <c r="N20" i="3"/>
  <c r="N21" i="3"/>
  <c r="N22" i="3"/>
  <c r="N23" i="4"/>
  <c r="N23" i="12"/>
  <c r="N23" i="15"/>
  <c r="K17" i="13"/>
  <c r="N17" i="3"/>
  <c r="N17" i="11"/>
  <c r="N17" i="15"/>
  <c r="N31" i="3"/>
  <c r="N32" i="3"/>
  <c r="N33" i="3"/>
  <c r="N37" i="3"/>
  <c r="N39" i="3"/>
  <c r="L32" i="6"/>
  <c r="N32" i="6"/>
  <c r="N39" i="6"/>
  <c r="N32" i="11"/>
  <c r="N39" i="11"/>
  <c r="C31" i="5"/>
  <c r="N31" i="5"/>
  <c r="N36" i="10"/>
  <c r="N31" i="10"/>
  <c r="N32" i="9"/>
  <c r="N36" i="9"/>
  <c r="L32" i="12"/>
  <c r="G32" i="12"/>
  <c r="G36" i="5"/>
  <c r="G36" i="15"/>
  <c r="F32" i="3"/>
  <c r="D32" i="15"/>
  <c r="C32" i="3"/>
  <c r="C32" i="4"/>
  <c r="B17" i="9"/>
  <c r="B17" i="13"/>
  <c r="B17" i="15"/>
  <c r="B18" i="2"/>
  <c r="B18" i="4"/>
  <c r="B18" i="5"/>
  <c r="B18" i="6"/>
  <c r="B18" i="15"/>
  <c r="B23" i="15"/>
  <c r="B8" i="4"/>
  <c r="B10" i="3"/>
  <c r="B10" i="9"/>
  <c r="B10" i="12"/>
  <c r="B10" i="15"/>
  <c r="B47" i="3"/>
  <c r="B47" i="2"/>
  <c r="B47" i="15"/>
  <c r="B47" i="14"/>
  <c r="B47" i="13"/>
  <c r="B47" i="12"/>
  <c r="B47" i="11"/>
  <c r="B47" i="10"/>
  <c r="B47" i="9"/>
  <c r="B47" i="8"/>
  <c r="B47" i="7"/>
  <c r="B47" i="6"/>
  <c r="B47" i="5"/>
  <c r="B47" i="4"/>
  <c r="N41" i="15"/>
  <c r="O41" i="15"/>
  <c r="T39" i="15"/>
  <c r="O35" i="15"/>
  <c r="T40" i="15"/>
  <c r="O33" i="15"/>
  <c r="T41" i="15"/>
  <c r="O31" i="15"/>
  <c r="T42" i="15"/>
  <c r="O32" i="15"/>
  <c r="T43" i="15"/>
  <c r="O34" i="15"/>
  <c r="T44" i="15"/>
  <c r="T45" i="15"/>
  <c r="S39" i="15"/>
  <c r="S40" i="15"/>
  <c r="S41" i="15"/>
  <c r="S42" i="15"/>
  <c r="S43" i="15"/>
  <c r="S44" i="15"/>
  <c r="S45" i="15"/>
  <c r="B45" i="15"/>
  <c r="M45" i="15"/>
  <c r="N45" i="15"/>
  <c r="C42" i="15"/>
  <c r="M42" i="15"/>
  <c r="D42" i="15"/>
  <c r="E42" i="15"/>
  <c r="F42" i="15"/>
  <c r="G42" i="15"/>
  <c r="H42" i="15"/>
  <c r="I42" i="15"/>
  <c r="J42" i="15"/>
  <c r="K42" i="15"/>
  <c r="L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S38" i="15"/>
  <c r="O38" i="15"/>
  <c r="T26" i="15"/>
  <c r="T27" i="15"/>
  <c r="T28" i="15"/>
  <c r="T29" i="15"/>
  <c r="T30" i="15"/>
  <c r="T31" i="15"/>
  <c r="T32" i="15"/>
  <c r="T33" i="15"/>
  <c r="T34" i="15"/>
  <c r="S26" i="15"/>
  <c r="S27" i="15"/>
  <c r="S30" i="15"/>
  <c r="S31" i="15"/>
  <c r="S28" i="15"/>
  <c r="S29" i="15"/>
  <c r="S32" i="15"/>
  <c r="S33" i="15"/>
  <c r="S34" i="15"/>
  <c r="S23" i="15"/>
  <c r="N41" i="14"/>
  <c r="O41" i="14"/>
  <c r="T39" i="14"/>
  <c r="O35" i="14"/>
  <c r="T40" i="14"/>
  <c r="O33" i="14"/>
  <c r="T41" i="14"/>
  <c r="O31" i="14"/>
  <c r="T42" i="14"/>
  <c r="O32" i="14"/>
  <c r="T43" i="14"/>
  <c r="O34" i="14"/>
  <c r="T44" i="14"/>
  <c r="T45" i="14"/>
  <c r="S39" i="14"/>
  <c r="S40" i="14"/>
  <c r="S41" i="14"/>
  <c r="S42" i="14"/>
  <c r="S43" i="14"/>
  <c r="S44" i="14"/>
  <c r="S45" i="14"/>
  <c r="B45" i="14"/>
  <c r="M45" i="14"/>
  <c r="N45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S38" i="14"/>
  <c r="O38" i="14"/>
  <c r="T26" i="14"/>
  <c r="T27" i="14"/>
  <c r="T28" i="14"/>
  <c r="T29" i="14"/>
  <c r="T30" i="14"/>
  <c r="T31" i="14"/>
  <c r="T32" i="14"/>
  <c r="T33" i="14"/>
  <c r="T34" i="14"/>
  <c r="S26" i="14"/>
  <c r="S27" i="14"/>
  <c r="S28" i="14"/>
  <c r="S29" i="14"/>
  <c r="S30" i="14"/>
  <c r="S31" i="14"/>
  <c r="S32" i="14"/>
  <c r="S33" i="14"/>
  <c r="S34" i="14"/>
  <c r="S23" i="14"/>
  <c r="N41" i="13"/>
  <c r="O41" i="13"/>
  <c r="T39" i="13"/>
  <c r="O35" i="13"/>
  <c r="T40" i="13"/>
  <c r="O33" i="13"/>
  <c r="T41" i="13"/>
  <c r="O31" i="13"/>
  <c r="T42" i="13"/>
  <c r="O32" i="13"/>
  <c r="T43" i="13"/>
  <c r="O34" i="13"/>
  <c r="T44" i="13"/>
  <c r="T45" i="13"/>
  <c r="S39" i="13"/>
  <c r="S40" i="13"/>
  <c r="S41" i="13"/>
  <c r="S42" i="13"/>
  <c r="S43" i="13"/>
  <c r="S44" i="13"/>
  <c r="S45" i="13"/>
  <c r="B45" i="13"/>
  <c r="M45" i="13"/>
  <c r="N45" i="13"/>
  <c r="C42" i="13"/>
  <c r="D42" i="13"/>
  <c r="E42" i="13"/>
  <c r="F42" i="13"/>
  <c r="G42" i="13"/>
  <c r="H42" i="13"/>
  <c r="I42" i="13"/>
  <c r="J42" i="13"/>
  <c r="K42" i="13"/>
  <c r="L42" i="13"/>
  <c r="M42" i="13"/>
  <c r="N42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S38" i="13"/>
  <c r="O38" i="13"/>
  <c r="T26" i="13"/>
  <c r="T27" i="13"/>
  <c r="T28" i="13"/>
  <c r="T29" i="13"/>
  <c r="T30" i="13"/>
  <c r="T31" i="13"/>
  <c r="T32" i="13"/>
  <c r="T33" i="13"/>
  <c r="T34" i="13"/>
  <c r="S26" i="13"/>
  <c r="S27" i="13"/>
  <c r="S28" i="13"/>
  <c r="S29" i="13"/>
  <c r="S30" i="13"/>
  <c r="S31" i="13"/>
  <c r="S32" i="13"/>
  <c r="S33" i="13"/>
  <c r="S34" i="13"/>
  <c r="S23" i="13"/>
  <c r="N41" i="12"/>
  <c r="O41" i="12"/>
  <c r="T39" i="12"/>
  <c r="O35" i="12"/>
  <c r="T40" i="12"/>
  <c r="O33" i="12"/>
  <c r="T41" i="12"/>
  <c r="O31" i="12"/>
  <c r="T42" i="12"/>
  <c r="O32" i="12"/>
  <c r="T43" i="12"/>
  <c r="O34" i="12"/>
  <c r="T44" i="12"/>
  <c r="T45" i="12"/>
  <c r="S39" i="12"/>
  <c r="S40" i="12"/>
  <c r="S41" i="12"/>
  <c r="S42" i="12"/>
  <c r="S43" i="12"/>
  <c r="S44" i="12"/>
  <c r="S45" i="12"/>
  <c r="B45" i="12"/>
  <c r="M45" i="12"/>
  <c r="N45" i="12"/>
  <c r="C42" i="12"/>
  <c r="D42" i="12"/>
  <c r="E42" i="12"/>
  <c r="M42" i="12"/>
  <c r="L42" i="12"/>
  <c r="F42" i="12"/>
  <c r="G42" i="12"/>
  <c r="H42" i="12"/>
  <c r="I42" i="12"/>
  <c r="J42" i="12"/>
  <c r="K42" i="12"/>
  <c r="N42" i="12"/>
  <c r="C43" i="12"/>
  <c r="D43" i="12"/>
  <c r="E43" i="12"/>
  <c r="F43" i="12"/>
  <c r="G43" i="12"/>
  <c r="H43" i="12"/>
  <c r="I43" i="12"/>
  <c r="J43" i="12"/>
  <c r="K43" i="12"/>
  <c r="L43" i="12"/>
  <c r="M43" i="12"/>
  <c r="N43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S38" i="12"/>
  <c r="O38" i="12"/>
  <c r="T26" i="12"/>
  <c r="T27" i="12"/>
  <c r="T28" i="12"/>
  <c r="T29" i="12"/>
  <c r="T30" i="12"/>
  <c r="T31" i="12"/>
  <c r="T32" i="12"/>
  <c r="T33" i="12"/>
  <c r="T34" i="12"/>
  <c r="S26" i="12"/>
  <c r="S27" i="12"/>
  <c r="S29" i="12"/>
  <c r="S28" i="12"/>
  <c r="S30" i="12"/>
  <c r="S31" i="12"/>
  <c r="S32" i="12"/>
  <c r="S33" i="12"/>
  <c r="S34" i="12"/>
  <c r="S23" i="12"/>
  <c r="N41" i="11"/>
  <c r="O41" i="11"/>
  <c r="T39" i="11"/>
  <c r="O35" i="11"/>
  <c r="T40" i="11"/>
  <c r="O33" i="11"/>
  <c r="T41" i="11"/>
  <c r="O31" i="11"/>
  <c r="T42" i="11"/>
  <c r="O32" i="11"/>
  <c r="T43" i="11"/>
  <c r="O34" i="11"/>
  <c r="T44" i="11"/>
  <c r="T45" i="11"/>
  <c r="S39" i="11"/>
  <c r="S40" i="11"/>
  <c r="S41" i="11"/>
  <c r="S42" i="11"/>
  <c r="S43" i="11"/>
  <c r="S44" i="11"/>
  <c r="S45" i="11"/>
  <c r="B45" i="11"/>
  <c r="M45" i="11"/>
  <c r="N45" i="11"/>
  <c r="C42" i="11"/>
  <c r="D42" i="11"/>
  <c r="E42" i="11"/>
  <c r="G42" i="11"/>
  <c r="M42" i="11"/>
  <c r="L42" i="11"/>
  <c r="F42" i="11"/>
  <c r="H42" i="11"/>
  <c r="I42" i="11"/>
  <c r="J42" i="11"/>
  <c r="K42" i="11"/>
  <c r="N42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S38" i="11"/>
  <c r="O38" i="11"/>
  <c r="T26" i="11"/>
  <c r="T27" i="11"/>
  <c r="T28" i="11"/>
  <c r="T29" i="11"/>
  <c r="T30" i="11"/>
  <c r="T31" i="11"/>
  <c r="T32" i="11"/>
  <c r="T33" i="11"/>
  <c r="T34" i="11"/>
  <c r="S26" i="11"/>
  <c r="S27" i="11"/>
  <c r="S30" i="11"/>
  <c r="S31" i="11"/>
  <c r="S28" i="11"/>
  <c r="S29" i="11"/>
  <c r="S32" i="11"/>
  <c r="S33" i="11"/>
  <c r="S34" i="11"/>
  <c r="S23" i="11"/>
  <c r="N41" i="10"/>
  <c r="O41" i="10"/>
  <c r="T39" i="10"/>
  <c r="O31" i="10"/>
  <c r="T42" i="10"/>
  <c r="O35" i="10"/>
  <c r="T40" i="10"/>
  <c r="O33" i="10"/>
  <c r="T41" i="10"/>
  <c r="O32" i="10"/>
  <c r="T43" i="10"/>
  <c r="O34" i="10"/>
  <c r="T44" i="10"/>
  <c r="T45" i="10"/>
  <c r="S39" i="10"/>
  <c r="S42" i="10"/>
  <c r="S40" i="10"/>
  <c r="S41" i="10"/>
  <c r="S43" i="10"/>
  <c r="S44" i="10"/>
  <c r="S45" i="10"/>
  <c r="B45" i="10"/>
  <c r="M45" i="10"/>
  <c r="N45" i="10"/>
  <c r="C42" i="10"/>
  <c r="G42" i="10"/>
  <c r="D42" i="10"/>
  <c r="E42" i="10"/>
  <c r="F42" i="10"/>
  <c r="H42" i="10"/>
  <c r="I42" i="10"/>
  <c r="J42" i="10"/>
  <c r="K42" i="10"/>
  <c r="L42" i="10"/>
  <c r="M42" i="10"/>
  <c r="N42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S38" i="10"/>
  <c r="O38" i="10"/>
  <c r="T26" i="10"/>
  <c r="T27" i="10"/>
  <c r="T28" i="10"/>
  <c r="T29" i="10"/>
  <c r="T30" i="10"/>
  <c r="T31" i="10"/>
  <c r="T32" i="10"/>
  <c r="T33" i="10"/>
  <c r="T34" i="10"/>
  <c r="S26" i="10"/>
  <c r="S27" i="10"/>
  <c r="S28" i="10"/>
  <c r="S29" i="10"/>
  <c r="S30" i="10"/>
  <c r="S31" i="10"/>
  <c r="S32" i="10"/>
  <c r="S33" i="10"/>
  <c r="S34" i="10"/>
  <c r="S23" i="10"/>
  <c r="N41" i="9"/>
  <c r="O41" i="9"/>
  <c r="T39" i="9"/>
  <c r="O32" i="9"/>
  <c r="T43" i="9"/>
  <c r="O35" i="9"/>
  <c r="T40" i="9"/>
  <c r="O33" i="9"/>
  <c r="T41" i="9"/>
  <c r="O31" i="9"/>
  <c r="T42" i="9"/>
  <c r="O34" i="9"/>
  <c r="T44" i="9"/>
  <c r="T45" i="9"/>
  <c r="S39" i="9"/>
  <c r="S43" i="9"/>
  <c r="S40" i="9"/>
  <c r="S41" i="9"/>
  <c r="S42" i="9"/>
  <c r="S44" i="9"/>
  <c r="S45" i="9"/>
  <c r="B45" i="9"/>
  <c r="M45" i="9"/>
  <c r="N45" i="9"/>
  <c r="C42" i="9"/>
  <c r="J42" i="9"/>
  <c r="G42" i="9"/>
  <c r="M42" i="9"/>
  <c r="D42" i="9"/>
  <c r="E42" i="9"/>
  <c r="F42" i="9"/>
  <c r="H42" i="9"/>
  <c r="I42" i="9"/>
  <c r="K42" i="9"/>
  <c r="L42" i="9"/>
  <c r="N42" i="9"/>
  <c r="C43" i="9"/>
  <c r="D43" i="9"/>
  <c r="E43" i="9"/>
  <c r="F43" i="9"/>
  <c r="G43" i="9"/>
  <c r="H43" i="9"/>
  <c r="I43" i="9"/>
  <c r="J43" i="9"/>
  <c r="K43" i="9"/>
  <c r="L43" i="9"/>
  <c r="M43" i="9"/>
  <c r="N43" i="9"/>
  <c r="M41" i="9"/>
  <c r="L41" i="9"/>
  <c r="K41" i="9"/>
  <c r="J41" i="9"/>
  <c r="I41" i="9"/>
  <c r="H41" i="9"/>
  <c r="G41" i="9"/>
  <c r="F41" i="9"/>
  <c r="E41" i="9"/>
  <c r="D41" i="9"/>
  <c r="C41" i="9"/>
  <c r="B41" i="9"/>
  <c r="S38" i="9"/>
  <c r="O38" i="9"/>
  <c r="T26" i="9"/>
  <c r="T27" i="9"/>
  <c r="T28" i="9"/>
  <c r="T29" i="9"/>
  <c r="T30" i="9"/>
  <c r="T31" i="9"/>
  <c r="T32" i="9"/>
  <c r="T33" i="9"/>
  <c r="T34" i="9"/>
  <c r="S26" i="9"/>
  <c r="S27" i="9"/>
  <c r="S31" i="9"/>
  <c r="S28" i="9"/>
  <c r="S29" i="9"/>
  <c r="S30" i="9"/>
  <c r="S32" i="9"/>
  <c r="S33" i="9"/>
  <c r="S34" i="9"/>
  <c r="S23" i="9"/>
  <c r="N41" i="8"/>
  <c r="O41" i="8"/>
  <c r="T39" i="8"/>
  <c r="O35" i="8"/>
  <c r="T40" i="8"/>
  <c r="O33" i="8"/>
  <c r="T41" i="8"/>
  <c r="O31" i="8"/>
  <c r="T42" i="8"/>
  <c r="O32" i="8"/>
  <c r="T43" i="8"/>
  <c r="O34" i="8"/>
  <c r="T44" i="8"/>
  <c r="T45" i="8"/>
  <c r="S39" i="8"/>
  <c r="S40" i="8"/>
  <c r="S41" i="8"/>
  <c r="S42" i="8"/>
  <c r="S43" i="8"/>
  <c r="S44" i="8"/>
  <c r="S45" i="8"/>
  <c r="B45" i="8"/>
  <c r="M45" i="8"/>
  <c r="N45" i="8"/>
  <c r="C42" i="8"/>
  <c r="D42" i="8"/>
  <c r="E42" i="8"/>
  <c r="F42" i="8"/>
  <c r="G42" i="8"/>
  <c r="H42" i="8"/>
  <c r="I42" i="8"/>
  <c r="J42" i="8"/>
  <c r="K42" i="8"/>
  <c r="L42" i="8"/>
  <c r="M42" i="8"/>
  <c r="N42" i="8"/>
  <c r="C43" i="8"/>
  <c r="D43" i="8"/>
  <c r="E43" i="8"/>
  <c r="F43" i="8"/>
  <c r="G43" i="8"/>
  <c r="H43" i="8"/>
  <c r="I43" i="8"/>
  <c r="J43" i="8"/>
  <c r="K43" i="8"/>
  <c r="L43" i="8"/>
  <c r="M43" i="8"/>
  <c r="N43" i="8"/>
  <c r="M41" i="8"/>
  <c r="L41" i="8"/>
  <c r="K41" i="8"/>
  <c r="J41" i="8"/>
  <c r="I41" i="8"/>
  <c r="H41" i="8"/>
  <c r="G41" i="8"/>
  <c r="F41" i="8"/>
  <c r="E41" i="8"/>
  <c r="D41" i="8"/>
  <c r="C41" i="8"/>
  <c r="B41" i="8"/>
  <c r="S38" i="8"/>
  <c r="O38" i="8"/>
  <c r="T26" i="8"/>
  <c r="T27" i="8"/>
  <c r="T28" i="8"/>
  <c r="T29" i="8"/>
  <c r="T30" i="8"/>
  <c r="T31" i="8"/>
  <c r="T32" i="8"/>
  <c r="T33" i="8"/>
  <c r="T34" i="8"/>
  <c r="S26" i="8"/>
  <c r="S27" i="8"/>
  <c r="S31" i="8"/>
  <c r="S28" i="8"/>
  <c r="S29" i="8"/>
  <c r="S30" i="8"/>
  <c r="S32" i="8"/>
  <c r="S33" i="8"/>
  <c r="S34" i="8"/>
  <c r="S23" i="8"/>
  <c r="N41" i="7"/>
  <c r="O41" i="7"/>
  <c r="T39" i="7"/>
  <c r="O35" i="7"/>
  <c r="T40" i="7"/>
  <c r="O33" i="7"/>
  <c r="T41" i="7"/>
  <c r="O31" i="7"/>
  <c r="T42" i="7"/>
  <c r="O32" i="7"/>
  <c r="T43" i="7"/>
  <c r="O34" i="7"/>
  <c r="T44" i="7"/>
  <c r="T45" i="7"/>
  <c r="S39" i="7"/>
  <c r="S40" i="7"/>
  <c r="S41" i="7"/>
  <c r="S42" i="7"/>
  <c r="S43" i="7"/>
  <c r="S44" i="7"/>
  <c r="S45" i="7"/>
  <c r="B45" i="7"/>
  <c r="M45" i="7"/>
  <c r="N45" i="7"/>
  <c r="C42" i="7"/>
  <c r="D42" i="7"/>
  <c r="E42" i="7"/>
  <c r="F42" i="7"/>
  <c r="G42" i="7"/>
  <c r="H42" i="7"/>
  <c r="I42" i="7"/>
  <c r="J42" i="7"/>
  <c r="K42" i="7"/>
  <c r="L42" i="7"/>
  <c r="M42" i="7"/>
  <c r="N42" i="7"/>
  <c r="C43" i="7"/>
  <c r="D43" i="7"/>
  <c r="E43" i="7"/>
  <c r="F43" i="7"/>
  <c r="G43" i="7"/>
  <c r="H43" i="7"/>
  <c r="I43" i="7"/>
  <c r="J43" i="7"/>
  <c r="K43" i="7"/>
  <c r="L43" i="7"/>
  <c r="M43" i="7"/>
  <c r="N43" i="7"/>
  <c r="M41" i="7"/>
  <c r="L41" i="7"/>
  <c r="K41" i="7"/>
  <c r="J41" i="7"/>
  <c r="I41" i="7"/>
  <c r="H41" i="7"/>
  <c r="G41" i="7"/>
  <c r="F41" i="7"/>
  <c r="E41" i="7"/>
  <c r="D41" i="7"/>
  <c r="C41" i="7"/>
  <c r="B41" i="7"/>
  <c r="S38" i="7"/>
  <c r="O38" i="7"/>
  <c r="T26" i="7"/>
  <c r="T27" i="7"/>
  <c r="T28" i="7"/>
  <c r="T29" i="7"/>
  <c r="T30" i="7"/>
  <c r="T31" i="7"/>
  <c r="T32" i="7"/>
  <c r="T33" i="7"/>
  <c r="T34" i="7"/>
  <c r="S26" i="7"/>
  <c r="S27" i="7"/>
  <c r="S28" i="7"/>
  <c r="S29" i="7"/>
  <c r="S30" i="7"/>
  <c r="S31" i="7"/>
  <c r="S32" i="7"/>
  <c r="S33" i="7"/>
  <c r="S34" i="7"/>
  <c r="S23" i="7"/>
  <c r="N41" i="6"/>
  <c r="O41" i="6"/>
  <c r="T39" i="6"/>
  <c r="O35" i="6"/>
  <c r="T40" i="6"/>
  <c r="O33" i="6"/>
  <c r="T41" i="6"/>
  <c r="O31" i="6"/>
  <c r="T42" i="6"/>
  <c r="O32" i="6"/>
  <c r="T43" i="6"/>
  <c r="O34" i="6"/>
  <c r="T44" i="6"/>
  <c r="T45" i="6"/>
  <c r="S39" i="6"/>
  <c r="S40" i="6"/>
  <c r="S41" i="6"/>
  <c r="S42" i="6"/>
  <c r="S43" i="6"/>
  <c r="S44" i="6"/>
  <c r="S45" i="6"/>
  <c r="B45" i="6"/>
  <c r="M45" i="6"/>
  <c r="N45" i="6"/>
  <c r="C42" i="6"/>
  <c r="F42" i="6"/>
  <c r="G42" i="6"/>
  <c r="H42" i="6"/>
  <c r="I42" i="6"/>
  <c r="M42" i="6"/>
  <c r="L42" i="6"/>
  <c r="D42" i="6"/>
  <c r="E42" i="6"/>
  <c r="J42" i="6"/>
  <c r="K42" i="6"/>
  <c r="N42" i="6"/>
  <c r="C43" i="6"/>
  <c r="D43" i="6"/>
  <c r="E43" i="6"/>
  <c r="F43" i="6"/>
  <c r="G43" i="6"/>
  <c r="H43" i="6"/>
  <c r="I43" i="6"/>
  <c r="J43" i="6"/>
  <c r="K43" i="6"/>
  <c r="L43" i="6"/>
  <c r="M43" i="6"/>
  <c r="N43" i="6"/>
  <c r="M41" i="6"/>
  <c r="L41" i="6"/>
  <c r="K41" i="6"/>
  <c r="J41" i="6"/>
  <c r="I41" i="6"/>
  <c r="H41" i="6"/>
  <c r="G41" i="6"/>
  <c r="F41" i="6"/>
  <c r="E41" i="6"/>
  <c r="D41" i="6"/>
  <c r="C41" i="6"/>
  <c r="B41" i="6"/>
  <c r="S38" i="6"/>
  <c r="O38" i="6"/>
  <c r="T26" i="6"/>
  <c r="T27" i="6"/>
  <c r="T28" i="6"/>
  <c r="T29" i="6"/>
  <c r="T30" i="6"/>
  <c r="T31" i="6"/>
  <c r="T32" i="6"/>
  <c r="T33" i="6"/>
  <c r="T34" i="6"/>
  <c r="S26" i="6"/>
  <c r="S27" i="6"/>
  <c r="S33" i="6"/>
  <c r="S32" i="6"/>
  <c r="S29" i="6"/>
  <c r="S31" i="6"/>
  <c r="S28" i="6"/>
  <c r="S30" i="6"/>
  <c r="S34" i="6"/>
  <c r="S23" i="6"/>
  <c r="N41" i="5"/>
  <c r="O41" i="5"/>
  <c r="T39" i="5"/>
  <c r="O31" i="5"/>
  <c r="T42" i="5"/>
  <c r="O35" i="5"/>
  <c r="T40" i="5"/>
  <c r="O33" i="5"/>
  <c r="T41" i="5"/>
  <c r="O32" i="5"/>
  <c r="T43" i="5"/>
  <c r="O34" i="5"/>
  <c r="T44" i="5"/>
  <c r="T45" i="5"/>
  <c r="S39" i="5"/>
  <c r="S42" i="5"/>
  <c r="S40" i="5"/>
  <c r="S41" i="5"/>
  <c r="S43" i="5"/>
  <c r="S44" i="5"/>
  <c r="S45" i="5"/>
  <c r="B45" i="5"/>
  <c r="M45" i="5"/>
  <c r="N45" i="5"/>
  <c r="C42" i="5"/>
  <c r="G42" i="5"/>
  <c r="D42" i="5"/>
  <c r="E42" i="5"/>
  <c r="F42" i="5"/>
  <c r="H42" i="5"/>
  <c r="I42" i="5"/>
  <c r="J42" i="5"/>
  <c r="K42" i="5"/>
  <c r="L42" i="5"/>
  <c r="M42" i="5"/>
  <c r="N42" i="5"/>
  <c r="C43" i="5"/>
  <c r="D43" i="5"/>
  <c r="E43" i="5"/>
  <c r="F43" i="5"/>
  <c r="G43" i="5"/>
  <c r="H43" i="5"/>
  <c r="I43" i="5"/>
  <c r="J43" i="5"/>
  <c r="K43" i="5"/>
  <c r="L43" i="5"/>
  <c r="M43" i="5"/>
  <c r="N43" i="5"/>
  <c r="M41" i="5"/>
  <c r="L41" i="5"/>
  <c r="K41" i="5"/>
  <c r="J41" i="5"/>
  <c r="I41" i="5"/>
  <c r="H41" i="5"/>
  <c r="G41" i="5"/>
  <c r="F41" i="5"/>
  <c r="E41" i="5"/>
  <c r="D41" i="5"/>
  <c r="C41" i="5"/>
  <c r="B41" i="5"/>
  <c r="S38" i="5"/>
  <c r="O38" i="5"/>
  <c r="T26" i="5"/>
  <c r="T27" i="5"/>
  <c r="T28" i="5"/>
  <c r="T29" i="5"/>
  <c r="T30" i="5"/>
  <c r="T31" i="5"/>
  <c r="T32" i="5"/>
  <c r="T33" i="5"/>
  <c r="T34" i="5"/>
  <c r="S26" i="5"/>
  <c r="S27" i="5"/>
  <c r="S28" i="5"/>
  <c r="S29" i="5"/>
  <c r="S30" i="5"/>
  <c r="S31" i="5"/>
  <c r="S32" i="5"/>
  <c r="S33" i="5"/>
  <c r="S34" i="5"/>
  <c r="S23" i="5"/>
  <c r="N41" i="4"/>
  <c r="O41" i="4"/>
  <c r="T39" i="4"/>
  <c r="O35" i="4"/>
  <c r="T40" i="4"/>
  <c r="O33" i="4"/>
  <c r="T41" i="4"/>
  <c r="O31" i="4"/>
  <c r="T42" i="4"/>
  <c r="O32" i="4"/>
  <c r="T43" i="4"/>
  <c r="O34" i="4"/>
  <c r="T44" i="4"/>
  <c r="T45" i="4"/>
  <c r="S39" i="4"/>
  <c r="S40" i="4"/>
  <c r="S41" i="4"/>
  <c r="S42" i="4"/>
  <c r="S43" i="4"/>
  <c r="S44" i="4"/>
  <c r="S45" i="4"/>
  <c r="B45" i="4"/>
  <c r="M45" i="4"/>
  <c r="N45" i="4"/>
  <c r="C42" i="4"/>
  <c r="D42" i="4"/>
  <c r="E42" i="4"/>
  <c r="M42" i="4"/>
  <c r="F42" i="4"/>
  <c r="G42" i="4"/>
  <c r="H42" i="4"/>
  <c r="I42" i="4"/>
  <c r="J42" i="4"/>
  <c r="K42" i="4"/>
  <c r="L42" i="4"/>
  <c r="N42" i="4"/>
  <c r="C43" i="4"/>
  <c r="D43" i="4"/>
  <c r="E43" i="4"/>
  <c r="F43" i="4"/>
  <c r="G43" i="4"/>
  <c r="H43" i="4"/>
  <c r="I43" i="4"/>
  <c r="J43" i="4"/>
  <c r="K43" i="4"/>
  <c r="L43" i="4"/>
  <c r="M43" i="4"/>
  <c r="N43" i="4"/>
  <c r="M41" i="4"/>
  <c r="L41" i="4"/>
  <c r="K41" i="4"/>
  <c r="J41" i="4"/>
  <c r="I41" i="4"/>
  <c r="H41" i="4"/>
  <c r="G41" i="4"/>
  <c r="F41" i="4"/>
  <c r="E41" i="4"/>
  <c r="D41" i="4"/>
  <c r="C41" i="4"/>
  <c r="B41" i="4"/>
  <c r="S38" i="4"/>
  <c r="O38" i="4"/>
  <c r="T26" i="4"/>
  <c r="T27" i="4"/>
  <c r="T28" i="4"/>
  <c r="T29" i="4"/>
  <c r="T30" i="4"/>
  <c r="T31" i="4"/>
  <c r="T32" i="4"/>
  <c r="T33" i="4"/>
  <c r="T34" i="4"/>
  <c r="S26" i="4"/>
  <c r="S27" i="4"/>
  <c r="S28" i="4"/>
  <c r="S29" i="4"/>
  <c r="S30" i="4"/>
  <c r="S31" i="4"/>
  <c r="S32" i="4"/>
  <c r="S33" i="4"/>
  <c r="S34" i="4"/>
  <c r="S23" i="4"/>
  <c r="N41" i="3"/>
  <c r="O41" i="3"/>
  <c r="T39" i="3"/>
  <c r="O35" i="3"/>
  <c r="T40" i="3"/>
  <c r="O33" i="3"/>
  <c r="T41" i="3"/>
  <c r="O31" i="3"/>
  <c r="T42" i="3"/>
  <c r="O32" i="3"/>
  <c r="T43" i="3"/>
  <c r="O34" i="3"/>
  <c r="T44" i="3"/>
  <c r="T45" i="3"/>
  <c r="S39" i="3"/>
  <c r="S40" i="3"/>
  <c r="S41" i="3"/>
  <c r="S42" i="3"/>
  <c r="S43" i="3"/>
  <c r="S44" i="3"/>
  <c r="S45" i="3"/>
  <c r="B45" i="3"/>
  <c r="M45" i="3"/>
  <c r="N45" i="3"/>
  <c r="C42" i="3"/>
  <c r="D42" i="3"/>
  <c r="E42" i="3"/>
  <c r="F42" i="3"/>
  <c r="G42" i="3"/>
  <c r="H42" i="3"/>
  <c r="I42" i="3"/>
  <c r="J42" i="3"/>
  <c r="K42" i="3"/>
  <c r="L42" i="3"/>
  <c r="M42" i="3"/>
  <c r="N42" i="3"/>
  <c r="C43" i="3"/>
  <c r="D43" i="3"/>
  <c r="E43" i="3"/>
  <c r="F43" i="3"/>
  <c r="G43" i="3"/>
  <c r="H43" i="3"/>
  <c r="I43" i="3"/>
  <c r="J43" i="3"/>
  <c r="K43" i="3"/>
  <c r="L43" i="3"/>
  <c r="M43" i="3"/>
  <c r="N43" i="3"/>
  <c r="M41" i="3"/>
  <c r="L41" i="3"/>
  <c r="K41" i="3"/>
  <c r="J41" i="3"/>
  <c r="I41" i="3"/>
  <c r="H41" i="3"/>
  <c r="G41" i="3"/>
  <c r="F41" i="3"/>
  <c r="E41" i="3"/>
  <c r="D41" i="3"/>
  <c r="C41" i="3"/>
  <c r="B41" i="3"/>
  <c r="S38" i="3"/>
  <c r="O38" i="3"/>
  <c r="T26" i="3"/>
  <c r="T27" i="3"/>
  <c r="T28" i="3"/>
  <c r="T29" i="3"/>
  <c r="T30" i="3"/>
  <c r="T31" i="3"/>
  <c r="T32" i="3"/>
  <c r="T33" i="3"/>
  <c r="T34" i="3"/>
  <c r="S26" i="3"/>
  <c r="S27" i="3"/>
  <c r="S28" i="3"/>
  <c r="S29" i="3"/>
  <c r="S30" i="3"/>
  <c r="S31" i="3"/>
  <c r="S32" i="3"/>
  <c r="S33" i="3"/>
  <c r="S34" i="3"/>
  <c r="S23" i="3"/>
  <c r="N41" i="2"/>
  <c r="O41" i="2"/>
  <c r="T39" i="2"/>
  <c r="O35" i="2"/>
  <c r="T40" i="2"/>
  <c r="O33" i="2"/>
  <c r="T41" i="2"/>
  <c r="O31" i="2"/>
  <c r="T42" i="2"/>
  <c r="O32" i="2"/>
  <c r="T43" i="2"/>
  <c r="O34" i="2"/>
  <c r="T44" i="2"/>
  <c r="T45" i="2"/>
  <c r="S39" i="2"/>
  <c r="S40" i="2"/>
  <c r="S41" i="2"/>
  <c r="S42" i="2"/>
  <c r="S43" i="2"/>
  <c r="S44" i="2"/>
  <c r="S45" i="2"/>
  <c r="B45" i="2"/>
  <c r="M45" i="2"/>
  <c r="N45" i="2"/>
  <c r="C42" i="2"/>
  <c r="D42" i="2"/>
  <c r="E42" i="2"/>
  <c r="F42" i="2"/>
  <c r="G42" i="2"/>
  <c r="H42" i="2"/>
  <c r="I42" i="2"/>
  <c r="J42" i="2"/>
  <c r="K42" i="2"/>
  <c r="L42" i="2"/>
  <c r="M42" i="2"/>
  <c r="N42" i="2"/>
  <c r="C43" i="2"/>
  <c r="D43" i="2"/>
  <c r="E43" i="2"/>
  <c r="F43" i="2"/>
  <c r="G43" i="2"/>
  <c r="H43" i="2"/>
  <c r="I43" i="2"/>
  <c r="J43" i="2"/>
  <c r="K43" i="2"/>
  <c r="L43" i="2"/>
  <c r="M43" i="2"/>
  <c r="N43" i="2"/>
  <c r="M41" i="2"/>
  <c r="L41" i="2"/>
  <c r="K41" i="2"/>
  <c r="J41" i="2"/>
  <c r="I41" i="2"/>
  <c r="H41" i="2"/>
  <c r="G41" i="2"/>
  <c r="F41" i="2"/>
  <c r="E41" i="2"/>
  <c r="D41" i="2"/>
  <c r="C41" i="2"/>
  <c r="B41" i="2"/>
  <c r="S38" i="2"/>
  <c r="O38" i="2"/>
  <c r="T26" i="2"/>
  <c r="T27" i="2"/>
  <c r="T28" i="2"/>
  <c r="T29" i="2"/>
  <c r="T30" i="2"/>
  <c r="T31" i="2"/>
  <c r="T32" i="2"/>
  <c r="T33" i="2"/>
  <c r="T34" i="2"/>
  <c r="S26" i="2"/>
  <c r="S27" i="2"/>
  <c r="S28" i="2"/>
  <c r="S29" i="2"/>
  <c r="S30" i="2"/>
  <c r="S31" i="2"/>
  <c r="S32" i="2"/>
  <c r="S33" i="2"/>
  <c r="S34" i="2"/>
  <c r="S23" i="2"/>
</calcChain>
</file>

<file path=xl/comments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  <author>Jonas</author>
    <author>Kaj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D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Värdet beror helt och hållet på vilket värmevärde man antar att kol och koks har
</t>
        </r>
      </text>
    </comment>
    <comment ref="E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Användningssiffra antagen vara densamma som 2014</t>
        </r>
      </text>
    </comment>
    <comment ref="G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Antagits vara densamma som 2012</t>
        </r>
      </text>
    </comment>
    <comment ref="L32" authorId="2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Användningen av koksgas 206 944 MWh ingår i energiinnehållet som redovisas för kol/koks.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  <author>Jonas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F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Flytande förnybart bestod av beckolja samt fiber- och bioslam
</t>
        </r>
      </text>
    </comment>
    <comment ref="L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Icke organiskt returfiberrejekt samt fiber, bioslam, beckolja och starkgas</t>
        </r>
      </text>
    </comment>
  </commentList>
</comments>
</file>

<file path=xl/comments1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>
  <authors>
    <author>www.statistikdatabasen.scb.se</author>
    <author>Jonas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Fördelning kol olja har antagits vara densamma 2013 som 2014
</t>
        </r>
      </text>
    </comment>
    <comment ref="D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Fördelning mellan kol och olja har antagits vara densamma 2013 som 2014</t>
        </r>
      </text>
    </comment>
    <comment ref="E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Har antagits vara samma värde som för 2011</t>
        </r>
      </text>
    </comment>
    <comment ref="G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Har antagits vara samma som 2012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  <author>Jonas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E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Har antagits vara samma som 2010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  <author>Jonas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G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Antages vara densamma som 2014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  <author>Jonas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L29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Beckolja och starkgas</t>
        </r>
      </text>
    </comment>
    <comment ref="F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Metanol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  <author>Jonas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E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Satt till samma värde som 2014
</t>
        </r>
      </text>
    </comment>
    <comment ref="F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Ansatt som 0 då den i förhållande till oljeanvändningen är näst intill obefintlig</t>
        </r>
      </text>
    </comment>
    <comment ref="G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Satt till samma värde som 2014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  <author>Jonas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G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Antages vara samma som 2010</t>
        </r>
      </text>
    </comment>
  </commentList>
</comments>
</file>

<file path=xl/sharedStrings.xml><?xml version="1.0" encoding="utf-8"?>
<sst xmlns="http://schemas.openxmlformats.org/spreadsheetml/2006/main" count="1485" uniqueCount="87">
  <si>
    <t>Elproduktion och bränsleanvändning (MWh) efter tid, region, produktionssätt och bränsletyp</t>
  </si>
  <si>
    <t>2505 Arvidsjaur</t>
  </si>
  <si>
    <t>Elproduktion</t>
  </si>
  <si>
    <t>Olja</t>
  </si>
  <si>
    <t>Kol och koks</t>
  </si>
  <si>
    <t>Gasol/naturgas</t>
  </si>
  <si>
    <t>Avlutar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</si>
  <si>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</si>
  <si>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</si>
  <si>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</si>
  <si>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</si>
  <si>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</si>
  <si>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</si>
  <si>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</si>
  <si>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</si>
  <si>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</si>
  <si>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</si>
  <si>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</si>
  <si>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</si>
  <si>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</si>
  <si>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</si>
  <si>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</si>
  <si>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</si>
  <si>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</si>
  <si>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</si>
  <si>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</si>
  <si>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</si>
  <si>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</si>
  <si>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</si>
  <si>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</si>
  <si>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</si>
  <si>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</si>
  <si>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Biobränsle</t>
  </si>
  <si>
    <t>Summa förbrukarkategori</t>
  </si>
  <si>
    <t>Gasol</t>
  </si>
  <si>
    <t>slutanv. jordbruk,skogsbruk,fiske</t>
  </si>
  <si>
    <t>Jord, skog</t>
  </si>
  <si>
    <t>Oljeprodukter</t>
  </si>
  <si>
    <t>slutanv. industri, byggverks.</t>
  </si>
  <si>
    <t>industri</t>
  </si>
  <si>
    <t>Etanol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</si>
  <si>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</si>
  <si>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</si>
  <si>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</si>
  <si>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</si>
  <si>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</si>
  <si>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</si>
  <si>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</si>
  <si>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</si>
  <si>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</si>
  <si>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</si>
  <si>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</si>
  <si>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</si>
  <si>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</si>
  <si>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</si>
  <si>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</si>
  <si>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</si>
  <si>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</si>
  <si>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</si>
  <si>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</si>
  <si>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</si>
  <si>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</si>
  <si>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2506 Arjeplog</t>
  </si>
  <si>
    <t>2510 Jokkmokk</t>
  </si>
  <si>
    <t>2513 Överkalix</t>
  </si>
  <si>
    <t>2514 Kalix</t>
  </si>
  <si>
    <t>2518 Övertorneå</t>
  </si>
  <si>
    <t>2521 Pajala</t>
  </si>
  <si>
    <t>2523 Gällivare</t>
  </si>
  <si>
    <t>2560 Älvsbyn</t>
  </si>
  <si>
    <t>2580 Luleå</t>
  </si>
  <si>
    <t>2581 Piteå</t>
  </si>
  <si>
    <t>2582 Boden</t>
  </si>
  <si>
    <t>2583 Haparanda</t>
  </si>
  <si>
    <t>2584 Kiruna</t>
  </si>
  <si>
    <t>Distributionsförlust</t>
  </si>
  <si>
    <t>Koksgas</t>
  </si>
  <si>
    <t>köpt värme</t>
  </si>
  <si>
    <t>Beckolja och starkgas i Kalix</t>
  </si>
  <si>
    <t>Beckolja, starkgas, bioslam mm i Piteå</t>
  </si>
  <si>
    <t>Kol/koks</t>
  </si>
  <si>
    <t>Norrbottens län</t>
  </si>
  <si>
    <t>Svartlut</t>
  </si>
  <si>
    <t>el</t>
  </si>
  <si>
    <t>LKAB Kiruna</t>
  </si>
  <si>
    <t>totalt</t>
  </si>
  <si>
    <t>övrigt (fossilt)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</si>
</sst>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</font>
    <font>
      <sz val="12"/>
      <color indexed="8"/>
      <name val="Calibri"/>
      <family val="2"/>
    </font>
    <font>
      <i/>
      <sz val="12"/>
      <color indexed="8"/>
      <name val="Calibri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b/>
      <sz val="11"/>
      <color rgb="FF008000"/>
      <name val="Calibri"/>
      <scheme val="minor"/>
    </font>
    <font>
      <i/>
      <sz val="11"/>
      <color rgb="FF000000"/>
      <name val="Calibri"/>
      <scheme val="minor"/>
    </font>
    <font>
      <b/>
      <i/>
      <sz val="11"/>
      <color rgb="FF000000"/>
      <name val="Calibri"/>
    </font>
    <font>
      <i/>
      <sz val="11"/>
      <color rgb="FF000000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9"/>
      <color theme="1"/>
      <name val="Helvetica"/>
    </font>
    <font>
      <i/>
      <sz val="11"/>
      <name val="Calibri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81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5">
    <xf numFmtId="0" fontId="0" fillId="0" borderId="0" xfId="0"/>
    <xf numFmtId="0" fontId="5" fillId="0" borderId="0" xfId="1" applyFont="1" applyFill="1" applyProtection="1"/>
    <xf numFmtId="0" fontId="4" fillId="0" borderId="0" xfId="1" applyFill="1" applyProtection="1"/>
    <xf numFmtId="0" fontId="6" fillId="0" borderId="0" xfId="1" applyFont="1"/>
    <xf numFmtId="0" fontId="7" fillId="0" borderId="0" xfId="0" applyFont="1"/>
    <xf numFmtId="0" fontId="8" fillId="0" borderId="0" xfId="1" applyFont="1" applyFill="1" applyProtection="1"/>
    <xf numFmtId="3" fontId="4" fillId="0" borderId="0" xfId="1" applyNumberFormat="1"/>
    <xf numFmtId="0" fontId="4" fillId="0" borderId="0" xfId="1"/>
    <xf numFmtId="0" fontId="8" fillId="0" borderId="0" xfId="0" applyFont="1" applyFill="1" applyProtection="1"/>
    <xf numFmtId="3" fontId="9" fillId="0" borderId="0" xfId="0" applyNumberFormat="1" applyFont="1"/>
    <xf numFmtId="3" fontId="4" fillId="0" borderId="0" xfId="1" applyNumberFormat="1" applyFill="1" applyProtection="1"/>
    <xf numFmtId="3" fontId="10" fillId="0" borderId="0" xfId="1" applyNumberFormat="1" applyFont="1" applyFill="1" applyProtection="1"/>
    <xf numFmtId="164" fontId="4" fillId="0" borderId="0" xfId="1" applyNumberFormat="1"/>
    <xf numFmtId="4" fontId="4" fillId="0" borderId="0" xfId="1" applyNumberFormat="1"/>
    <xf numFmtId="165" fontId="4" fillId="0" borderId="0" xfId="1" applyNumberFormat="1"/>
    <xf numFmtId="10" fontId="4" fillId="0" borderId="0" xfId="1" applyNumberFormat="1"/>
    <xf numFmtId="165" fontId="11" fillId="0" borderId="0" xfId="1" applyNumberFormat="1" applyFont="1"/>
    <xf numFmtId="165" fontId="6" fillId="0" borderId="0" xfId="1" applyNumberFormat="1" applyFont="1"/>
    <xf numFmtId="166" fontId="4" fillId="0" borderId="0" xfId="1" applyNumberFormat="1"/>
    <xf numFmtId="2" fontId="4" fillId="0" borderId="0" xfId="1" applyNumberFormat="1"/>
    <xf numFmtId="0" fontId="12" fillId="0" borderId="0" xfId="1" applyFont="1"/>
    <xf numFmtId="3" fontId="12" fillId="0" borderId="0" xfId="1" applyNumberFormat="1" applyFont="1"/>
    <xf numFmtId="3" fontId="11" fillId="0" borderId="0" xfId="1" applyNumberFormat="1" applyFont="1"/>
    <xf numFmtId="3" fontId="11" fillId="2" borderId="0" xfId="1" applyNumberFormat="1" applyFont="1" applyFill="1"/>
    <xf numFmtId="3" fontId="13" fillId="2" borderId="0" xfId="1" applyNumberFormat="1" applyFont="1" applyFill="1"/>
    <xf numFmtId="3" fontId="4" fillId="2" borderId="0" xfId="1" applyNumberFormat="1" applyFill="1"/>
    <xf numFmtId="0" fontId="9" fillId="0" borderId="0" xfId="0" applyFont="1"/>
    <xf numFmtId="1" fontId="4" fillId="0" borderId="0" xfId="1" applyNumberFormat="1"/>
    <xf numFmtId="165" fontId="11" fillId="0" borderId="0" xfId="2" applyNumberFormat="1" applyFont="1"/>
    <xf numFmtId="165" fontId="3" fillId="0" borderId="0" xfId="2" applyNumberFormat="1" applyFont="1"/>
    <xf numFmtId="3" fontId="13" fillId="0" borderId="0" xfId="1" applyNumberFormat="1" applyFont="1"/>
    <xf numFmtId="9" fontId="13" fillId="0" borderId="0" xfId="2" applyFont="1"/>
    <xf numFmtId="0" fontId="4" fillId="0" borderId="0" xfId="1" applyAlignment="1">
      <alignment horizontal="right"/>
    </xf>
    <xf numFmtId="3" fontId="4" fillId="0" borderId="0" xfId="1" applyNumberFormat="1" applyAlignment="1">
      <alignment horizontal="right"/>
    </xf>
    <xf numFmtId="9" fontId="13" fillId="0" borderId="0" xfId="2" applyNumberFormat="1" applyFont="1"/>
    <xf numFmtId="9" fontId="3" fillId="0" borderId="0" xfId="2" applyFont="1"/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9" fontId="15" fillId="0" borderId="0" xfId="3" applyFont="1"/>
    <xf numFmtId="9" fontId="15" fillId="3" borderId="0" xfId="3" applyFont="1" applyFill="1"/>
    <xf numFmtId="3" fontId="16" fillId="0" borderId="0" xfId="0" applyNumberFormat="1" applyFont="1" applyFill="1"/>
    <xf numFmtId="3" fontId="16" fillId="0" borderId="0" xfId="0" applyNumberFormat="1" applyFont="1"/>
    <xf numFmtId="0" fontId="17" fillId="0" borderId="0" xfId="0" applyFont="1" applyFill="1" applyProtection="1"/>
    <xf numFmtId="3" fontId="18" fillId="0" borderId="0" xfId="1" applyNumberFormat="1" applyFont="1" applyFill="1"/>
    <xf numFmtId="3" fontId="9" fillId="0" borderId="0" xfId="0" applyNumberFormat="1" applyFont="1" applyFill="1"/>
    <xf numFmtId="3" fontId="16" fillId="0" borderId="0" xfId="0" applyNumberFormat="1" applyFont="1" applyAlignment="1">
      <alignment horizontal="right"/>
    </xf>
    <xf numFmtId="0" fontId="23" fillId="0" borderId="0" xfId="0" applyFont="1"/>
    <xf numFmtId="3" fontId="6" fillId="0" borderId="0" xfId="1" applyNumberFormat="1" applyFont="1"/>
    <xf numFmtId="3" fontId="24" fillId="0" borderId="0" xfId="0" applyNumberFormat="1" applyFont="1" applyAlignment="1">
      <alignment horizontal="right"/>
    </xf>
    <xf numFmtId="3" fontId="0" fillId="0" borderId="0" xfId="0" applyNumberFormat="1"/>
    <xf numFmtId="9" fontId="15" fillId="0" borderId="0" xfId="3" applyFont="1" applyFill="1"/>
    <xf numFmtId="165" fontId="0" fillId="0" borderId="0" xfId="0" applyNumberFormat="1"/>
    <xf numFmtId="0" fontId="25" fillId="0" borderId="0" xfId="0" applyFont="1"/>
    <xf numFmtId="4" fontId="0" fillId="0" borderId="0" xfId="0" applyNumberFormat="1"/>
    <xf numFmtId="9" fontId="0" fillId="0" borderId="0" xfId="76" applyFont="1"/>
  </cellXfs>
  <cellStyles count="81"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8" builtinId="9" hidden="1"/>
    <cellStyle name="Followed Hyperlink" xfId="80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7" builtinId="8" hidden="1"/>
    <cellStyle name="Hyperlink" xfId="79" builtinId="8" hidden="1"/>
    <cellStyle name="Normal" xfId="0" builtinId="0"/>
    <cellStyle name="Normal 2" xfId="1"/>
    <cellStyle name="Percent" xfId="3" builtinId="5"/>
    <cellStyle name="Percent 2" xfId="2"/>
    <cellStyle name="Percent 3" xfId="76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7" Type="http://schemas.openxmlformats.org/officeDocument/2006/relationships/worksheet" Target="worksheets/sheet7.xml"/><Relationship Id="rId16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schemas.openxmlformats.org/officeDocument/2006/relationships/customXml" Target="../customXml/item1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5" Type="http://schemas.openxmlformats.org/officeDocument/2006/relationships/worksheet" Target="worksheets/sheet5.xml"/><Relationship Id="rId19" Type="http://schemas.openxmlformats.org/officeDocument/2006/relationships/calcChain" Target="calcChain.xml"/><Relationship Id="rId10" Type="http://schemas.openxmlformats.org/officeDocument/2006/relationships/worksheet" Target="worksheets/sheet10.xml"/><Relationship Id="rId14" Type="http://schemas.openxmlformats.org/officeDocument/2006/relationships/worksheet" Target="worksheets/sheet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Relationship Id="rId2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Relationship Id="rId2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Relationship Id="rId2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Relationship Id="rId2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zoomScale="125" zoomScaleNormal="125" zoomScalePageLayoutView="125" workbookViewId="0">
      <selection activeCell="B10" sqref="B10"/>
    </sheetView>
  </sheetViews>
  <sheetFormatPr baseColWidth="10" defaultRowHeight="15" x14ac:dyDescent="0"/>
  <cols>
    <col min="1" max="1" width="20.33203125" customWidth="1"/>
    <col min="13" max="13" width="12" customWidth="1"/>
    <col min="14" max="14" width="11.83203125" customWidth="1"/>
    <col min="19" max="19" width="11.83203125" customWidth="1"/>
  </cols>
  <sheetData>
    <row r="1" spans="1:14">
      <c r="A1" s="52" t="s">
        <v>0</v>
      </c>
    </row>
    <row r="2" spans="1:14">
      <c r="A2" s="52" t="s">
        <v>81</v>
      </c>
    </row>
    <row r="3" spans="1:14">
      <c r="A3">
        <v>2013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32</v>
      </c>
      <c r="H3" t="s">
        <v>7</v>
      </c>
      <c r="I3" t="s">
        <v>6</v>
      </c>
      <c r="J3" t="s">
        <v>8</v>
      </c>
      <c r="K3" t="s">
        <v>9</v>
      </c>
      <c r="L3" t="s">
        <v>10</v>
      </c>
      <c r="M3" t="s">
        <v>11</v>
      </c>
      <c r="N3" t="s">
        <v>12</v>
      </c>
    </row>
    <row r="6" spans="1:14">
      <c r="A6" t="s">
        <v>13</v>
      </c>
      <c r="B6" s="49">
        <v>573288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</row>
    <row r="7" spans="1:14">
      <c r="A7" t="s">
        <v>14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>SUM(C7:M7)</f>
        <v>0</v>
      </c>
    </row>
    <row r="8" spans="1:14">
      <c r="A8" t="s">
        <v>15</v>
      </c>
      <c r="B8" s="49">
        <v>15808403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</row>
    <row r="9" spans="1:14">
      <c r="A9" t="s">
        <v>16</v>
      </c>
      <c r="B9" s="49">
        <v>455131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</row>
    <row r="10" spans="1:14">
      <c r="A10" t="s">
        <v>17</v>
      </c>
      <c r="B10" s="49">
        <f>SUM(B6:B9)</f>
        <v>16836822</v>
      </c>
      <c r="C10" s="49">
        <f>SUM(C6:C9)</f>
        <v>0</v>
      </c>
      <c r="D10" s="49">
        <f t="shared" ref="D10:L10" si="0">SUM(D6:D9)</f>
        <v>0</v>
      </c>
      <c r="E10" s="49">
        <f t="shared" si="0"/>
        <v>0</v>
      </c>
      <c r="F10" s="49">
        <f t="shared" si="0"/>
        <v>0</v>
      </c>
      <c r="G10" s="49">
        <f t="shared" si="0"/>
        <v>0</v>
      </c>
      <c r="H10" s="49">
        <f t="shared" si="0"/>
        <v>0</v>
      </c>
      <c r="I10" s="49">
        <f t="shared" si="0"/>
        <v>0</v>
      </c>
      <c r="J10" s="49">
        <f t="shared" si="0"/>
        <v>0</v>
      </c>
      <c r="K10" s="49">
        <f t="shared" si="0"/>
        <v>0</v>
      </c>
      <c r="L10" s="49">
        <f t="shared" si="0"/>
        <v>0</v>
      </c>
      <c r="M10" s="49">
        <v>0</v>
      </c>
      <c r="N10" s="49">
        <f>SUM(N6:N9)</f>
        <v>0</v>
      </c>
    </row>
    <row r="11" spans="1:14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14">
      <c r="A13" s="52" t="s">
        <v>18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pans="1:14">
      <c r="B15" s="49" t="s">
        <v>19</v>
      </c>
      <c r="C15" s="49" t="s">
        <v>3</v>
      </c>
      <c r="D15" s="49" t="s">
        <v>4</v>
      </c>
      <c r="E15" s="49" t="s">
        <v>5</v>
      </c>
      <c r="F15" s="49" t="s">
        <v>20</v>
      </c>
      <c r="G15" s="49" t="s">
        <v>32</v>
      </c>
      <c r="H15" s="49" t="s">
        <v>7</v>
      </c>
      <c r="I15" s="49" t="s">
        <v>6</v>
      </c>
      <c r="J15" s="49" t="s">
        <v>8</v>
      </c>
      <c r="K15" s="49" t="s">
        <v>9</v>
      </c>
      <c r="L15" s="49" t="s">
        <v>76</v>
      </c>
      <c r="M15" s="49" t="s">
        <v>11</v>
      </c>
      <c r="N15" s="49" t="s">
        <v>12</v>
      </c>
    </row>
    <row r="16" spans="1:14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22">
      <c r="A17" t="s">
        <v>21</v>
      </c>
      <c r="B17" s="49">
        <v>1524310</v>
      </c>
      <c r="C17" s="49">
        <v>85631</v>
      </c>
      <c r="D17" s="49">
        <v>0</v>
      </c>
      <c r="E17" s="49">
        <v>0</v>
      </c>
      <c r="F17" s="49">
        <v>3474</v>
      </c>
      <c r="G17" s="49">
        <v>158476</v>
      </c>
      <c r="H17" s="49">
        <v>0</v>
      </c>
      <c r="I17" s="49">
        <v>0</v>
      </c>
      <c r="J17" s="49">
        <v>128525</v>
      </c>
      <c r="K17" s="49">
        <v>509072</v>
      </c>
      <c r="L17" s="49">
        <v>1755000</v>
      </c>
      <c r="M17" s="49">
        <v>38392</v>
      </c>
      <c r="N17" s="49">
        <f>SUM(C17:M17)</f>
        <v>2678570</v>
      </c>
    </row>
    <row r="18" spans="1:22">
      <c r="A18" t="s">
        <v>22</v>
      </c>
      <c r="B18" s="49">
        <v>482063.99507389165</v>
      </c>
      <c r="C18" s="49">
        <v>30287</v>
      </c>
      <c r="D18" s="49">
        <v>0</v>
      </c>
      <c r="E18" s="49">
        <v>1752</v>
      </c>
      <c r="F18" s="49">
        <v>1720</v>
      </c>
      <c r="G18" s="49">
        <v>414609</v>
      </c>
      <c r="H18" s="49">
        <v>0</v>
      </c>
      <c r="I18" s="49">
        <v>0</v>
      </c>
      <c r="J18" s="49">
        <v>49109</v>
      </c>
      <c r="K18" s="49">
        <v>0</v>
      </c>
      <c r="L18" s="49">
        <v>28949</v>
      </c>
      <c r="M18" s="49">
        <v>0</v>
      </c>
      <c r="N18" s="49">
        <f>SUM(C18:M18)</f>
        <v>526426</v>
      </c>
    </row>
    <row r="19" spans="1:22">
      <c r="A19" t="s">
        <v>23</v>
      </c>
      <c r="B19" s="49">
        <v>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>
        <v>0</v>
      </c>
      <c r="N19" s="49">
        <f t="shared" ref="N19:N20" si="1">SUM(C19:M19)</f>
        <v>0</v>
      </c>
    </row>
    <row r="20" spans="1:22">
      <c r="A20" t="s">
        <v>24</v>
      </c>
      <c r="B20" s="49">
        <v>0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>
        <f t="shared" si="1"/>
        <v>0</v>
      </c>
    </row>
    <row r="21" spans="1:22">
      <c r="A21" t="s">
        <v>25</v>
      </c>
      <c r="B21" s="49">
        <v>307311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>
        <v>0</v>
      </c>
    </row>
    <row r="22" spans="1:22">
      <c r="A22" s="42" t="s">
        <v>77</v>
      </c>
      <c r="B22" s="49">
        <v>48924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>
        <v>0</v>
      </c>
    </row>
    <row r="23" spans="1:22">
      <c r="A23" t="s">
        <v>17</v>
      </c>
      <c r="B23" s="49">
        <f>SUM(B17:B22)</f>
        <v>2362608.9950738917</v>
      </c>
      <c r="C23" s="49">
        <f t="shared" ref="C23:N23" si="2">SUM(C17:C22)</f>
        <v>115918</v>
      </c>
      <c r="D23" s="49">
        <f t="shared" si="2"/>
        <v>0</v>
      </c>
      <c r="E23" s="49">
        <f t="shared" si="2"/>
        <v>1752</v>
      </c>
      <c r="F23" s="49">
        <f t="shared" si="2"/>
        <v>5194</v>
      </c>
      <c r="G23" s="49">
        <f t="shared" si="2"/>
        <v>573085</v>
      </c>
      <c r="H23" s="49">
        <f t="shared" si="2"/>
        <v>0</v>
      </c>
      <c r="I23" s="49">
        <f t="shared" si="2"/>
        <v>0</v>
      </c>
      <c r="J23" s="49">
        <f t="shared" si="2"/>
        <v>177634</v>
      </c>
      <c r="K23" s="49">
        <f t="shared" si="2"/>
        <v>509072</v>
      </c>
      <c r="L23" s="49">
        <f t="shared" si="2"/>
        <v>1783949</v>
      </c>
      <c r="M23" s="49">
        <f t="shared" si="2"/>
        <v>38392</v>
      </c>
      <c r="N23" s="49">
        <f t="shared" si="2"/>
        <v>3204996</v>
      </c>
      <c r="R23" s="3" t="s">
        <v>26</v>
      </c>
      <c r="S23" s="12">
        <f>N42/1000</f>
        <v>29018.945973333335</v>
      </c>
      <c r="T23" s="3"/>
    </row>
    <row r="24" spans="1:22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R24" s="3"/>
      <c r="S24" s="3" t="s">
        <v>27</v>
      </c>
      <c r="T24" s="3" t="s">
        <v>28</v>
      </c>
    </row>
    <row r="25" spans="1:22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R25" t="s">
        <v>30</v>
      </c>
      <c r="S25" s="13">
        <f>B42/1000</f>
        <v>48.923999999999999</v>
      </c>
      <c r="T25" s="51">
        <f>B43</f>
        <v>1.6859330468087369E-3</v>
      </c>
    </row>
    <row r="26" spans="1:22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R26" s="3" t="s">
        <v>11</v>
      </c>
      <c r="S26" s="13">
        <f>M42/1000</f>
        <v>6874.5876399999997</v>
      </c>
      <c r="T26" s="14">
        <f>M43</f>
        <v>0.23689997721892903</v>
      </c>
    </row>
    <row r="27" spans="1:22">
      <c r="A27" s="52" t="s">
        <v>29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10" t="s">
        <v>78</v>
      </c>
      <c r="M27" s="49"/>
      <c r="N27" s="49"/>
      <c r="R27" s="49" t="s">
        <v>32</v>
      </c>
      <c r="S27" s="13">
        <f>G42/1000</f>
        <v>2877.6529999999998</v>
      </c>
      <c r="T27" s="15">
        <f>G43</f>
        <v>9.9164628606579638E-2</v>
      </c>
    </row>
    <row r="28" spans="1:22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10" t="s">
        <v>79</v>
      </c>
      <c r="M28" s="49"/>
      <c r="N28" s="49"/>
      <c r="R28" s="3" t="s">
        <v>8</v>
      </c>
      <c r="S28" s="13">
        <f>J42/1000</f>
        <v>183.434</v>
      </c>
      <c r="T28" s="14">
        <f>J43</f>
        <v>6.3211806579248188E-3</v>
      </c>
    </row>
    <row r="29" spans="1:22">
      <c r="B29" s="49" t="s">
        <v>30</v>
      </c>
      <c r="C29" s="49" t="s">
        <v>3</v>
      </c>
      <c r="D29" s="49" t="s">
        <v>4</v>
      </c>
      <c r="E29" s="49" t="s">
        <v>5</v>
      </c>
      <c r="F29" s="49" t="s">
        <v>31</v>
      </c>
      <c r="G29" s="49" t="s">
        <v>32</v>
      </c>
      <c r="H29" s="49" t="s">
        <v>7</v>
      </c>
      <c r="I29" s="49" t="s">
        <v>6</v>
      </c>
      <c r="J29" s="49" t="s">
        <v>8</v>
      </c>
      <c r="K29" s="49" t="s">
        <v>9</v>
      </c>
      <c r="L29" s="49" t="s">
        <v>10</v>
      </c>
      <c r="M29" s="49" t="s">
        <v>11</v>
      </c>
      <c r="N29" s="49" t="s">
        <v>33</v>
      </c>
      <c r="R29" s="3" t="s">
        <v>9</v>
      </c>
      <c r="S29" s="13">
        <f>K42/1000</f>
        <v>509.072</v>
      </c>
      <c r="T29" s="14">
        <f>K43</f>
        <v>1.7542746055208433E-2</v>
      </c>
    </row>
    <row r="30" spans="1:22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R30" s="3" t="s">
        <v>31</v>
      </c>
      <c r="S30" s="13">
        <f>F42/1000</f>
        <v>322.57299999999998</v>
      </c>
      <c r="T30" s="14">
        <f>F43</f>
        <v>1.1115944745078789E-2</v>
      </c>
    </row>
    <row r="31" spans="1:22">
      <c r="A31" t="s">
        <v>35</v>
      </c>
      <c r="B31" s="49">
        <v>0</v>
      </c>
      <c r="C31" s="49">
        <v>44663.333333333336</v>
      </c>
      <c r="D31" s="49">
        <v>0</v>
      </c>
      <c r="E31" s="49">
        <v>0</v>
      </c>
      <c r="F31" s="49">
        <v>4388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60856</v>
      </c>
      <c r="N31" s="49">
        <f>SUM(B31:M31)</f>
        <v>109907.33333333334</v>
      </c>
      <c r="O31" s="16">
        <f>N31/N$39</f>
        <v>3.7090430627951631E-3</v>
      </c>
      <c r="P31" s="17" t="s">
        <v>36</v>
      </c>
      <c r="Q31" s="3"/>
      <c r="R31" s="3" t="s">
        <v>34</v>
      </c>
      <c r="S31" s="12">
        <f>E42/1000</f>
        <v>45.518000000000001</v>
      </c>
      <c r="T31" s="14">
        <f>E43</f>
        <v>1.5685614509165255E-3</v>
      </c>
      <c r="U31" s="53">
        <f>S31+S35</f>
        <v>276.94900000000001</v>
      </c>
      <c r="V31" s="51">
        <f>T31+T35</f>
        <v>9.5437305081480031E-3</v>
      </c>
    </row>
    <row r="32" spans="1:22">
      <c r="A32" t="s">
        <v>38</v>
      </c>
      <c r="B32" s="49">
        <v>144154</v>
      </c>
      <c r="C32" s="49">
        <v>1260060.7679999999</v>
      </c>
      <c r="D32" s="49">
        <v>9796109.2320000008</v>
      </c>
      <c r="E32" s="49">
        <v>38519</v>
      </c>
      <c r="F32" s="49">
        <v>25236</v>
      </c>
      <c r="G32" s="49">
        <v>1912515</v>
      </c>
      <c r="H32" s="49">
        <v>0</v>
      </c>
      <c r="I32" s="49">
        <v>3459697</v>
      </c>
      <c r="J32" s="49">
        <v>5800</v>
      </c>
      <c r="K32" s="49">
        <v>0</v>
      </c>
      <c r="L32" s="49">
        <v>231431</v>
      </c>
      <c r="M32" s="49">
        <v>4218351</v>
      </c>
      <c r="N32" s="49">
        <f t="shared" ref="N32:N38" si="3">SUM(B32:M32)</f>
        <v>21091873</v>
      </c>
      <c r="O32" s="16">
        <f>N32/N$39</f>
        <v>0.71178749278489084</v>
      </c>
      <c r="P32" s="17" t="s">
        <v>39</v>
      </c>
      <c r="Q32" s="3"/>
      <c r="R32" s="3" t="s">
        <v>80</v>
      </c>
      <c r="S32" s="12">
        <f>D42/1000</f>
        <v>9796.1092320000007</v>
      </c>
      <c r="T32" s="14">
        <f>D43</f>
        <v>0.33757632827195155</v>
      </c>
    </row>
    <row r="33" spans="1:20">
      <c r="A33" t="s">
        <v>41</v>
      </c>
      <c r="B33" s="49">
        <v>381369</v>
      </c>
      <c r="C33" s="49">
        <v>33128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424605</v>
      </c>
      <c r="N33" s="49">
        <f t="shared" si="3"/>
        <v>839102</v>
      </c>
      <c r="O33" s="16">
        <f>N33/N$39</f>
        <v>2.8317177368306148E-2</v>
      </c>
      <c r="P33" s="17" t="s">
        <v>42</v>
      </c>
      <c r="Q33" s="3"/>
      <c r="R33" s="3" t="s">
        <v>6</v>
      </c>
      <c r="S33" s="12">
        <f>I42/1000</f>
        <v>3459.6970000000001</v>
      </c>
      <c r="T33" s="14">
        <f>I43</f>
        <v>0.11922200769039831</v>
      </c>
    </row>
    <row r="34" spans="1:20">
      <c r="A34" t="s">
        <v>43</v>
      </c>
      <c r="B34" s="49">
        <v>0</v>
      </c>
      <c r="C34" s="49">
        <v>3050337</v>
      </c>
      <c r="D34" s="49">
        <v>0</v>
      </c>
      <c r="E34" s="49">
        <v>5247</v>
      </c>
      <c r="F34" s="49">
        <v>287755</v>
      </c>
      <c r="G34" s="49">
        <v>0</v>
      </c>
      <c r="H34" s="49">
        <v>1213</v>
      </c>
      <c r="I34" s="49">
        <v>0</v>
      </c>
      <c r="J34" s="49">
        <v>0</v>
      </c>
      <c r="K34" s="49">
        <v>0</v>
      </c>
      <c r="L34" s="49">
        <v>0</v>
      </c>
      <c r="M34" s="49">
        <v>189762</v>
      </c>
      <c r="N34" s="49">
        <f t="shared" si="3"/>
        <v>3534314</v>
      </c>
      <c r="O34" s="16">
        <f>N34/N$39</f>
        <v>0.11927250371621993</v>
      </c>
      <c r="P34" s="17" t="s">
        <v>44</v>
      </c>
      <c r="Q34" s="3"/>
      <c r="R34" s="3" t="s">
        <v>37</v>
      </c>
      <c r="S34" s="13">
        <f>C42/1000</f>
        <v>4668.7341013333335</v>
      </c>
      <c r="T34" s="15">
        <f>C43</f>
        <v>0.16088572292128112</v>
      </c>
    </row>
    <row r="35" spans="1:20">
      <c r="A35" t="s">
        <v>45</v>
      </c>
      <c r="B35" s="49">
        <v>343776</v>
      </c>
      <c r="C35" s="49">
        <v>155273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794389</v>
      </c>
      <c r="N35" s="49">
        <f t="shared" si="3"/>
        <v>1293438</v>
      </c>
      <c r="O35" s="16">
        <f>N35/N$39</f>
        <v>4.3649655537595151E-2</v>
      </c>
      <c r="P35" s="17" t="s">
        <v>46</v>
      </c>
      <c r="Q35" s="17"/>
      <c r="R35" s="3" t="s">
        <v>10</v>
      </c>
      <c r="S35" s="13">
        <f>L42/1000</f>
        <v>231.43100000000001</v>
      </c>
      <c r="T35" s="15">
        <f>L43</f>
        <v>7.9751690572314772E-3</v>
      </c>
    </row>
    <row r="36" spans="1:20">
      <c r="A36" t="s">
        <v>47</v>
      </c>
      <c r="B36" s="49">
        <v>506957</v>
      </c>
      <c r="C36" s="49">
        <v>4745</v>
      </c>
      <c r="D36" s="49">
        <v>0</v>
      </c>
      <c r="E36" s="49">
        <v>0</v>
      </c>
      <c r="F36" s="49">
        <v>0</v>
      </c>
      <c r="G36" s="49">
        <v>392053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933693</v>
      </c>
      <c r="N36" s="49">
        <f t="shared" si="3"/>
        <v>1837448</v>
      </c>
      <c r="O36" s="17"/>
      <c r="P36" s="17"/>
      <c r="Q36" s="3"/>
      <c r="R36" s="3" t="s">
        <v>7</v>
      </c>
      <c r="S36" s="13">
        <f>H42/1000</f>
        <v>1.2130000000000001</v>
      </c>
      <c r="T36" s="14">
        <f>H43</f>
        <v>4.180027769150106E-5</v>
      </c>
    </row>
    <row r="37" spans="1:20">
      <c r="A37" t="s">
        <v>48</v>
      </c>
      <c r="B37" s="49">
        <v>682593</v>
      </c>
      <c r="C37" s="49">
        <v>4609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125434</v>
      </c>
      <c r="N37" s="49">
        <f t="shared" si="3"/>
        <v>812636</v>
      </c>
      <c r="O37" s="17"/>
      <c r="P37" s="17"/>
      <c r="Q37" s="3"/>
      <c r="R37" s="3"/>
      <c r="S37" s="13">
        <f>SUM(S25:S36)</f>
        <v>29018.945973333335</v>
      </c>
      <c r="T37" s="14">
        <f>SUM(T25:T36)</f>
        <v>0.99999999999999989</v>
      </c>
    </row>
    <row r="38" spans="1:20">
      <c r="A38" t="s">
        <v>49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113543</v>
      </c>
      <c r="N38" s="49">
        <f t="shared" si="3"/>
        <v>113543</v>
      </c>
      <c r="O38" s="17">
        <f>SUM(O31:O35)</f>
        <v>0.90673587246980725</v>
      </c>
      <c r="P38" s="17"/>
      <c r="Q38" s="3"/>
      <c r="R38" s="2"/>
      <c r="S38" s="2"/>
      <c r="T38" s="2"/>
    </row>
    <row r="39" spans="1:20">
      <c r="A39" t="s">
        <v>17</v>
      </c>
      <c r="B39" s="49">
        <f>SUM(B31:B38)</f>
        <v>2058849</v>
      </c>
      <c r="C39" s="49">
        <f t="shared" ref="C39:N39" si="4">SUM(C31:C38)</f>
        <v>4552816.1013333332</v>
      </c>
      <c r="D39" s="49">
        <f t="shared" si="4"/>
        <v>9796109.2320000008</v>
      </c>
      <c r="E39" s="49">
        <f t="shared" si="4"/>
        <v>43766</v>
      </c>
      <c r="F39" s="49">
        <f t="shared" si="4"/>
        <v>317379</v>
      </c>
      <c r="G39" s="49">
        <f t="shared" si="4"/>
        <v>2304568</v>
      </c>
      <c r="H39" s="49">
        <f t="shared" si="4"/>
        <v>1213</v>
      </c>
      <c r="I39" s="49">
        <f t="shared" si="4"/>
        <v>3459697</v>
      </c>
      <c r="J39" s="49">
        <f t="shared" si="4"/>
        <v>5800</v>
      </c>
      <c r="K39" s="49">
        <f t="shared" si="4"/>
        <v>0</v>
      </c>
      <c r="L39" s="49">
        <f t="shared" si="4"/>
        <v>231431</v>
      </c>
      <c r="M39" s="49">
        <f t="shared" si="4"/>
        <v>6860633</v>
      </c>
      <c r="N39" s="49">
        <f t="shared" si="4"/>
        <v>29632261.333333332</v>
      </c>
      <c r="R39" s="7"/>
      <c r="S39" s="7"/>
      <c r="T39" s="7"/>
    </row>
    <row r="40" spans="1:20">
      <c r="R40" s="7"/>
      <c r="S40" s="7" t="s">
        <v>27</v>
      </c>
      <c r="T40" s="7" t="s">
        <v>28</v>
      </c>
    </row>
    <row r="41" spans="1:20">
      <c r="A41" s="20" t="s">
        <v>53</v>
      </c>
      <c r="B41" s="21">
        <f>B38+B37+B36</f>
        <v>1189550</v>
      </c>
      <c r="C41" s="21">
        <f t="shared" ref="C41:N41" si="5">C38+C37+C36</f>
        <v>9354</v>
      </c>
      <c r="D41" s="21">
        <f t="shared" si="5"/>
        <v>0</v>
      </c>
      <c r="E41" s="21">
        <f t="shared" si="5"/>
        <v>0</v>
      </c>
      <c r="F41" s="21">
        <f t="shared" si="5"/>
        <v>0</v>
      </c>
      <c r="G41" s="21">
        <f t="shared" si="5"/>
        <v>392053</v>
      </c>
      <c r="H41" s="21">
        <f t="shared" si="5"/>
        <v>0</v>
      </c>
      <c r="I41" s="21">
        <f t="shared" si="5"/>
        <v>0</v>
      </c>
      <c r="J41" s="21">
        <f t="shared" si="5"/>
        <v>0</v>
      </c>
      <c r="K41" s="21">
        <f t="shared" si="5"/>
        <v>0</v>
      </c>
      <c r="L41" s="21">
        <f t="shared" si="5"/>
        <v>0</v>
      </c>
      <c r="M41" s="21">
        <f t="shared" si="5"/>
        <v>1172670</v>
      </c>
      <c r="N41" s="21">
        <f t="shared" si="5"/>
        <v>2763627</v>
      </c>
      <c r="O41" s="16">
        <f>N41/N$39</f>
        <v>9.3264127530192767E-2</v>
      </c>
      <c r="P41" s="16" t="s">
        <v>54</v>
      </c>
      <c r="R41" s="7" t="s">
        <v>50</v>
      </c>
      <c r="S41" s="18">
        <f>N45/1000</f>
        <v>852.61063507389167</v>
      </c>
      <c r="T41" s="7"/>
    </row>
    <row r="42" spans="1:20">
      <c r="A42" s="22" t="s">
        <v>56</v>
      </c>
      <c r="B42" s="23">
        <f>B22</f>
        <v>48924</v>
      </c>
      <c r="C42" s="23">
        <f>C39+C23+C10</f>
        <v>4668734.1013333332</v>
      </c>
      <c r="D42" s="23">
        <f t="shared" ref="D42:K42" si="6">D39+D23+D10</f>
        <v>9796109.2320000008</v>
      </c>
      <c r="E42" s="23">
        <f t="shared" si="6"/>
        <v>45518</v>
      </c>
      <c r="F42" s="23">
        <f t="shared" si="6"/>
        <v>322573</v>
      </c>
      <c r="G42" s="23">
        <f t="shared" si="6"/>
        <v>2877653</v>
      </c>
      <c r="H42" s="23">
        <f t="shared" si="6"/>
        <v>1213</v>
      </c>
      <c r="I42" s="23">
        <f t="shared" si="6"/>
        <v>3459697</v>
      </c>
      <c r="J42" s="23">
        <f t="shared" si="6"/>
        <v>183434</v>
      </c>
      <c r="K42" s="23">
        <f t="shared" si="6"/>
        <v>509072</v>
      </c>
      <c r="L42" s="23">
        <f>L39</f>
        <v>231431</v>
      </c>
      <c r="M42" s="23">
        <f>M39+M23-B6+M45</f>
        <v>6874587.6399999997</v>
      </c>
      <c r="N42" s="24">
        <f>SUM(B42:M42)</f>
        <v>29018945.973333336</v>
      </c>
      <c r="O42" s="7"/>
      <c r="P42" s="7"/>
      <c r="R42" s="7" t="s">
        <v>51</v>
      </c>
      <c r="S42" s="19">
        <f>N41/1000</f>
        <v>2763.627</v>
      </c>
      <c r="T42" s="14">
        <f>O41</f>
        <v>9.3264127530192767E-2</v>
      </c>
    </row>
    <row r="43" spans="1:20">
      <c r="A43" s="22" t="s">
        <v>57</v>
      </c>
      <c r="B43" s="16">
        <f t="shared" ref="B43:M43" si="7">B42/$N42</f>
        <v>1.6859330468087369E-3</v>
      </c>
      <c r="C43" s="16">
        <f t="shared" si="7"/>
        <v>0.16088572292128112</v>
      </c>
      <c r="D43" s="16">
        <f t="shared" si="7"/>
        <v>0.33757632827195155</v>
      </c>
      <c r="E43" s="16">
        <f t="shared" si="7"/>
        <v>1.5685614509165255E-3</v>
      </c>
      <c r="F43" s="16">
        <f t="shared" si="7"/>
        <v>1.1115944745078789E-2</v>
      </c>
      <c r="G43" s="16">
        <f t="shared" si="7"/>
        <v>9.9164628606579638E-2</v>
      </c>
      <c r="H43" s="16">
        <f t="shared" si="7"/>
        <v>4.180027769150106E-5</v>
      </c>
      <c r="I43" s="16">
        <f t="shared" si="7"/>
        <v>0.11922200769039831</v>
      </c>
      <c r="J43" s="16">
        <f t="shared" si="7"/>
        <v>6.3211806579248188E-3</v>
      </c>
      <c r="K43" s="16">
        <f t="shared" si="7"/>
        <v>1.7542746055208433E-2</v>
      </c>
      <c r="L43" s="16">
        <f t="shared" si="7"/>
        <v>7.9751690572314772E-3</v>
      </c>
      <c r="M43" s="16">
        <f t="shared" si="7"/>
        <v>0.23689997721892903</v>
      </c>
      <c r="N43" s="16">
        <f>SUM(B43:M43)</f>
        <v>1</v>
      </c>
      <c r="O43" s="7"/>
      <c r="P43" s="7"/>
      <c r="R43" s="7" t="s">
        <v>52</v>
      </c>
      <c r="S43" s="19">
        <f>N35/1000</f>
        <v>1293.4380000000001</v>
      </c>
      <c r="T43" s="15">
        <f>O35</f>
        <v>4.3649655537595151E-2</v>
      </c>
    </row>
    <row r="44" spans="1:20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R44" s="7" t="s">
        <v>55</v>
      </c>
      <c r="S44" s="19">
        <f>N33/1000</f>
        <v>839.10199999999998</v>
      </c>
      <c r="T44" s="14">
        <f>O33</f>
        <v>2.8317177368306148E-2</v>
      </c>
    </row>
    <row r="45" spans="1:20">
      <c r="A45" s="6" t="s">
        <v>60</v>
      </c>
      <c r="B45" s="6">
        <f>B23-B39</f>
        <v>303759.99507389171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5">
        <f>M39*0.08</f>
        <v>548850.64</v>
      </c>
      <c r="N45" s="24">
        <f>B45+M45</f>
        <v>852610.63507389172</v>
      </c>
      <c r="O45" s="7"/>
      <c r="P45" s="7"/>
      <c r="R45" s="7" t="s">
        <v>36</v>
      </c>
      <c r="S45" s="19">
        <f>N31/1000</f>
        <v>109.90733333333334</v>
      </c>
      <c r="T45" s="14">
        <f>O31</f>
        <v>3.7090430627951631E-3</v>
      </c>
    </row>
    <row r="46" spans="1:20">
      <c r="B46" s="54">
        <f>B45/B23</f>
        <v>0.12856972766430674</v>
      </c>
      <c r="R46" s="7" t="s">
        <v>58</v>
      </c>
      <c r="S46" s="19">
        <f>N32/1000</f>
        <v>21091.873</v>
      </c>
      <c r="T46" s="15">
        <f>O32</f>
        <v>0.71178749278489084</v>
      </c>
    </row>
    <row r="47" spans="1:20">
      <c r="R47" s="7" t="s">
        <v>59</v>
      </c>
      <c r="S47" s="19">
        <f>N34/1000</f>
        <v>3534.3139999999999</v>
      </c>
      <c r="T47" s="15">
        <f>O34</f>
        <v>0.11927250371621993</v>
      </c>
    </row>
    <row r="48" spans="1:20">
      <c r="D48" s="49"/>
      <c r="R48" s="7" t="s">
        <v>61</v>
      </c>
      <c r="S48" s="19">
        <f>SUM(S42:S47)</f>
        <v>29632.261333333332</v>
      </c>
      <c r="T48" s="14">
        <f>SUM(T42:T47)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 enableFormatConditionsCalculation="0"/>
  <dimension ref="A1:AU70"/>
  <sheetViews>
    <sheetView zoomScale="125" zoomScaleNormal="125" zoomScalePageLayoutView="125" workbookViewId="0">
      <selection activeCell="A22" sqref="A22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69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69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48980</v>
      </c>
      <c r="C18" s="9">
        <v>2905</v>
      </c>
      <c r="D18" s="9">
        <v>0</v>
      </c>
      <c r="E18" s="9">
        <v>0</v>
      </c>
      <c r="F18" s="9">
        <v>0</v>
      </c>
      <c r="G18" s="9">
        <v>48897</v>
      </c>
      <c r="H18" s="9">
        <v>0</v>
      </c>
      <c r="I18" s="9"/>
      <c r="J18" s="9"/>
      <c r="K18" s="9"/>
      <c r="L18" s="9"/>
      <c r="M18" s="9"/>
      <c r="N18" s="9">
        <v>51802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42" t="s">
        <v>77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48980</v>
      </c>
      <c r="C23" s="9">
        <v>2905</v>
      </c>
      <c r="D23" s="9">
        <v>0</v>
      </c>
      <c r="E23" s="9">
        <v>0</v>
      </c>
      <c r="F23" s="9">
        <v>0</v>
      </c>
      <c r="G23" s="9">
        <v>48897</v>
      </c>
      <c r="H23" s="9">
        <v>0</v>
      </c>
      <c r="I23" s="9"/>
      <c r="J23" s="9"/>
      <c r="K23" s="9"/>
      <c r="L23" s="9"/>
      <c r="M23" s="9"/>
      <c r="N23" s="9">
        <v>51802</v>
      </c>
      <c r="O23" s="3"/>
      <c r="P23" s="3"/>
      <c r="Q23" s="3"/>
      <c r="R23" s="3" t="s">
        <v>26</v>
      </c>
      <c r="S23" s="12">
        <f>N42/1000</f>
        <v>302.84744000000001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111.55644000000001</v>
      </c>
      <c r="T26" s="14">
        <f>M43</f>
        <v>0.36835853722256989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32</v>
      </c>
      <c r="S27" s="13">
        <f>G42/1000</f>
        <v>77.241</v>
      </c>
      <c r="T27" s="15">
        <f>G43</f>
        <v>0.25504920893503341</v>
      </c>
    </row>
    <row r="28" spans="1:20" ht="15">
      <c r="A28" s="4" t="s">
        <v>69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9.4209999999999994</v>
      </c>
      <c r="T29" s="14">
        <f>F43</f>
        <v>3.1108072103894952E-2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34</v>
      </c>
      <c r="S30" s="12">
        <f>E42/1000</f>
        <v>0</v>
      </c>
      <c r="T30" s="14">
        <f>E43</f>
        <v>0</v>
      </c>
    </row>
    <row r="31" spans="1:20" ht="15">
      <c r="A31" s="5" t="s">
        <v>35</v>
      </c>
      <c r="B31" s="9">
        <v>0</v>
      </c>
      <c r="C31" s="45">
        <v>2003</v>
      </c>
      <c r="D31" s="9">
        <v>0</v>
      </c>
      <c r="E31" s="9">
        <v>0</v>
      </c>
      <c r="F31" s="45">
        <v>198</v>
      </c>
      <c r="G31" s="9">
        <v>0</v>
      </c>
      <c r="H31" s="9">
        <v>0</v>
      </c>
      <c r="I31" s="9"/>
      <c r="J31" s="9"/>
      <c r="K31" s="9"/>
      <c r="L31" s="9"/>
      <c r="M31" s="9">
        <v>3368</v>
      </c>
      <c r="N31" s="45">
        <f>N39-SUM(N32:N38)</f>
        <v>5569</v>
      </c>
      <c r="O31" s="16">
        <f>N31/N$39</f>
        <v>1.9244458881340236E-2</v>
      </c>
      <c r="P31" s="17" t="s">
        <v>36</v>
      </c>
      <c r="Q31" s="3"/>
      <c r="R31" s="3" t="s">
        <v>37</v>
      </c>
      <c r="S31" s="13">
        <f>C42/1000</f>
        <v>104.629</v>
      </c>
      <c r="T31" s="15">
        <f>C43</f>
        <v>0.34548418173850171</v>
      </c>
    </row>
    <row r="32" spans="1:20" ht="15">
      <c r="A32" s="5" t="s">
        <v>38</v>
      </c>
      <c r="B32" s="9">
        <v>0</v>
      </c>
      <c r="C32" s="45">
        <v>1917</v>
      </c>
      <c r="D32" s="9">
        <v>0</v>
      </c>
      <c r="E32" s="9">
        <v>0</v>
      </c>
      <c r="F32" s="45">
        <v>156</v>
      </c>
      <c r="G32" s="45">
        <v>0</v>
      </c>
      <c r="H32" s="9">
        <v>0</v>
      </c>
      <c r="I32" s="9"/>
      <c r="J32" s="9"/>
      <c r="K32" s="9"/>
      <c r="L32" s="9"/>
      <c r="M32" s="9">
        <v>23493</v>
      </c>
      <c r="N32" s="9">
        <v>25566</v>
      </c>
      <c r="O32" s="16">
        <f>N32/N$39</f>
        <v>8.8346890960737015E-2</v>
      </c>
      <c r="P32" s="17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9">
        <v>11000</v>
      </c>
      <c r="C33" s="9">
        <v>10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10467</v>
      </c>
      <c r="N33" s="9">
        <v>21477</v>
      </c>
      <c r="O33" s="16">
        <f>N33/N$39</f>
        <v>7.4216779205341032E-2</v>
      </c>
      <c r="P33" s="17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96299</v>
      </c>
      <c r="D34" s="9">
        <v>0</v>
      </c>
      <c r="E34" s="9">
        <v>0</v>
      </c>
      <c r="F34" s="9">
        <v>9067</v>
      </c>
      <c r="G34" s="9">
        <v>0</v>
      </c>
      <c r="H34" s="9">
        <v>0</v>
      </c>
      <c r="I34" s="9"/>
      <c r="J34" s="9"/>
      <c r="K34" s="9"/>
      <c r="L34" s="9"/>
      <c r="M34" s="9">
        <v>1146</v>
      </c>
      <c r="N34" s="9">
        <v>106512</v>
      </c>
      <c r="O34" s="16">
        <f>N34/N$39</f>
        <v>0.36806712235038808</v>
      </c>
      <c r="P34" s="17" t="s">
        <v>44</v>
      </c>
      <c r="Q34" s="3"/>
      <c r="R34" s="3"/>
      <c r="S34" s="13">
        <f>SUM(S26:S33)</f>
        <v>302.84744000000001</v>
      </c>
      <c r="T34" s="14">
        <f>SUM(T26:T33)</f>
        <v>1</v>
      </c>
    </row>
    <row r="35" spans="1:47" ht="15">
      <c r="A35" s="5" t="s">
        <v>45</v>
      </c>
      <c r="B35" s="9">
        <v>0</v>
      </c>
      <c r="C35" s="9">
        <v>1437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19961</v>
      </c>
      <c r="N35" s="9">
        <v>21398</v>
      </c>
      <c r="O35" s="16">
        <f>N35/N$39</f>
        <v>7.3943783649294006E-2</v>
      </c>
      <c r="P35" s="17" t="s">
        <v>46</v>
      </c>
      <c r="Q35" s="17"/>
    </row>
    <row r="36" spans="1:47" ht="15">
      <c r="A36" s="5" t="s">
        <v>47</v>
      </c>
      <c r="B36" s="9">
        <v>21000</v>
      </c>
      <c r="C36" s="9">
        <v>36</v>
      </c>
      <c r="D36" s="9">
        <v>0</v>
      </c>
      <c r="E36" s="9">
        <v>0</v>
      </c>
      <c r="F36" s="9">
        <v>0</v>
      </c>
      <c r="G36" s="45">
        <v>28344</v>
      </c>
      <c r="H36" s="9">
        <v>0</v>
      </c>
      <c r="I36" s="9"/>
      <c r="J36" s="9"/>
      <c r="K36" s="9"/>
      <c r="L36" s="9"/>
      <c r="M36" s="9">
        <v>38772</v>
      </c>
      <c r="N36" s="45">
        <f>M36+G36+C36+B36</f>
        <v>88152</v>
      </c>
      <c r="O36" s="17"/>
      <c r="P36" s="17"/>
      <c r="Q36" s="3"/>
      <c r="R36" s="7"/>
      <c r="S36" s="7"/>
      <c r="T36" s="7"/>
    </row>
    <row r="37" spans="1:47" ht="15">
      <c r="A37" s="5" t="s">
        <v>48</v>
      </c>
      <c r="B37" s="9">
        <v>14600</v>
      </c>
      <c r="C37" s="9">
        <v>22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2536</v>
      </c>
      <c r="N37" s="9">
        <v>17158</v>
      </c>
      <c r="O37" s="17"/>
      <c r="P37" s="17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3550</v>
      </c>
      <c r="N38" s="9">
        <v>3550</v>
      </c>
      <c r="O38" s="17">
        <f>SUM(O31:O35)</f>
        <v>0.62381903504710035</v>
      </c>
      <c r="P38" s="17"/>
      <c r="Q38" s="3"/>
      <c r="R38" s="7" t="s">
        <v>50</v>
      </c>
      <c r="S38" s="18">
        <f>N45/1000</f>
        <v>10.64344</v>
      </c>
      <c r="T38" s="7"/>
    </row>
    <row r="39" spans="1:47" ht="15">
      <c r="A39" s="5" t="s">
        <v>17</v>
      </c>
      <c r="B39" s="9">
        <v>46600</v>
      </c>
      <c r="C39" s="45">
        <f>2003+1917+10+96299+1437+36+22</f>
        <v>101724</v>
      </c>
      <c r="D39" s="9">
        <v>0</v>
      </c>
      <c r="E39" s="9">
        <v>0</v>
      </c>
      <c r="F39" s="9">
        <v>9421</v>
      </c>
      <c r="G39" s="45">
        <v>28344</v>
      </c>
      <c r="H39" s="9">
        <v>0</v>
      </c>
      <c r="I39" s="9"/>
      <c r="J39" s="9"/>
      <c r="K39" s="9"/>
      <c r="L39" s="9"/>
      <c r="M39" s="9">
        <v>103293</v>
      </c>
      <c r="N39" s="9">
        <v>289382</v>
      </c>
      <c r="O39" s="3"/>
      <c r="P39" s="3"/>
      <c r="Q39" s="3"/>
      <c r="R39" s="7" t="s">
        <v>51</v>
      </c>
      <c r="S39" s="19">
        <f>N41/1000</f>
        <v>108.86</v>
      </c>
      <c r="T39" s="14">
        <f>O41</f>
        <v>0.37618096495289965</v>
      </c>
    </row>
    <row r="40" spans="1:47">
      <c r="R40" s="7" t="s">
        <v>52</v>
      </c>
      <c r="S40" s="19">
        <f>N35/1000</f>
        <v>21.398</v>
      </c>
      <c r="T40" s="15">
        <f>O35</f>
        <v>7.3943783649294006E-2</v>
      </c>
    </row>
    <row r="41" spans="1:47" ht="15">
      <c r="A41" s="20" t="s">
        <v>53</v>
      </c>
      <c r="B41" s="21">
        <f>B38+B37+B36</f>
        <v>35600</v>
      </c>
      <c r="C41" s="21">
        <f t="shared" ref="C41:N41" si="0">C38+C37+C36</f>
        <v>58</v>
      </c>
      <c r="D41" s="21">
        <f t="shared" si="0"/>
        <v>0</v>
      </c>
      <c r="E41" s="21">
        <f t="shared" si="0"/>
        <v>0</v>
      </c>
      <c r="F41" s="21">
        <f t="shared" si="0"/>
        <v>0</v>
      </c>
      <c r="G41" s="21">
        <f t="shared" si="0"/>
        <v>28344</v>
      </c>
      <c r="H41" s="21">
        <f t="shared" si="0"/>
        <v>0</v>
      </c>
      <c r="I41" s="21">
        <f t="shared" si="0"/>
        <v>0</v>
      </c>
      <c r="J41" s="21">
        <f t="shared" si="0"/>
        <v>0</v>
      </c>
      <c r="K41" s="21">
        <f t="shared" si="0"/>
        <v>0</v>
      </c>
      <c r="L41" s="21">
        <f t="shared" si="0"/>
        <v>0</v>
      </c>
      <c r="M41" s="21">
        <f t="shared" si="0"/>
        <v>44858</v>
      </c>
      <c r="N41" s="21">
        <f t="shared" si="0"/>
        <v>108860</v>
      </c>
      <c r="O41" s="16">
        <f>N41/N$39</f>
        <v>0.37618096495289965</v>
      </c>
      <c r="P41" s="16" t="s">
        <v>54</v>
      </c>
      <c r="Q41" s="7"/>
      <c r="R41" s="7" t="s">
        <v>55</v>
      </c>
      <c r="S41" s="19">
        <f>N33/1000</f>
        <v>21.477</v>
      </c>
      <c r="T41" s="14">
        <f>O33</f>
        <v>7.4216779205341032E-2</v>
      </c>
    </row>
    <row r="42" spans="1:47" ht="15">
      <c r="A42" s="22" t="s">
        <v>56</v>
      </c>
      <c r="B42" s="21"/>
      <c r="C42" s="23">
        <f>C39+C23+C10</f>
        <v>104629</v>
      </c>
      <c r="D42" s="23">
        <f t="shared" ref="D42:L42" si="1">D39+D23+D10</f>
        <v>0</v>
      </c>
      <c r="E42" s="23">
        <f t="shared" si="1"/>
        <v>0</v>
      </c>
      <c r="F42" s="23">
        <f t="shared" si="1"/>
        <v>9421</v>
      </c>
      <c r="G42" s="23">
        <f t="shared" si="1"/>
        <v>77241</v>
      </c>
      <c r="H42" s="23">
        <f t="shared" si="1"/>
        <v>0</v>
      </c>
      <c r="I42" s="23">
        <f t="shared" si="1"/>
        <v>0</v>
      </c>
      <c r="J42" s="23">
        <f t="shared" si="1"/>
        <v>0</v>
      </c>
      <c r="K42" s="23">
        <f t="shared" si="1"/>
        <v>0</v>
      </c>
      <c r="L42" s="23">
        <f t="shared" si="1"/>
        <v>0</v>
      </c>
      <c r="M42" s="23">
        <f>M39+M23-B6+M45</f>
        <v>111556.44</v>
      </c>
      <c r="N42" s="24">
        <f>SUM(C42:M42)</f>
        <v>302847.44</v>
      </c>
      <c r="O42" s="7"/>
      <c r="P42" s="7"/>
      <c r="Q42" s="7"/>
      <c r="R42" s="7" t="s">
        <v>36</v>
      </c>
      <c r="S42" s="19">
        <f>N31/1000</f>
        <v>5.569</v>
      </c>
      <c r="T42" s="14">
        <f>O31</f>
        <v>1.9244458881340236E-2</v>
      </c>
    </row>
    <row r="43" spans="1:47" ht="15">
      <c r="A43" s="22" t="s">
        <v>57</v>
      </c>
      <c r="B43" s="21"/>
      <c r="C43" s="16">
        <f t="shared" ref="C43:M43" si="2">C42/$N42</f>
        <v>0.34548418173850171</v>
      </c>
      <c r="D43" s="16">
        <f t="shared" si="2"/>
        <v>0</v>
      </c>
      <c r="E43" s="16">
        <f t="shared" si="2"/>
        <v>0</v>
      </c>
      <c r="F43" s="16">
        <f t="shared" si="2"/>
        <v>3.1108072103894952E-2</v>
      </c>
      <c r="G43" s="16">
        <f t="shared" si="2"/>
        <v>0.25504920893503341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0.36835853722256989</v>
      </c>
      <c r="N43" s="16">
        <f>SUM(C43:M43)</f>
        <v>1</v>
      </c>
      <c r="O43" s="7"/>
      <c r="P43" s="7"/>
      <c r="Q43" s="7"/>
      <c r="R43" s="7" t="s">
        <v>58</v>
      </c>
      <c r="S43" s="19">
        <f>N32/1000</f>
        <v>25.565999999999999</v>
      </c>
      <c r="T43" s="15">
        <f>O32</f>
        <v>8.8346890960737015E-2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19">
        <f>N34/1000</f>
        <v>106.512</v>
      </c>
      <c r="T44" s="15">
        <f>O34</f>
        <v>0.36806712235038808</v>
      </c>
    </row>
    <row r="45" spans="1:47" ht="15">
      <c r="A45" s="6" t="s">
        <v>60</v>
      </c>
      <c r="B45" s="6">
        <f>B23-B39</f>
        <v>2380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5">
        <f>M39*0.08</f>
        <v>8263.44</v>
      </c>
      <c r="N45" s="24">
        <f>B45+M45</f>
        <v>10643.44</v>
      </c>
      <c r="O45" s="7"/>
      <c r="P45" s="7"/>
      <c r="Q45" s="7"/>
      <c r="R45" s="7" t="s">
        <v>61</v>
      </c>
      <c r="S45" s="19">
        <f>SUM(S39:S44)</f>
        <v>289.38200000000001</v>
      </c>
      <c r="T45" s="14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75</v>
      </c>
      <c r="B47" s="38">
        <f>(B23-B39)/B23</f>
        <v>4.8591261739485504E-2</v>
      </c>
      <c r="C47" s="26"/>
      <c r="D47" s="37"/>
      <c r="E47" s="26"/>
      <c r="F47" s="26"/>
      <c r="G47" s="37"/>
      <c r="H47" s="26"/>
      <c r="I47" s="26"/>
      <c r="J47" s="26"/>
      <c r="K47" s="26"/>
      <c r="L47" s="26"/>
      <c r="M47" s="26"/>
      <c r="N47" s="26"/>
      <c r="O47" s="37"/>
      <c r="P47" s="26"/>
      <c r="Q47" s="4"/>
      <c r="R47" s="4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"/>
      <c r="AH47" s="4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>
      <c r="A48" s="26"/>
      <c r="B48" s="4"/>
      <c r="C48" s="26"/>
      <c r="D48" s="37"/>
      <c r="E48" s="26"/>
      <c r="F48" s="26"/>
      <c r="G48" s="37"/>
      <c r="H48" s="37"/>
      <c r="I48" s="26"/>
      <c r="J48" s="26"/>
      <c r="K48" s="26"/>
      <c r="L48" s="26"/>
      <c r="M48" s="26"/>
      <c r="N48" s="26"/>
      <c r="O48" s="26"/>
      <c r="P48" s="26"/>
      <c r="Q48" s="26"/>
      <c r="R48" s="4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4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9"/>
      <c r="O49" s="26"/>
      <c r="P49" s="26"/>
      <c r="Q49" s="26"/>
      <c r="R49" s="4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4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>
      <c r="A50" s="26"/>
      <c r="B50" s="4"/>
      <c r="C50" s="26"/>
      <c r="D50" s="26"/>
      <c r="E50" s="26"/>
      <c r="F50" s="26"/>
      <c r="G50" s="9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4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4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4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4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>
      <c r="A52" s="26"/>
      <c r="B52" s="4"/>
      <c r="C52" s="26"/>
      <c r="D52" s="26"/>
      <c r="E52" s="26"/>
      <c r="F52" s="26"/>
      <c r="G52" s="26"/>
      <c r="H52" s="37"/>
      <c r="I52" s="26"/>
      <c r="J52" s="26"/>
      <c r="K52" s="26"/>
      <c r="L52" s="26"/>
      <c r="M52" s="26"/>
      <c r="N52" s="26"/>
      <c r="O52" s="37"/>
      <c r="P52" s="26"/>
      <c r="Q52" s="26"/>
      <c r="R52" s="4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4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4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4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4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4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>
      <c r="A55" s="26"/>
      <c r="B55" s="4"/>
      <c r="C55" s="26"/>
      <c r="D55" s="37"/>
      <c r="E55" s="26"/>
      <c r="F55" s="26"/>
      <c r="G55" s="26"/>
      <c r="H55" s="37"/>
      <c r="I55" s="26"/>
      <c r="J55" s="26"/>
      <c r="K55" s="26"/>
      <c r="L55" s="26"/>
      <c r="M55" s="26"/>
      <c r="N55" s="26"/>
      <c r="O55" s="26"/>
      <c r="P55" s="26"/>
      <c r="Q55" s="26"/>
      <c r="R55" s="4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4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>
      <c r="A56" s="26"/>
      <c r="B56" s="4"/>
      <c r="C56" s="26"/>
      <c r="D56" s="37"/>
      <c r="E56" s="26"/>
      <c r="F56" s="26"/>
      <c r="G56" s="26"/>
      <c r="H56" s="37"/>
      <c r="I56" s="26"/>
      <c r="J56" s="26"/>
      <c r="K56" s="26"/>
      <c r="L56" s="26"/>
      <c r="M56" s="26"/>
      <c r="N56" s="26"/>
      <c r="O56" s="26"/>
      <c r="P56" s="26"/>
      <c r="Q56" s="26"/>
      <c r="R56" s="4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4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ht="15">
      <c r="A57" s="7"/>
      <c r="B57" s="7"/>
      <c r="C57" s="27"/>
      <c r="D57" s="27"/>
      <c r="E57" s="27"/>
      <c r="F57" s="27"/>
      <c r="G57" s="27"/>
      <c r="H57" s="27"/>
      <c r="I57" s="27"/>
      <c r="J57" s="27"/>
      <c r="K57" s="27"/>
      <c r="L57" s="6"/>
      <c r="M57" s="28"/>
      <c r="N57" s="7"/>
      <c r="O57" s="6"/>
      <c r="P57" s="14"/>
      <c r="Q57" s="7"/>
      <c r="R57" s="7"/>
      <c r="S57" s="6"/>
      <c r="T57" s="29"/>
    </row>
    <row r="58" spans="1:47" ht="15">
      <c r="A58" s="7"/>
      <c r="B58" s="7"/>
      <c r="C58" s="27"/>
      <c r="D58" s="27"/>
      <c r="E58" s="27"/>
      <c r="F58" s="27"/>
      <c r="G58" s="27"/>
      <c r="H58" s="27"/>
      <c r="I58" s="27"/>
      <c r="J58" s="27"/>
      <c r="K58" s="27"/>
      <c r="L58" s="6"/>
      <c r="M58" s="28"/>
      <c r="N58" s="7"/>
      <c r="O58" s="6"/>
      <c r="P58" s="14"/>
      <c r="Q58" s="7"/>
      <c r="R58" s="7"/>
      <c r="S58" s="6"/>
      <c r="T58" s="29"/>
    </row>
    <row r="59" spans="1:47" ht="15">
      <c r="A59" s="7"/>
      <c r="B59" s="7"/>
      <c r="C59" s="27"/>
      <c r="D59" s="27"/>
      <c r="E59" s="27"/>
      <c r="F59" s="27"/>
      <c r="G59" s="27"/>
      <c r="H59" s="27"/>
      <c r="I59" s="27"/>
      <c r="J59" s="27"/>
      <c r="K59" s="27"/>
      <c r="L59" s="6"/>
      <c r="M59" s="28"/>
      <c r="N59" s="7"/>
      <c r="O59" s="6"/>
      <c r="P59" s="14"/>
      <c r="Q59" s="7"/>
      <c r="R59" s="7"/>
      <c r="S59" s="6"/>
      <c r="T59" s="29"/>
    </row>
    <row r="60" spans="1:47" ht="15">
      <c r="A60" s="22"/>
      <c r="B60" s="7"/>
      <c r="C60" s="27"/>
      <c r="D60" s="27"/>
      <c r="E60" s="27"/>
      <c r="F60" s="27"/>
      <c r="G60" s="27"/>
      <c r="H60" s="27"/>
      <c r="I60" s="27"/>
      <c r="J60" s="27"/>
      <c r="K60" s="27"/>
      <c r="L60" s="6"/>
      <c r="M60" s="28"/>
      <c r="N60" s="7"/>
      <c r="O60" s="6"/>
      <c r="P60" s="14"/>
      <c r="Q60" s="7"/>
      <c r="R60" s="7"/>
      <c r="S60" s="6"/>
      <c r="T60" s="29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8"/>
      <c r="N61" s="7"/>
      <c r="O61" s="6"/>
      <c r="P61" s="14"/>
      <c r="Q61" s="7"/>
      <c r="R61" s="7"/>
      <c r="S61" s="30"/>
      <c r="T61" s="31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2"/>
      <c r="C63" s="32"/>
      <c r="D63" s="32"/>
      <c r="E63" s="32"/>
      <c r="F63" s="32"/>
      <c r="G63" s="32"/>
      <c r="H63" s="32"/>
      <c r="I63" s="32"/>
      <c r="J63" s="7"/>
      <c r="K63" s="7"/>
      <c r="L63" s="7"/>
      <c r="M63" s="7"/>
      <c r="N63" s="7"/>
      <c r="O63" s="7"/>
      <c r="P63" s="7"/>
      <c r="Q63" s="7"/>
      <c r="R63" s="7"/>
      <c r="S63" s="32"/>
      <c r="T63" s="33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8"/>
      <c r="Q64" s="7"/>
      <c r="R64" s="7"/>
      <c r="S64" s="6"/>
      <c r="T64" s="29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8"/>
      <c r="Q65" s="7"/>
      <c r="R65" s="7"/>
      <c r="S65" s="6"/>
      <c r="T65" s="29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8"/>
      <c r="Q66" s="7"/>
      <c r="R66" s="7"/>
      <c r="S66" s="6"/>
      <c r="T66" s="29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8"/>
      <c r="Q67" s="7"/>
      <c r="R67" s="7"/>
      <c r="S67" s="6"/>
      <c r="T67" s="29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8"/>
      <c r="Q68" s="7"/>
      <c r="R68" s="7"/>
      <c r="S68" s="6"/>
      <c r="T68" s="29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8"/>
      <c r="Q69" s="7"/>
      <c r="R69" s="7"/>
      <c r="S69" s="6"/>
      <c r="T69" s="29"/>
    </row>
    <row r="70" spans="1:20" ht="15">
      <c r="A70" s="7"/>
      <c r="B70" s="30"/>
      <c r="C70" s="30"/>
      <c r="D70" s="30"/>
      <c r="E70" s="30"/>
      <c r="F70" s="30"/>
      <c r="G70" s="30"/>
      <c r="H70" s="30"/>
      <c r="I70" s="30"/>
      <c r="J70" s="7"/>
      <c r="K70" s="7"/>
      <c r="L70" s="7"/>
      <c r="M70" s="7"/>
      <c r="N70" s="7"/>
      <c r="O70" s="30"/>
      <c r="P70" s="34"/>
      <c r="Q70" s="7"/>
      <c r="R70" s="35"/>
      <c r="S70" s="30"/>
      <c r="T70" s="34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enableFormatConditionsCalculation="0"/>
  <dimension ref="A1:AU70"/>
  <sheetViews>
    <sheetView zoomScale="125" zoomScaleNormal="125" zoomScalePageLayoutView="125" workbookViewId="0">
      <selection activeCell="A22" sqref="A22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6" width="8.83203125" style="2"/>
    <col min="7" max="7" width="9.1640625" style="2" bestFit="1" customWidth="1"/>
    <col min="8" max="8" width="8.83203125" style="2"/>
    <col min="9" max="9" width="9.5" style="2" bestFit="1" customWidth="1"/>
    <col min="10" max="10" width="8.83203125" style="2"/>
    <col min="11" max="11" width="9.5" style="2" bestFit="1" customWidth="1"/>
    <col min="12" max="13" width="8.83203125" style="2"/>
    <col min="14" max="14" width="10.83203125" style="2" customWidth="1"/>
    <col min="15" max="15" width="8.83203125" style="2"/>
    <col min="16" max="16" width="9.1640625" style="2" bestFit="1" customWidth="1"/>
    <col min="17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70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41">
        <v>491400</v>
      </c>
      <c r="C6" s="41">
        <v>0</v>
      </c>
      <c r="D6" s="9">
        <v>0</v>
      </c>
      <c r="E6" s="41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41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41">
        <v>491400</v>
      </c>
      <c r="C10" s="41">
        <v>0</v>
      </c>
      <c r="D10" s="9">
        <v>0</v>
      </c>
      <c r="E10" s="41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41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70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76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790229</v>
      </c>
      <c r="C17" s="41">
        <v>74338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41">
        <v>1755000</v>
      </c>
      <c r="M17" s="9"/>
      <c r="N17" s="41">
        <f>1829338</f>
        <v>1829338</v>
      </c>
      <c r="O17" s="3"/>
      <c r="P17" s="47"/>
      <c r="Q17" s="3"/>
      <c r="R17" s="3"/>
      <c r="S17" s="3"/>
      <c r="T17" s="3"/>
    </row>
    <row r="18" spans="1:20" ht="15">
      <c r="A18" s="8" t="s">
        <v>22</v>
      </c>
      <c r="B18" s="9">
        <v>97697</v>
      </c>
      <c r="C18" s="9">
        <v>13546</v>
      </c>
      <c r="D18" s="9">
        <v>0</v>
      </c>
      <c r="E18" s="9">
        <v>0</v>
      </c>
      <c r="F18" s="9">
        <v>0</v>
      </c>
      <c r="G18" s="9">
        <v>69537</v>
      </c>
      <c r="H18" s="9">
        <v>0</v>
      </c>
      <c r="I18" s="9"/>
      <c r="J18" s="9"/>
      <c r="K18" s="9"/>
      <c r="L18" s="9">
        <v>28949</v>
      </c>
      <c r="M18" s="9"/>
      <c r="N18" s="9">
        <v>112031</v>
      </c>
      <c r="O18" s="3"/>
      <c r="P18" s="47"/>
      <c r="Q18" s="3"/>
      <c r="R18" s="3"/>
      <c r="S18" s="3"/>
      <c r="T18" s="3"/>
    </row>
    <row r="19" spans="1:20" ht="15">
      <c r="A19" s="8" t="s">
        <v>23</v>
      </c>
      <c r="B19" s="9">
        <v>22300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0">
        <v>22635</v>
      </c>
      <c r="N19" s="41">
        <v>22635</v>
      </c>
      <c r="O19" s="3"/>
      <c r="P19" s="47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47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47"/>
      <c r="Q21" s="3"/>
      <c r="R21" s="3"/>
      <c r="S21" s="3"/>
      <c r="T21" s="3"/>
    </row>
    <row r="22" spans="1:20" ht="15">
      <c r="A22" s="42" t="s">
        <v>77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47"/>
      <c r="Q22" s="3"/>
      <c r="R22" s="3"/>
      <c r="S22" s="3"/>
      <c r="T22" s="3"/>
    </row>
    <row r="23" spans="1:20" ht="15">
      <c r="A23" s="8" t="s">
        <v>17</v>
      </c>
      <c r="B23" s="9">
        <v>910226</v>
      </c>
      <c r="C23" s="9">
        <f>13546+74338</f>
        <v>87884</v>
      </c>
      <c r="D23" s="9">
        <v>0</v>
      </c>
      <c r="E23" s="9">
        <v>0</v>
      </c>
      <c r="F23" s="9">
        <v>0</v>
      </c>
      <c r="G23" s="9">
        <v>69537</v>
      </c>
      <c r="H23" s="9">
        <v>0</v>
      </c>
      <c r="I23" s="9"/>
      <c r="J23" s="9"/>
      <c r="K23" s="9"/>
      <c r="L23" s="9">
        <v>1783949</v>
      </c>
      <c r="M23" s="41">
        <v>22635</v>
      </c>
      <c r="N23" s="41">
        <v>1964005</v>
      </c>
      <c r="O23" s="3"/>
      <c r="P23" s="47"/>
      <c r="Q23" s="3"/>
      <c r="R23" s="3" t="s">
        <v>26</v>
      </c>
      <c r="S23" s="12">
        <f>N42/1000</f>
        <v>12294.23148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669.50747999999999</v>
      </c>
      <c r="T26" s="14">
        <f>M43</f>
        <v>5.4457041994787618E-2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32</v>
      </c>
      <c r="S27" s="13">
        <f>G42/1000</f>
        <v>176.023</v>
      </c>
      <c r="T27" s="15">
        <f>G43</f>
        <v>1.4317527719105546E-2</v>
      </c>
    </row>
    <row r="28" spans="1:20" ht="15">
      <c r="A28" s="4" t="s">
        <v>70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76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71.950999999999993</v>
      </c>
      <c r="T29" s="14">
        <f>F43</f>
        <v>5.8524194958463555E-3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34</v>
      </c>
      <c r="S30" s="12">
        <f>E42/1000</f>
        <v>0</v>
      </c>
      <c r="T30" s="14">
        <f>E43</f>
        <v>0</v>
      </c>
    </row>
    <row r="31" spans="1:20" ht="15">
      <c r="A31" s="5" t="s">
        <v>35</v>
      </c>
      <c r="B31" s="9">
        <v>0</v>
      </c>
      <c r="C31" s="9">
        <v>7223</v>
      </c>
      <c r="D31" s="9">
        <v>0</v>
      </c>
      <c r="E31" s="9">
        <v>0</v>
      </c>
      <c r="F31" s="9">
        <v>745</v>
      </c>
      <c r="G31" s="9">
        <v>0</v>
      </c>
      <c r="H31" s="9">
        <v>0</v>
      </c>
      <c r="I31" s="9"/>
      <c r="J31" s="9"/>
      <c r="K31" s="9"/>
      <c r="L31" s="9"/>
      <c r="M31" s="9">
        <v>22051</v>
      </c>
      <c r="N31" s="9">
        <v>30019</v>
      </c>
      <c r="O31" s="16">
        <f>N31/N$39</f>
        <v>2.6023931024055859E-3</v>
      </c>
      <c r="P31" s="17" t="s">
        <v>36</v>
      </c>
      <c r="Q31" s="3"/>
      <c r="R31" s="3" t="s">
        <v>37</v>
      </c>
      <c r="S31" s="13">
        <f>C42/1000</f>
        <v>1001.599</v>
      </c>
      <c r="T31" s="15">
        <f>C43</f>
        <v>8.1469020786649443E-2</v>
      </c>
    </row>
    <row r="32" spans="1:20" ht="15">
      <c r="A32" s="5" t="s">
        <v>38</v>
      </c>
      <c r="B32" s="9">
        <v>81258</v>
      </c>
      <c r="C32" s="9">
        <v>27984</v>
      </c>
      <c r="D32" s="48">
        <v>8591202</v>
      </c>
      <c r="E32" s="45">
        <v>0</v>
      </c>
      <c r="F32" s="9">
        <v>1861</v>
      </c>
      <c r="G32" s="45">
        <v>63285</v>
      </c>
      <c r="H32" s="9">
        <v>0</v>
      </c>
      <c r="I32" s="9"/>
      <c r="J32" s="9"/>
      <c r="K32" s="9"/>
      <c r="L32" s="41">
        <v>0</v>
      </c>
      <c r="M32" s="41">
        <v>337518</v>
      </c>
      <c r="N32" s="36">
        <f>SUM(B32:M32)</f>
        <v>9103108</v>
      </c>
      <c r="O32" s="16">
        <f>N32/N$39</f>
        <v>0.78916237948143209</v>
      </c>
      <c r="P32" s="17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9">
        <v>111086</v>
      </c>
      <c r="C33" s="9">
        <v>29578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145400</v>
      </c>
      <c r="N33" s="9">
        <v>286064</v>
      </c>
      <c r="O33" s="16">
        <f>N33/N$39</f>
        <v>2.4799326441472119E-2</v>
      </c>
      <c r="P33" s="17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715983</v>
      </c>
      <c r="D34" s="9">
        <v>0</v>
      </c>
      <c r="E34" s="9">
        <v>0</v>
      </c>
      <c r="F34" s="9">
        <v>69344</v>
      </c>
      <c r="G34" s="9">
        <v>0</v>
      </c>
      <c r="H34" s="9">
        <v>0</v>
      </c>
      <c r="I34" s="9"/>
      <c r="J34" s="9"/>
      <c r="K34" s="9"/>
      <c r="L34" s="9"/>
      <c r="M34" s="9">
        <v>2635</v>
      </c>
      <c r="N34" s="9">
        <v>787963</v>
      </c>
      <c r="O34" s="16">
        <f>N34/N$39</f>
        <v>6.8309719715873699E-2</v>
      </c>
      <c r="P34" s="17" t="s">
        <v>44</v>
      </c>
      <c r="Q34" s="3"/>
      <c r="R34" s="3"/>
      <c r="S34" s="13">
        <f>SUM(S26:S33)</f>
        <v>1919.0804800000001</v>
      </c>
      <c r="T34" s="14">
        <f>SUM(T26:T33)</f>
        <v>0.15609600999638895</v>
      </c>
    </row>
    <row r="35" spans="1:47" ht="15">
      <c r="A35" s="5" t="s">
        <v>45</v>
      </c>
      <c r="B35" s="9">
        <v>142316</v>
      </c>
      <c r="C35" s="9">
        <v>132422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323777</v>
      </c>
      <c r="N35" s="9">
        <v>598515</v>
      </c>
      <c r="O35" s="16">
        <f>N35/N$39</f>
        <v>5.1886182340726852E-2</v>
      </c>
      <c r="P35" s="17" t="s">
        <v>46</v>
      </c>
      <c r="Q35" s="17"/>
    </row>
    <row r="36" spans="1:47" ht="15">
      <c r="A36" s="5" t="s">
        <v>47</v>
      </c>
      <c r="B36" s="9">
        <v>198408</v>
      </c>
      <c r="C36" s="9">
        <v>206</v>
      </c>
      <c r="D36" s="9">
        <v>0</v>
      </c>
      <c r="E36" s="9">
        <v>0</v>
      </c>
      <c r="F36" s="9">
        <v>0</v>
      </c>
      <c r="G36" s="9">
        <v>43201</v>
      </c>
      <c r="H36" s="9">
        <v>0</v>
      </c>
      <c r="I36" s="9"/>
      <c r="J36" s="9"/>
      <c r="K36" s="9"/>
      <c r="L36" s="9"/>
      <c r="M36" s="9">
        <v>161779</v>
      </c>
      <c r="N36" s="9">
        <v>403594</v>
      </c>
      <c r="O36" s="17"/>
      <c r="P36" s="17"/>
      <c r="Q36" s="3"/>
      <c r="R36" s="7"/>
      <c r="S36" s="7"/>
      <c r="T36" s="7"/>
    </row>
    <row r="37" spans="1:47" ht="15">
      <c r="A37" s="5" t="s">
        <v>48</v>
      </c>
      <c r="B37" s="9">
        <v>264775</v>
      </c>
      <c r="C37" s="9">
        <v>318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40133</v>
      </c>
      <c r="N37" s="9">
        <v>305226</v>
      </c>
      <c r="O37" s="17"/>
      <c r="P37" s="17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20663</v>
      </c>
      <c r="N38" s="9">
        <v>20663</v>
      </c>
      <c r="O38" s="17">
        <f>SUM(O31:O35)</f>
        <v>0.93676000108191038</v>
      </c>
      <c r="P38" s="17"/>
      <c r="Q38" s="3"/>
      <c r="R38" s="7" t="s">
        <v>50</v>
      </c>
      <c r="S38" s="18">
        <f>N45/1000</f>
        <v>196.69947999999999</v>
      </c>
      <c r="T38" s="7"/>
    </row>
    <row r="39" spans="1:47" ht="15">
      <c r="A39" s="5" t="s">
        <v>17</v>
      </c>
      <c r="B39" s="9">
        <v>797843</v>
      </c>
      <c r="C39" s="9">
        <v>913715</v>
      </c>
      <c r="D39" s="45">
        <v>8591202</v>
      </c>
      <c r="E39" s="45">
        <v>0</v>
      </c>
      <c r="F39" s="9">
        <v>71951</v>
      </c>
      <c r="G39" s="45">
        <f>63285+43201</f>
        <v>106486</v>
      </c>
      <c r="H39" s="9">
        <v>0</v>
      </c>
      <c r="I39" s="9"/>
      <c r="J39" s="9"/>
      <c r="K39" s="9"/>
      <c r="L39" s="41">
        <v>0</v>
      </c>
      <c r="M39" s="9">
        <f>SUM(M31:M38)</f>
        <v>1053956</v>
      </c>
      <c r="N39" s="36">
        <f>SUM(N31:N38)</f>
        <v>11535152</v>
      </c>
      <c r="O39" s="3"/>
      <c r="P39" s="3"/>
      <c r="Q39" s="3"/>
      <c r="R39" s="7" t="s">
        <v>51</v>
      </c>
      <c r="S39" s="19">
        <f>N41/1000</f>
        <v>729.48299999999995</v>
      </c>
      <c r="T39" s="14">
        <f>O41</f>
        <v>6.3239998918089679E-2</v>
      </c>
    </row>
    <row r="40" spans="1:47">
      <c r="R40" s="7" t="s">
        <v>52</v>
      </c>
      <c r="S40" s="19">
        <f>N35/1000</f>
        <v>598.51499999999999</v>
      </c>
      <c r="T40" s="15">
        <f>O35</f>
        <v>5.1886182340726852E-2</v>
      </c>
    </row>
    <row r="41" spans="1:47" ht="15">
      <c r="A41" s="20" t="s">
        <v>53</v>
      </c>
      <c r="B41" s="21">
        <f>B38+B37+B36</f>
        <v>463183</v>
      </c>
      <c r="C41" s="21">
        <f t="shared" ref="C41:N41" si="0">C38+C37+C36</f>
        <v>524</v>
      </c>
      <c r="D41" s="21">
        <f t="shared" si="0"/>
        <v>0</v>
      </c>
      <c r="E41" s="21">
        <f t="shared" si="0"/>
        <v>0</v>
      </c>
      <c r="F41" s="21">
        <f t="shared" si="0"/>
        <v>0</v>
      </c>
      <c r="G41" s="21">
        <f t="shared" si="0"/>
        <v>43201</v>
      </c>
      <c r="H41" s="21">
        <f t="shared" si="0"/>
        <v>0</v>
      </c>
      <c r="I41" s="21">
        <f t="shared" si="0"/>
        <v>0</v>
      </c>
      <c r="J41" s="21">
        <f t="shared" si="0"/>
        <v>0</v>
      </c>
      <c r="K41" s="21">
        <f t="shared" si="0"/>
        <v>0</v>
      </c>
      <c r="L41" s="21">
        <f t="shared" si="0"/>
        <v>0</v>
      </c>
      <c r="M41" s="21">
        <f t="shared" si="0"/>
        <v>222575</v>
      </c>
      <c r="N41" s="21">
        <f t="shared" si="0"/>
        <v>729483</v>
      </c>
      <c r="O41" s="16">
        <f>N41/N$39</f>
        <v>6.3239998918089679E-2</v>
      </c>
      <c r="P41" s="16" t="s">
        <v>54</v>
      </c>
      <c r="Q41" s="7"/>
      <c r="R41" s="7" t="s">
        <v>55</v>
      </c>
      <c r="S41" s="19">
        <f>N33/1000</f>
        <v>286.06400000000002</v>
      </c>
      <c r="T41" s="14">
        <f>O33</f>
        <v>2.4799326441472119E-2</v>
      </c>
    </row>
    <row r="42" spans="1:47" ht="15">
      <c r="A42" s="22" t="s">
        <v>56</v>
      </c>
      <c r="B42" s="21"/>
      <c r="C42" s="23">
        <f>C39+C23+C10</f>
        <v>1001599</v>
      </c>
      <c r="D42" s="23">
        <f t="shared" ref="D42:L42" si="1">D39+D23+D10</f>
        <v>8591202</v>
      </c>
      <c r="E42" s="23">
        <f t="shared" si="1"/>
        <v>0</v>
      </c>
      <c r="F42" s="23">
        <f t="shared" si="1"/>
        <v>71951</v>
      </c>
      <c r="G42" s="23">
        <f t="shared" si="1"/>
        <v>176023</v>
      </c>
      <c r="H42" s="23">
        <f t="shared" si="1"/>
        <v>0</v>
      </c>
      <c r="I42" s="23">
        <f t="shared" si="1"/>
        <v>0</v>
      </c>
      <c r="J42" s="23">
        <f t="shared" si="1"/>
        <v>0</v>
      </c>
      <c r="K42" s="23">
        <f t="shared" si="1"/>
        <v>0</v>
      </c>
      <c r="L42" s="23">
        <f t="shared" si="1"/>
        <v>1783949</v>
      </c>
      <c r="M42" s="23">
        <f>M39+M23-B6+M45</f>
        <v>669507.48</v>
      </c>
      <c r="N42" s="24">
        <f>SUM(C42:M42)</f>
        <v>12294231.48</v>
      </c>
      <c r="O42" s="7"/>
      <c r="P42" s="7"/>
      <c r="Q42" s="7"/>
      <c r="R42" s="7" t="s">
        <v>36</v>
      </c>
      <c r="S42" s="19">
        <f>N31/1000</f>
        <v>30.018999999999998</v>
      </c>
      <c r="T42" s="14">
        <f>O31</f>
        <v>2.6023931024055859E-3</v>
      </c>
    </row>
    <row r="43" spans="1:47" ht="15">
      <c r="A43" s="22" t="s">
        <v>57</v>
      </c>
      <c r="B43" s="21"/>
      <c r="C43" s="16">
        <f t="shared" ref="C43:M43" si="2">C42/$N42</f>
        <v>8.1469020786649443E-2</v>
      </c>
      <c r="D43" s="16">
        <f t="shared" si="2"/>
        <v>0.69879943402529787</v>
      </c>
      <c r="E43" s="16">
        <f t="shared" si="2"/>
        <v>0</v>
      </c>
      <c r="F43" s="16">
        <f t="shared" si="2"/>
        <v>5.8524194958463555E-3</v>
      </c>
      <c r="G43" s="16">
        <f t="shared" si="2"/>
        <v>1.4317527719105546E-2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0.14510455597831318</v>
      </c>
      <c r="M43" s="16">
        <f t="shared" si="2"/>
        <v>5.4457041994787618E-2</v>
      </c>
      <c r="N43" s="16">
        <f>SUM(C43:M43)</f>
        <v>1</v>
      </c>
      <c r="O43" s="7"/>
      <c r="P43" s="7"/>
      <c r="Q43" s="7"/>
      <c r="R43" s="7" t="s">
        <v>58</v>
      </c>
      <c r="S43" s="19">
        <f>N32/1000</f>
        <v>9103.1080000000002</v>
      </c>
      <c r="T43" s="15">
        <f>O32</f>
        <v>0.78916237948143209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19">
        <f>N34/1000</f>
        <v>787.96299999999997</v>
      </c>
      <c r="T44" s="15">
        <f>O34</f>
        <v>6.8309719715873699E-2</v>
      </c>
    </row>
    <row r="45" spans="1:47" ht="15">
      <c r="A45" s="6" t="s">
        <v>60</v>
      </c>
      <c r="B45" s="6">
        <f>B23-B39</f>
        <v>112383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5">
        <f>M39*0.08</f>
        <v>84316.479999999996</v>
      </c>
      <c r="N45" s="24">
        <f>B45+M45</f>
        <v>196699.47999999998</v>
      </c>
      <c r="O45" s="7"/>
      <c r="P45" s="7"/>
      <c r="Q45" s="7"/>
      <c r="R45" s="7" t="s">
        <v>61</v>
      </c>
      <c r="S45" s="19">
        <f>SUM(S39:S44)</f>
        <v>11535.152</v>
      </c>
      <c r="T45" s="14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75</v>
      </c>
      <c r="B47" s="38">
        <f>(B23-B39)/B23</f>
        <v>0.12346713893033159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4"/>
      <c r="R47" s="4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"/>
      <c r="AH47" s="4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>
      <c r="A48" s="26"/>
      <c r="B48" s="4"/>
      <c r="C48" s="26"/>
      <c r="D48" s="26"/>
      <c r="E48" s="37"/>
      <c r="F48" s="37"/>
      <c r="G48" s="26"/>
      <c r="H48" s="37"/>
      <c r="I48" s="26"/>
      <c r="J48" s="26"/>
      <c r="K48" s="26"/>
      <c r="L48" s="26"/>
      <c r="M48" s="26"/>
      <c r="N48" s="26"/>
      <c r="O48" s="37"/>
      <c r="P48" s="26"/>
      <c r="Q48" s="26"/>
      <c r="R48" s="4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4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>
      <c r="A49" s="26"/>
      <c r="B49" s="4"/>
      <c r="C49" s="26"/>
      <c r="D49" s="26"/>
      <c r="E49" s="26"/>
      <c r="F49" s="26"/>
      <c r="G49" s="26"/>
      <c r="H49" s="26"/>
      <c r="I49" s="9"/>
      <c r="J49" s="26"/>
      <c r="K49" s="26"/>
      <c r="L49" s="26"/>
      <c r="M49" s="26"/>
      <c r="N49" s="26"/>
      <c r="O49" s="26"/>
      <c r="P49" s="26"/>
      <c r="Q49" s="26"/>
      <c r="R49" s="4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4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>
      <c r="A50" s="26"/>
      <c r="B50" s="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4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4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4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4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>
      <c r="A52" s="26"/>
      <c r="B52" s="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4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4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9"/>
      <c r="L53" s="26"/>
      <c r="M53" s="26"/>
      <c r="N53" s="26"/>
      <c r="O53" s="26"/>
      <c r="P53" s="26"/>
      <c r="Q53" s="26"/>
      <c r="R53" s="4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4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>
      <c r="A54" s="26"/>
      <c r="B54" s="4"/>
      <c r="C54" s="26"/>
      <c r="D54" s="26"/>
      <c r="E54" s="26"/>
      <c r="F54" s="26"/>
      <c r="G54" s="9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4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4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>
      <c r="A55" s="26"/>
      <c r="B55" s="4"/>
      <c r="C55" s="26"/>
      <c r="D55" s="26"/>
      <c r="E55" s="37"/>
      <c r="F55" s="37"/>
      <c r="G55" s="26"/>
      <c r="H55" s="37"/>
      <c r="I55" s="26"/>
      <c r="J55" s="26"/>
      <c r="K55" s="26"/>
      <c r="L55" s="26"/>
      <c r="M55" s="26"/>
      <c r="N55" s="26"/>
      <c r="O55" s="37"/>
      <c r="P55" s="26"/>
      <c r="Q55" s="26"/>
      <c r="R55" s="4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4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>
      <c r="A56" s="26"/>
      <c r="B56" s="4"/>
      <c r="C56" s="26"/>
      <c r="D56" s="26"/>
      <c r="E56" s="37"/>
      <c r="F56" s="37"/>
      <c r="G56" s="26"/>
      <c r="H56" s="37"/>
      <c r="I56" s="26"/>
      <c r="J56" s="26"/>
      <c r="K56" s="26"/>
      <c r="L56" s="26"/>
      <c r="M56" s="26"/>
      <c r="N56" s="26"/>
      <c r="O56" s="37"/>
      <c r="P56" s="26"/>
      <c r="Q56" s="26"/>
      <c r="R56" s="4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4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ht="15">
      <c r="A57" s="7"/>
      <c r="B57" s="7"/>
      <c r="C57" s="27"/>
      <c r="D57" s="27"/>
      <c r="E57" s="27"/>
      <c r="F57" s="27"/>
      <c r="G57" s="27"/>
      <c r="H57" s="27"/>
      <c r="I57" s="27"/>
      <c r="J57" s="27"/>
      <c r="K57" s="27"/>
      <c r="L57" s="6"/>
      <c r="M57" s="28"/>
      <c r="N57" s="7"/>
      <c r="O57" s="6"/>
      <c r="P57" s="14"/>
      <c r="Q57" s="7"/>
      <c r="R57" s="7"/>
      <c r="S57" s="6"/>
      <c r="T57" s="29"/>
    </row>
    <row r="58" spans="1:47" ht="15">
      <c r="A58" s="7"/>
      <c r="B58" s="7"/>
      <c r="C58" s="27"/>
      <c r="D58" s="27"/>
      <c r="E58" s="27"/>
      <c r="F58" s="27"/>
      <c r="G58" s="27"/>
      <c r="H58" s="27"/>
      <c r="I58" s="27"/>
      <c r="J58" s="27"/>
      <c r="K58" s="27"/>
      <c r="L58" s="6"/>
      <c r="M58" s="28"/>
      <c r="N58" s="7"/>
      <c r="O58" s="6"/>
      <c r="P58" s="14"/>
      <c r="Q58" s="7"/>
      <c r="R58" s="7"/>
      <c r="S58" s="6"/>
      <c r="T58" s="29"/>
    </row>
    <row r="59" spans="1:47" ht="15">
      <c r="A59" s="7"/>
      <c r="B59" s="7"/>
      <c r="C59" s="27"/>
      <c r="D59" s="27"/>
      <c r="E59" s="27"/>
      <c r="F59" s="27"/>
      <c r="G59" s="27"/>
      <c r="H59" s="27"/>
      <c r="I59" s="27"/>
      <c r="J59" s="27"/>
      <c r="K59" s="27"/>
      <c r="L59" s="6"/>
      <c r="M59" s="28"/>
      <c r="N59" s="7"/>
      <c r="O59" s="6"/>
      <c r="P59" s="14"/>
      <c r="Q59" s="7"/>
      <c r="R59" s="7"/>
      <c r="S59" s="6"/>
      <c r="T59" s="29"/>
    </row>
    <row r="60" spans="1:47" ht="15">
      <c r="A60" s="22"/>
      <c r="B60" s="7"/>
      <c r="C60" s="27"/>
      <c r="D60" s="27"/>
      <c r="E60" s="27"/>
      <c r="F60" s="27"/>
      <c r="G60" s="27"/>
      <c r="H60" s="27"/>
      <c r="I60" s="27"/>
      <c r="J60" s="27"/>
      <c r="K60" s="27"/>
      <c r="L60" s="6"/>
      <c r="M60" s="28"/>
      <c r="N60" s="7"/>
      <c r="O60" s="6"/>
      <c r="P60" s="14"/>
      <c r="Q60" s="7"/>
      <c r="R60" s="7"/>
      <c r="S60" s="6"/>
      <c r="T60" s="29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8"/>
      <c r="N61" s="7"/>
      <c r="O61" s="6"/>
      <c r="P61" s="14"/>
      <c r="Q61" s="7"/>
      <c r="R61" s="7"/>
      <c r="S61" s="30"/>
      <c r="T61" s="31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2"/>
      <c r="C63" s="32"/>
      <c r="D63" s="32"/>
      <c r="E63" s="32"/>
      <c r="F63" s="32"/>
      <c r="G63" s="32"/>
      <c r="H63" s="32"/>
      <c r="I63" s="32"/>
      <c r="J63" s="7"/>
      <c r="K63" s="7"/>
      <c r="L63" s="7"/>
      <c r="M63" s="7"/>
      <c r="N63" s="7"/>
      <c r="O63" s="7"/>
      <c r="P63" s="7"/>
      <c r="Q63" s="7"/>
      <c r="R63" s="7"/>
      <c r="S63" s="32"/>
      <c r="T63" s="33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8"/>
      <c r="Q64" s="7"/>
      <c r="R64" s="7"/>
      <c r="S64" s="6"/>
      <c r="T64" s="29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8"/>
      <c r="Q65" s="7"/>
      <c r="R65" s="7"/>
      <c r="S65" s="6"/>
      <c r="T65" s="29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8"/>
      <c r="Q66" s="7"/>
      <c r="R66" s="7"/>
      <c r="S66" s="6"/>
      <c r="T66" s="29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8"/>
      <c r="Q67" s="7"/>
      <c r="R67" s="7"/>
      <c r="S67" s="6"/>
      <c r="T67" s="29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8"/>
      <c r="Q68" s="7"/>
      <c r="R68" s="7"/>
      <c r="S68" s="6"/>
      <c r="T68" s="29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8"/>
      <c r="Q69" s="7"/>
      <c r="R69" s="7"/>
      <c r="S69" s="6"/>
      <c r="T69" s="29"/>
    </row>
    <row r="70" spans="1:20" ht="15">
      <c r="A70" s="7"/>
      <c r="B70" s="30"/>
      <c r="C70" s="30"/>
      <c r="D70" s="30"/>
      <c r="E70" s="30"/>
      <c r="F70" s="30"/>
      <c r="G70" s="30"/>
      <c r="H70" s="30"/>
      <c r="I70" s="30"/>
      <c r="J70" s="7"/>
      <c r="K70" s="7"/>
      <c r="L70" s="7"/>
      <c r="M70" s="7"/>
      <c r="N70" s="7"/>
      <c r="O70" s="30"/>
      <c r="P70" s="34"/>
      <c r="Q70" s="7"/>
      <c r="R70" s="35"/>
      <c r="S70" s="30"/>
      <c r="T70" s="34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 enableFormatConditionsCalculation="0"/>
  <dimension ref="A1:AU70"/>
  <sheetViews>
    <sheetView zoomScale="125" zoomScaleNormal="125" zoomScalePageLayoutView="125" workbookViewId="0">
      <selection activeCell="A22" sqref="A22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71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41">
        <v>0</v>
      </c>
      <c r="C6" s="41">
        <v>0</v>
      </c>
      <c r="D6" s="41">
        <v>0</v>
      </c>
      <c r="E6" s="9">
        <v>0</v>
      </c>
      <c r="F6" s="41">
        <v>0</v>
      </c>
      <c r="G6" s="41">
        <v>0</v>
      </c>
      <c r="H6" s="9">
        <v>0</v>
      </c>
      <c r="I6" s="9"/>
      <c r="J6" s="9"/>
      <c r="K6" s="9"/>
      <c r="L6" s="9"/>
      <c r="M6" s="9"/>
      <c r="N6" s="41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144271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45">
        <v>137597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45">
        <f>144271+137597</f>
        <v>281868</v>
      </c>
      <c r="C10" s="41">
        <v>0</v>
      </c>
      <c r="D10" s="41">
        <v>0</v>
      </c>
      <c r="E10" s="9">
        <v>0</v>
      </c>
      <c r="F10" s="41">
        <v>0</v>
      </c>
      <c r="G10" s="41">
        <v>0</v>
      </c>
      <c r="H10" s="9">
        <v>0</v>
      </c>
      <c r="I10" s="9"/>
      <c r="J10" s="9"/>
      <c r="K10" s="9"/>
      <c r="L10" s="9"/>
      <c r="M10" s="9"/>
      <c r="N10" s="41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71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11648</v>
      </c>
      <c r="C18" s="9">
        <v>687</v>
      </c>
      <c r="D18" s="9">
        <v>0</v>
      </c>
      <c r="E18" s="9">
        <v>1752</v>
      </c>
      <c r="F18" s="9">
        <v>0</v>
      </c>
      <c r="G18" s="9">
        <v>11383</v>
      </c>
      <c r="H18" s="9">
        <v>0</v>
      </c>
      <c r="I18" s="9"/>
      <c r="J18" s="9"/>
      <c r="K18" s="9"/>
      <c r="L18" s="9"/>
      <c r="M18" s="9"/>
      <c r="N18" s="9">
        <v>13821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148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0">
        <v>150</v>
      </c>
      <c r="N19" s="41">
        <v>150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265667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42" t="s">
        <v>77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277463</v>
      </c>
      <c r="C23" s="9">
        <v>687</v>
      </c>
      <c r="D23" s="9">
        <v>0</v>
      </c>
      <c r="E23" s="9">
        <v>1752</v>
      </c>
      <c r="F23" s="9">
        <v>0</v>
      </c>
      <c r="G23" s="9">
        <v>11383</v>
      </c>
      <c r="H23" s="9">
        <v>0</v>
      </c>
      <c r="I23" s="9"/>
      <c r="J23" s="9"/>
      <c r="K23" s="9"/>
      <c r="L23" s="9"/>
      <c r="M23" s="41">
        <v>150</v>
      </c>
      <c r="N23" s="41">
        <f>13821+150</f>
        <v>13971</v>
      </c>
      <c r="O23" s="3"/>
      <c r="P23" s="3"/>
      <c r="Q23" s="3"/>
      <c r="R23" s="3" t="s">
        <v>26</v>
      </c>
      <c r="S23" s="12">
        <f>N42/1000</f>
        <v>5218.2969199999998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963.34692000000007</v>
      </c>
      <c r="T26" s="14">
        <f>M43</f>
        <v>0.18460944916871461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32</v>
      </c>
      <c r="S27" s="13">
        <f>G42/1000</f>
        <v>1569.441</v>
      </c>
      <c r="T27" s="15">
        <f>G43</f>
        <v>0.30075732064705896</v>
      </c>
    </row>
    <row r="28" spans="1:20" ht="15">
      <c r="A28" s="4" t="s">
        <v>71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5.8</v>
      </c>
      <c r="T28" s="14">
        <f>J43</f>
        <v>1.111473741130085E-3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82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43.53</v>
      </c>
      <c r="T29" s="14">
        <f>F43</f>
        <v>8.3418020605849318E-3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34</v>
      </c>
      <c r="S30" s="12">
        <f>E42/1000</f>
        <v>35.021999999999998</v>
      </c>
      <c r="T30" s="14">
        <f>E43</f>
        <v>6.7113850623892824E-3</v>
      </c>
    </row>
    <row r="31" spans="1:20" ht="15">
      <c r="A31" s="5" t="s">
        <v>35</v>
      </c>
      <c r="B31" s="9">
        <v>0</v>
      </c>
      <c r="C31" s="9">
        <v>9732</v>
      </c>
      <c r="D31" s="9">
        <v>0</v>
      </c>
      <c r="E31" s="9">
        <v>0</v>
      </c>
      <c r="F31" s="9">
        <v>981</v>
      </c>
      <c r="G31" s="9">
        <v>0</v>
      </c>
      <c r="H31" s="9">
        <v>0</v>
      </c>
      <c r="I31" s="9"/>
      <c r="J31" s="9"/>
      <c r="K31" s="9"/>
      <c r="L31" s="9"/>
      <c r="M31" s="9">
        <v>6450</v>
      </c>
      <c r="N31" s="9">
        <v>17163</v>
      </c>
      <c r="O31" s="16">
        <f>N31/N$39</f>
        <v>3.2005707805771244E-3</v>
      </c>
      <c r="P31" s="17" t="s">
        <v>36</v>
      </c>
      <c r="Q31" s="3"/>
      <c r="R31" s="3" t="s">
        <v>37</v>
      </c>
      <c r="S31" s="13">
        <f>C42/1000</f>
        <v>603.029</v>
      </c>
      <c r="T31" s="15">
        <f>C43</f>
        <v>0.11556049976550586</v>
      </c>
    </row>
    <row r="32" spans="1:20" ht="15">
      <c r="A32" s="5" t="s">
        <v>38</v>
      </c>
      <c r="B32" s="9">
        <v>17407</v>
      </c>
      <c r="C32" s="9">
        <v>126849</v>
      </c>
      <c r="D32" s="45">
        <v>0</v>
      </c>
      <c r="E32" s="45">
        <v>33270</v>
      </c>
      <c r="F32" s="45">
        <v>0</v>
      </c>
      <c r="G32" s="45">
        <f>634000+221508+21646+53508+119302+8200+430690</f>
        <v>1488854</v>
      </c>
      <c r="H32" s="9">
        <v>0</v>
      </c>
      <c r="I32" s="41">
        <v>1933697</v>
      </c>
      <c r="J32" s="41">
        <v>5800</v>
      </c>
      <c r="K32" s="9"/>
      <c r="L32" s="41">
        <f>8181+5150+24530+26570</f>
        <v>64431</v>
      </c>
      <c r="M32" s="9">
        <f>986393-475986</f>
        <v>510407</v>
      </c>
      <c r="N32" s="9">
        <v>4180715</v>
      </c>
      <c r="O32" s="16">
        <f>N32/N$39</f>
        <v>0.77962327512209362</v>
      </c>
      <c r="P32" s="17" t="s">
        <v>39</v>
      </c>
      <c r="Q32" s="3"/>
      <c r="R32" s="3" t="s">
        <v>40</v>
      </c>
      <c r="S32" s="13">
        <f>I42/1000</f>
        <v>1933.6969999999999</v>
      </c>
      <c r="T32" s="14">
        <f>I43</f>
        <v>0.37056093772448656</v>
      </c>
    </row>
    <row r="33" spans="1:47" ht="15">
      <c r="A33" s="5" t="s">
        <v>41</v>
      </c>
      <c r="B33" s="9">
        <v>43249</v>
      </c>
      <c r="C33" s="9">
        <v>1227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54332</v>
      </c>
      <c r="N33" s="9">
        <v>98808</v>
      </c>
      <c r="O33" s="16">
        <f>N33/N$39</f>
        <v>1.8425799550618453E-2</v>
      </c>
      <c r="P33" s="17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463778</v>
      </c>
      <c r="D34" s="9">
        <v>0</v>
      </c>
      <c r="E34" s="9">
        <v>0</v>
      </c>
      <c r="F34" s="9">
        <v>42549</v>
      </c>
      <c r="G34" s="9">
        <v>0</v>
      </c>
      <c r="H34" s="9">
        <v>0</v>
      </c>
      <c r="I34" s="9"/>
      <c r="J34" s="9"/>
      <c r="K34" s="9"/>
      <c r="L34" s="9"/>
      <c r="M34" s="9">
        <v>1633</v>
      </c>
      <c r="N34" s="9">
        <v>507960</v>
      </c>
      <c r="O34" s="16">
        <f>N34/N$39</f>
        <v>9.4724811146184015E-2</v>
      </c>
      <c r="P34" s="17" t="s">
        <v>44</v>
      </c>
      <c r="Q34" s="3"/>
      <c r="R34" s="3"/>
      <c r="S34" s="13">
        <f>SUM(S26:S33)</f>
        <v>5153.8659200000002</v>
      </c>
      <c r="T34" s="14">
        <f>SUM(T26:T33)</f>
        <v>0.98765286816987019</v>
      </c>
    </row>
    <row r="35" spans="1:47" ht="15">
      <c r="A35" s="5" t="s">
        <v>45</v>
      </c>
      <c r="B35" s="9">
        <v>38535</v>
      </c>
      <c r="C35" s="9">
        <v>395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88397</v>
      </c>
      <c r="N35" s="9">
        <v>127327</v>
      </c>
      <c r="O35" s="16">
        <f>N35/N$39</f>
        <v>2.3744046832054045E-2</v>
      </c>
      <c r="P35" s="17" t="s">
        <v>46</v>
      </c>
      <c r="Q35" s="17"/>
    </row>
    <row r="36" spans="1:47" ht="15">
      <c r="A36" s="5" t="s">
        <v>47</v>
      </c>
      <c r="B36" s="9">
        <v>47348</v>
      </c>
      <c r="C36" s="9">
        <v>233</v>
      </c>
      <c r="D36" s="9">
        <v>0</v>
      </c>
      <c r="E36" s="9">
        <v>0</v>
      </c>
      <c r="F36" s="9">
        <v>0</v>
      </c>
      <c r="G36" s="9">
        <v>69204</v>
      </c>
      <c r="H36" s="9">
        <v>0</v>
      </c>
      <c r="I36" s="9"/>
      <c r="J36" s="9"/>
      <c r="K36" s="9"/>
      <c r="L36" s="9"/>
      <c r="M36" s="9">
        <v>187306</v>
      </c>
      <c r="N36" s="9">
        <v>304091</v>
      </c>
      <c r="O36" s="17"/>
      <c r="P36" s="17"/>
      <c r="Q36" s="3"/>
      <c r="R36" s="7"/>
      <c r="S36" s="7"/>
      <c r="T36" s="7"/>
    </row>
    <row r="37" spans="1:47" ht="15">
      <c r="A37" s="5" t="s">
        <v>48</v>
      </c>
      <c r="B37" s="9">
        <v>82965</v>
      </c>
      <c r="C37" s="9">
        <v>127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20939</v>
      </c>
      <c r="N37" s="9">
        <v>104032</v>
      </c>
      <c r="O37" s="17"/>
      <c r="P37" s="17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22385</v>
      </c>
      <c r="N38" s="9">
        <v>22385</v>
      </c>
      <c r="O38" s="17">
        <f>SUM(O31:O35)</f>
        <v>0.91971850343152717</v>
      </c>
      <c r="P38" s="17"/>
      <c r="Q38" s="3"/>
      <c r="R38" s="7" t="s">
        <v>50</v>
      </c>
      <c r="S38" s="18">
        <f>N45/1000</f>
        <v>119.30692000000001</v>
      </c>
      <c r="T38" s="7"/>
    </row>
    <row r="39" spans="1:47" ht="15">
      <c r="A39" s="5" t="s">
        <v>17</v>
      </c>
      <c r="B39" s="9">
        <v>229504</v>
      </c>
      <c r="C39" s="9">
        <v>602342</v>
      </c>
      <c r="D39" s="45">
        <v>0</v>
      </c>
      <c r="E39" s="45">
        <v>33270</v>
      </c>
      <c r="F39" s="45">
        <f>42549+981</f>
        <v>43530</v>
      </c>
      <c r="G39" s="45">
        <f>1488854+69204</f>
        <v>1558058</v>
      </c>
      <c r="H39" s="9">
        <v>0</v>
      </c>
      <c r="I39" s="41">
        <f>1933697</f>
        <v>1933697</v>
      </c>
      <c r="J39" s="41">
        <v>5800</v>
      </c>
      <c r="K39" s="9"/>
      <c r="L39" s="41">
        <f>13331+24530+26570</f>
        <v>64431</v>
      </c>
      <c r="M39" s="9">
        <f>SUM(M31:M38)</f>
        <v>891849</v>
      </c>
      <c r="N39" s="9">
        <v>5362481</v>
      </c>
      <c r="O39" s="3"/>
      <c r="P39" s="3"/>
      <c r="Q39" s="3"/>
      <c r="R39" s="7" t="s">
        <v>51</v>
      </c>
      <c r="S39" s="19">
        <f>N41/1000</f>
        <v>430.50799999999998</v>
      </c>
      <c r="T39" s="14">
        <f>O41</f>
        <v>8.0281496568472693E-2</v>
      </c>
    </row>
    <row r="40" spans="1:47">
      <c r="R40" s="7" t="s">
        <v>52</v>
      </c>
      <c r="S40" s="19">
        <f>N35/1000</f>
        <v>127.327</v>
      </c>
      <c r="T40" s="15">
        <f>O35</f>
        <v>2.3744046832054045E-2</v>
      </c>
    </row>
    <row r="41" spans="1:47" ht="15">
      <c r="A41" s="20" t="s">
        <v>53</v>
      </c>
      <c r="B41" s="21">
        <f>B38+B37+B36</f>
        <v>130313</v>
      </c>
      <c r="C41" s="21">
        <f t="shared" ref="C41:N41" si="0">C38+C37+C36</f>
        <v>360</v>
      </c>
      <c r="D41" s="21">
        <f t="shared" si="0"/>
        <v>0</v>
      </c>
      <c r="E41" s="21">
        <f t="shared" si="0"/>
        <v>0</v>
      </c>
      <c r="F41" s="21">
        <f t="shared" si="0"/>
        <v>0</v>
      </c>
      <c r="G41" s="21">
        <f t="shared" si="0"/>
        <v>69204</v>
      </c>
      <c r="H41" s="21">
        <f t="shared" si="0"/>
        <v>0</v>
      </c>
      <c r="I41" s="21">
        <f t="shared" si="0"/>
        <v>0</v>
      </c>
      <c r="J41" s="21">
        <f t="shared" si="0"/>
        <v>0</v>
      </c>
      <c r="K41" s="21">
        <f t="shared" si="0"/>
        <v>0</v>
      </c>
      <c r="L41" s="21">
        <f t="shared" si="0"/>
        <v>0</v>
      </c>
      <c r="M41" s="21">
        <f t="shared" si="0"/>
        <v>230630</v>
      </c>
      <c r="N41" s="21">
        <f t="shared" si="0"/>
        <v>430508</v>
      </c>
      <c r="O41" s="16">
        <f>N41/N$39</f>
        <v>8.0281496568472693E-2</v>
      </c>
      <c r="P41" s="16" t="s">
        <v>54</v>
      </c>
      <c r="Q41" s="7"/>
      <c r="R41" s="7" t="s">
        <v>55</v>
      </c>
      <c r="S41" s="19">
        <f>N33/1000</f>
        <v>98.808000000000007</v>
      </c>
      <c r="T41" s="14">
        <f>O33</f>
        <v>1.8425799550618453E-2</v>
      </c>
    </row>
    <row r="42" spans="1:47" ht="15">
      <c r="A42" s="22" t="s">
        <v>56</v>
      </c>
      <c r="B42" s="21"/>
      <c r="C42" s="23">
        <f>C39+C23+C10</f>
        <v>603029</v>
      </c>
      <c r="D42" s="23">
        <f t="shared" ref="D42:L42" si="1">D39+D23+D10</f>
        <v>0</v>
      </c>
      <c r="E42" s="23">
        <f t="shared" si="1"/>
        <v>35022</v>
      </c>
      <c r="F42" s="23">
        <f t="shared" si="1"/>
        <v>43530</v>
      </c>
      <c r="G42" s="23">
        <f t="shared" si="1"/>
        <v>1569441</v>
      </c>
      <c r="H42" s="23">
        <f t="shared" si="1"/>
        <v>0</v>
      </c>
      <c r="I42" s="23">
        <f t="shared" si="1"/>
        <v>1933697</v>
      </c>
      <c r="J42" s="23">
        <f t="shared" si="1"/>
        <v>5800</v>
      </c>
      <c r="K42" s="23">
        <f t="shared" si="1"/>
        <v>0</v>
      </c>
      <c r="L42" s="23">
        <f t="shared" si="1"/>
        <v>64431</v>
      </c>
      <c r="M42" s="23">
        <f>M39+M23-B6+M45</f>
        <v>963346.92</v>
      </c>
      <c r="N42" s="24">
        <f>SUM(C42:M42)</f>
        <v>5218296.92</v>
      </c>
      <c r="O42" s="7"/>
      <c r="P42" s="7"/>
      <c r="Q42" s="7"/>
      <c r="R42" s="7" t="s">
        <v>36</v>
      </c>
      <c r="S42" s="19">
        <f>N31/1000</f>
        <v>17.163</v>
      </c>
      <c r="T42" s="14">
        <f>O31</f>
        <v>3.2005707805771244E-3</v>
      </c>
    </row>
    <row r="43" spans="1:47" ht="15">
      <c r="A43" s="22" t="s">
        <v>57</v>
      </c>
      <c r="B43" s="21"/>
      <c r="C43" s="16">
        <f t="shared" ref="C43:M43" si="2">C42/$N42</f>
        <v>0.11556049976550586</v>
      </c>
      <c r="D43" s="16">
        <f t="shared" si="2"/>
        <v>0</v>
      </c>
      <c r="E43" s="16">
        <f t="shared" si="2"/>
        <v>6.7113850623892824E-3</v>
      </c>
      <c r="F43" s="16">
        <f t="shared" si="2"/>
        <v>8.3418020605849318E-3</v>
      </c>
      <c r="G43" s="16">
        <f t="shared" si="2"/>
        <v>0.30075732064705896</v>
      </c>
      <c r="H43" s="16">
        <f t="shared" si="2"/>
        <v>0</v>
      </c>
      <c r="I43" s="16">
        <f t="shared" si="2"/>
        <v>0.37056093772448656</v>
      </c>
      <c r="J43" s="16">
        <f t="shared" si="2"/>
        <v>1.111473741130085E-3</v>
      </c>
      <c r="K43" s="16">
        <f t="shared" si="2"/>
        <v>0</v>
      </c>
      <c r="L43" s="16">
        <f t="shared" si="2"/>
        <v>1.2347131830129743E-2</v>
      </c>
      <c r="M43" s="16">
        <f t="shared" si="2"/>
        <v>0.18460944916871461</v>
      </c>
      <c r="N43" s="16">
        <f>SUM(C43:M43)</f>
        <v>0.99999999999999989</v>
      </c>
      <c r="O43" s="7"/>
      <c r="P43" s="7"/>
      <c r="Q43" s="7"/>
      <c r="R43" s="7" t="s">
        <v>58</v>
      </c>
      <c r="S43" s="19">
        <f>N32/1000</f>
        <v>4180.7150000000001</v>
      </c>
      <c r="T43" s="15">
        <f>O32</f>
        <v>0.77962327512209362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19">
        <f>N34/1000</f>
        <v>507.96</v>
      </c>
      <c r="T44" s="15">
        <f>O34</f>
        <v>9.4724811146184015E-2</v>
      </c>
    </row>
    <row r="45" spans="1:47" ht="15">
      <c r="A45" s="6" t="s">
        <v>60</v>
      </c>
      <c r="B45" s="6">
        <f>B23-B39</f>
        <v>47959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5">
        <f>M39*0.08</f>
        <v>71347.92</v>
      </c>
      <c r="N45" s="24">
        <f>B45+M45</f>
        <v>119306.92</v>
      </c>
      <c r="O45" s="7"/>
      <c r="P45" s="7"/>
      <c r="Q45" s="7"/>
      <c r="R45" s="7" t="s">
        <v>61</v>
      </c>
      <c r="S45" s="19">
        <f>SUM(S39:S44)</f>
        <v>5362.4810000000007</v>
      </c>
      <c r="T45" s="14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50</v>
      </c>
      <c r="B47" s="38">
        <f>(B23-B39)/B23</f>
        <v>0.17284827166144676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4"/>
      <c r="R47" s="4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"/>
      <c r="AH47" s="4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>
      <c r="A48" s="26"/>
      <c r="B48" s="4"/>
      <c r="C48" s="26"/>
      <c r="D48" s="26"/>
      <c r="E48" s="37"/>
      <c r="F48" s="37"/>
      <c r="G48" s="37"/>
      <c r="H48" s="37"/>
      <c r="I48" s="26"/>
      <c r="J48" s="26"/>
      <c r="K48" s="26"/>
      <c r="L48" s="26"/>
      <c r="M48" s="26"/>
      <c r="N48" s="26"/>
      <c r="O48" s="26"/>
      <c r="P48" s="26"/>
      <c r="Q48" s="26"/>
      <c r="R48" s="4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4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4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4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>
      <c r="A50" s="26"/>
      <c r="B50" s="4"/>
      <c r="C50" s="26"/>
      <c r="D50" s="26"/>
      <c r="E50" s="26"/>
      <c r="F50" s="9"/>
      <c r="G50" s="9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4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4"/>
      <c r="AI50" s="37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4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4"/>
      <c r="AI51" s="37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>
      <c r="A52" s="26"/>
      <c r="B52" s="4"/>
      <c r="C52" s="26"/>
      <c r="D52" s="26"/>
      <c r="E52" s="26"/>
      <c r="F52" s="26"/>
      <c r="G52" s="26"/>
      <c r="H52" s="26"/>
      <c r="I52" s="9"/>
      <c r="J52" s="26"/>
      <c r="K52" s="26"/>
      <c r="L52" s="26"/>
      <c r="M52" s="26"/>
      <c r="N52" s="26"/>
      <c r="O52" s="26"/>
      <c r="P52" s="26"/>
      <c r="Q52" s="26"/>
      <c r="R52" s="4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4"/>
      <c r="AI52" s="37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4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4"/>
      <c r="AI53" s="37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4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4"/>
      <c r="AI54" s="37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>
      <c r="A55" s="26"/>
      <c r="B55" s="4"/>
      <c r="C55" s="26"/>
      <c r="D55" s="26"/>
      <c r="E55" s="37"/>
      <c r="F55" s="37"/>
      <c r="G55" s="37"/>
      <c r="H55" s="37"/>
      <c r="I55" s="26"/>
      <c r="J55" s="26"/>
      <c r="K55" s="9"/>
      <c r="L55" s="26"/>
      <c r="M55" s="26"/>
      <c r="N55" s="26"/>
      <c r="O55" s="26"/>
      <c r="P55" s="26"/>
      <c r="Q55" s="26"/>
      <c r="R55" s="4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4"/>
      <c r="AI55" s="37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>
      <c r="A56" s="26"/>
      <c r="B56" s="4"/>
      <c r="C56" s="26"/>
      <c r="D56" s="26"/>
      <c r="E56" s="37"/>
      <c r="F56" s="37"/>
      <c r="G56" s="37"/>
      <c r="H56" s="37"/>
      <c r="I56" s="26"/>
      <c r="J56" s="26"/>
      <c r="K56" s="26"/>
      <c r="L56" s="26"/>
      <c r="M56" s="26"/>
      <c r="N56" s="26"/>
      <c r="O56" s="26"/>
      <c r="P56" s="26"/>
      <c r="Q56" s="26"/>
      <c r="R56" s="4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4"/>
      <c r="AI56" s="37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ht="15">
      <c r="A57" s="7"/>
      <c r="B57" s="7"/>
      <c r="C57" s="27"/>
      <c r="D57" s="27"/>
      <c r="E57" s="27"/>
      <c r="F57" s="27"/>
      <c r="G57" s="27"/>
      <c r="H57" s="27"/>
      <c r="I57" s="27"/>
      <c r="J57" s="27"/>
      <c r="K57" s="27"/>
      <c r="L57" s="6"/>
      <c r="M57" s="28"/>
      <c r="N57" s="7"/>
      <c r="O57" s="6"/>
      <c r="P57" s="14"/>
      <c r="Q57" s="7"/>
      <c r="R57" s="7"/>
      <c r="S57" s="6"/>
      <c r="T57" s="29"/>
    </row>
    <row r="58" spans="1:47" ht="15">
      <c r="A58" s="7"/>
      <c r="B58" s="7"/>
      <c r="C58" s="27"/>
      <c r="D58" s="27"/>
      <c r="E58" s="27"/>
      <c r="F58" s="27"/>
      <c r="G58" s="27"/>
      <c r="H58" s="27"/>
      <c r="I58" s="27"/>
      <c r="J58" s="27"/>
      <c r="K58" s="27"/>
      <c r="L58" s="6"/>
      <c r="M58" s="28"/>
      <c r="N58" s="7"/>
      <c r="O58" s="6"/>
      <c r="P58" s="14"/>
      <c r="Q58" s="7"/>
      <c r="R58" s="7"/>
      <c r="S58" s="6"/>
      <c r="T58" s="29"/>
    </row>
    <row r="59" spans="1:47" ht="15">
      <c r="A59" s="7"/>
      <c r="B59" s="7"/>
      <c r="C59" s="27"/>
      <c r="D59" s="27"/>
      <c r="E59" s="27"/>
      <c r="F59" s="27"/>
      <c r="G59" s="27"/>
      <c r="H59" s="27"/>
      <c r="I59" s="27"/>
      <c r="J59" s="27"/>
      <c r="K59" s="27"/>
      <c r="L59" s="6"/>
      <c r="M59" s="28"/>
      <c r="N59" s="7"/>
      <c r="O59" s="6"/>
      <c r="P59" s="14"/>
      <c r="Q59" s="7"/>
      <c r="R59" s="7"/>
      <c r="S59" s="6"/>
      <c r="T59" s="29"/>
    </row>
    <row r="60" spans="1:47" ht="15">
      <c r="A60" s="22"/>
      <c r="B60" s="7"/>
      <c r="C60" s="27"/>
      <c r="D60" s="27"/>
      <c r="E60" s="27"/>
      <c r="F60" s="27"/>
      <c r="G60" s="27"/>
      <c r="H60" s="27"/>
      <c r="I60" s="27"/>
      <c r="J60" s="27"/>
      <c r="K60" s="27"/>
      <c r="L60" s="6"/>
      <c r="M60" s="28"/>
      <c r="N60" s="7"/>
      <c r="O60" s="6"/>
      <c r="P60" s="14"/>
      <c r="Q60" s="7"/>
      <c r="R60" s="7"/>
      <c r="S60" s="6"/>
      <c r="T60" s="29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8"/>
      <c r="N61" s="7"/>
      <c r="O61" s="6"/>
      <c r="P61" s="14"/>
      <c r="Q61" s="7"/>
      <c r="R61" s="7"/>
      <c r="S61" s="30"/>
      <c r="T61" s="31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2"/>
      <c r="C63" s="32"/>
      <c r="D63" s="32"/>
      <c r="E63" s="32"/>
      <c r="F63" s="32"/>
      <c r="G63" s="32"/>
      <c r="H63" s="32"/>
      <c r="I63" s="32"/>
      <c r="J63" s="7"/>
      <c r="K63" s="7"/>
      <c r="L63" s="7"/>
      <c r="M63" s="7"/>
      <c r="N63" s="7"/>
      <c r="O63" s="7"/>
      <c r="P63" s="7"/>
      <c r="Q63" s="7"/>
      <c r="R63" s="7"/>
      <c r="S63" s="32"/>
      <c r="T63" s="33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8"/>
      <c r="Q64" s="7"/>
      <c r="R64" s="7"/>
      <c r="S64" s="6"/>
      <c r="T64" s="29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8"/>
      <c r="Q65" s="7"/>
      <c r="R65" s="7"/>
      <c r="S65" s="6"/>
      <c r="T65" s="29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8"/>
      <c r="Q66" s="7"/>
      <c r="R66" s="7"/>
      <c r="S66" s="6"/>
      <c r="T66" s="29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8"/>
      <c r="Q67" s="7"/>
      <c r="R67" s="7"/>
      <c r="S67" s="6"/>
      <c r="T67" s="29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8"/>
      <c r="Q68" s="7"/>
      <c r="R68" s="7"/>
      <c r="S68" s="6"/>
      <c r="T68" s="29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8"/>
      <c r="Q69" s="7"/>
      <c r="R69" s="7"/>
      <c r="S69" s="6"/>
      <c r="T69" s="29"/>
    </row>
    <row r="70" spans="1:20" ht="15">
      <c r="A70" s="7"/>
      <c r="B70" s="30"/>
      <c r="C70" s="30"/>
      <c r="D70" s="30"/>
      <c r="E70" s="30"/>
      <c r="F70" s="30"/>
      <c r="G70" s="30"/>
      <c r="H70" s="30"/>
      <c r="I70" s="30"/>
      <c r="J70" s="7"/>
      <c r="K70" s="7"/>
      <c r="L70" s="7"/>
      <c r="M70" s="7"/>
      <c r="N70" s="7"/>
      <c r="O70" s="30"/>
      <c r="P70" s="34"/>
      <c r="Q70" s="7"/>
      <c r="R70" s="35"/>
      <c r="S70" s="30"/>
      <c r="T70" s="34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 enableFormatConditionsCalculation="0"/>
  <dimension ref="A1:AU70"/>
  <sheetViews>
    <sheetView zoomScale="125" zoomScaleNormal="125" zoomScalePageLayoutView="125" workbookViewId="0">
      <selection activeCell="A22" sqref="A22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72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23504</v>
      </c>
      <c r="C6" s="41">
        <v>0</v>
      </c>
      <c r="D6" s="44">
        <v>0</v>
      </c>
      <c r="E6" s="9">
        <v>0</v>
      </c>
      <c r="F6" s="9">
        <v>0</v>
      </c>
      <c r="G6" s="40">
        <v>0</v>
      </c>
      <c r="H6" s="9">
        <v>0</v>
      </c>
      <c r="I6" s="9"/>
      <c r="J6" s="9"/>
      <c r="K6" s="40"/>
      <c r="L6" s="9"/>
      <c r="M6" s="9"/>
      <c r="N6" s="41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1624652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1648156</v>
      </c>
      <c r="C10" s="41">
        <v>0</v>
      </c>
      <c r="D10" s="40">
        <v>0</v>
      </c>
      <c r="E10" s="9">
        <v>0</v>
      </c>
      <c r="F10" s="9">
        <v>0</v>
      </c>
      <c r="G10" s="40">
        <v>0</v>
      </c>
      <c r="H10" s="9">
        <v>0</v>
      </c>
      <c r="I10" s="9"/>
      <c r="J10" s="9"/>
      <c r="K10" s="40"/>
      <c r="L10" s="9"/>
      <c r="M10" s="9"/>
      <c r="N10" s="41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72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f>38320+282886</f>
        <v>321206</v>
      </c>
      <c r="C17" s="41">
        <v>4944</v>
      </c>
      <c r="D17" s="40">
        <v>0</v>
      </c>
      <c r="E17" s="9">
        <v>0</v>
      </c>
      <c r="F17" s="9">
        <v>3474</v>
      </c>
      <c r="G17" s="40">
        <v>21704</v>
      </c>
      <c r="H17" s="9">
        <v>0</v>
      </c>
      <c r="I17" s="9"/>
      <c r="J17" s="9"/>
      <c r="K17" s="40">
        <f>276778+(14545*2)</f>
        <v>305868</v>
      </c>
      <c r="L17" s="9"/>
      <c r="M17" s="9"/>
      <c r="N17" s="9">
        <v>335990</v>
      </c>
      <c r="O17" s="3"/>
      <c r="P17" s="3"/>
      <c r="Q17" s="47"/>
      <c r="R17" s="3"/>
      <c r="S17" s="3"/>
      <c r="T17" s="3"/>
    </row>
    <row r="18" spans="1:20" ht="15">
      <c r="A18" s="8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0</v>
      </c>
      <c r="O18" s="3"/>
      <c r="P18" s="3"/>
      <c r="Q18" s="47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47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47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47"/>
      <c r="R21" s="3"/>
      <c r="S21" s="3"/>
      <c r="T21" s="3"/>
    </row>
    <row r="22" spans="1:20" ht="15">
      <c r="A22" s="42" t="s">
        <v>77</v>
      </c>
      <c r="B22" s="41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47"/>
      <c r="R22" s="3"/>
      <c r="S22" s="3"/>
      <c r="T22" s="3"/>
    </row>
    <row r="23" spans="1:20" ht="15">
      <c r="A23" s="8" t="s">
        <v>17</v>
      </c>
      <c r="B23" s="9">
        <v>321206</v>
      </c>
      <c r="C23" s="41">
        <v>4944</v>
      </c>
      <c r="D23" s="40">
        <v>0</v>
      </c>
      <c r="E23" s="9">
        <v>0</v>
      </c>
      <c r="F23" s="9">
        <v>3474</v>
      </c>
      <c r="G23" s="40">
        <v>21704</v>
      </c>
      <c r="H23" s="9">
        <v>0</v>
      </c>
      <c r="I23" s="9"/>
      <c r="J23" s="9"/>
      <c r="K23" s="40">
        <v>305868</v>
      </c>
      <c r="L23" s="9"/>
      <c r="M23" s="9"/>
      <c r="N23" s="9">
        <v>335990</v>
      </c>
      <c r="O23" s="3"/>
      <c r="P23" s="3"/>
      <c r="Q23" s="3"/>
      <c r="R23" s="3" t="s">
        <v>26</v>
      </c>
      <c r="S23" s="12">
        <f>N42/1000</f>
        <v>973.48219999999992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336.55720000000002</v>
      </c>
      <c r="T26" s="14">
        <f>M43</f>
        <v>0.3457250682138821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32</v>
      </c>
      <c r="S27" s="13">
        <f>G42/1000</f>
        <v>74.41</v>
      </c>
      <c r="T27" s="15">
        <f>G43</f>
        <v>7.6436939473572302E-2</v>
      </c>
    </row>
    <row r="28" spans="1:20" ht="15">
      <c r="A28" s="4" t="s">
        <v>72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23.315000000000001</v>
      </c>
      <c r="T29" s="14">
        <f>F43</f>
        <v>2.3950104069699479E-2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34</v>
      </c>
      <c r="S30" s="12">
        <f>E42/1000</f>
        <v>0</v>
      </c>
      <c r="T30" s="14">
        <f>E43</f>
        <v>0</v>
      </c>
    </row>
    <row r="31" spans="1:20" ht="15">
      <c r="A31" s="5" t="s">
        <v>35</v>
      </c>
      <c r="B31" s="9">
        <v>0</v>
      </c>
      <c r="C31" s="9">
        <v>5311</v>
      </c>
      <c r="D31" s="9">
        <v>0</v>
      </c>
      <c r="E31" s="9">
        <v>0</v>
      </c>
      <c r="F31" s="9">
        <v>546</v>
      </c>
      <c r="G31" s="9">
        <v>0</v>
      </c>
      <c r="H31" s="9">
        <v>0</v>
      </c>
      <c r="I31" s="9"/>
      <c r="J31" s="9"/>
      <c r="K31" s="9"/>
      <c r="L31" s="9"/>
      <c r="M31" s="9">
        <v>10844</v>
      </c>
      <c r="N31" s="9">
        <v>16700</v>
      </c>
      <c r="O31" s="16">
        <f>N31/N$39</f>
        <v>1.7763557476808984E-2</v>
      </c>
      <c r="P31" s="17" t="s">
        <v>36</v>
      </c>
      <c r="Q31" s="3"/>
      <c r="R31" s="3" t="s">
        <v>37</v>
      </c>
      <c r="S31" s="13">
        <f>C42/1000</f>
        <v>233.33199999999999</v>
      </c>
      <c r="T31" s="15">
        <f>C43</f>
        <v>0.23968799840407973</v>
      </c>
    </row>
    <row r="32" spans="1:20" ht="15">
      <c r="A32" s="5" t="s">
        <v>38</v>
      </c>
      <c r="B32" s="9">
        <v>11302</v>
      </c>
      <c r="C32" s="9">
        <v>847</v>
      </c>
      <c r="D32" s="9">
        <v>0</v>
      </c>
      <c r="E32" s="9">
        <v>0</v>
      </c>
      <c r="F32" s="9">
        <v>65</v>
      </c>
      <c r="G32" s="9">
        <v>0</v>
      </c>
      <c r="H32" s="9">
        <v>0</v>
      </c>
      <c r="I32" s="9"/>
      <c r="J32" s="9"/>
      <c r="K32" s="9"/>
      <c r="L32" s="9"/>
      <c r="M32" s="9">
        <v>11921</v>
      </c>
      <c r="N32" s="9">
        <v>24135</v>
      </c>
      <c r="O32" s="16">
        <f>N32/N$39</f>
        <v>2.5672063455256577E-2</v>
      </c>
      <c r="P32" s="17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9">
        <v>71973</v>
      </c>
      <c r="C33" s="9">
        <v>445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56231</v>
      </c>
      <c r="N33" s="9">
        <v>128649</v>
      </c>
      <c r="O33" s="16">
        <f>N33/N$39</f>
        <v>0.13684215004994005</v>
      </c>
      <c r="P33" s="17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218523</v>
      </c>
      <c r="D34" s="9">
        <v>0</v>
      </c>
      <c r="E34" s="9">
        <v>0</v>
      </c>
      <c r="F34" s="9">
        <v>19231</v>
      </c>
      <c r="G34" s="9">
        <v>0</v>
      </c>
      <c r="H34" s="9">
        <v>0</v>
      </c>
      <c r="I34" s="9"/>
      <c r="J34" s="9"/>
      <c r="K34" s="9"/>
      <c r="L34" s="9"/>
      <c r="M34" s="9">
        <v>86343</v>
      </c>
      <c r="N34" s="9">
        <v>324097</v>
      </c>
      <c r="O34" s="16">
        <f>N34/N$39</f>
        <v>0.34473746632103963</v>
      </c>
      <c r="P34" s="17" t="s">
        <v>44</v>
      </c>
      <c r="Q34" s="3"/>
      <c r="R34" s="3"/>
      <c r="S34" s="13">
        <f>SUM(S26:S33)</f>
        <v>667.61419999999998</v>
      </c>
      <c r="T34" s="14">
        <f>SUM(T26:T33)</f>
        <v>0.68580011016123366</v>
      </c>
    </row>
    <row r="35" spans="1:47" ht="15">
      <c r="A35" s="5" t="s">
        <v>45</v>
      </c>
      <c r="B35" s="9">
        <v>30481</v>
      </c>
      <c r="C35" s="9">
        <v>2287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59478</v>
      </c>
      <c r="N35" s="9">
        <v>92245</v>
      </c>
      <c r="O35" s="16">
        <f>N35/N$39</f>
        <v>9.8119722122649383E-2</v>
      </c>
      <c r="P35" s="17" t="s">
        <v>46</v>
      </c>
      <c r="Q35" s="17"/>
    </row>
    <row r="36" spans="1:47" ht="15">
      <c r="A36" s="5" t="s">
        <v>47</v>
      </c>
      <c r="B36" s="9">
        <v>107766</v>
      </c>
      <c r="C36" s="9">
        <v>418</v>
      </c>
      <c r="D36" s="9">
        <v>0</v>
      </c>
      <c r="E36" s="9">
        <v>0</v>
      </c>
      <c r="F36" s="9">
        <v>0</v>
      </c>
      <c r="G36" s="9">
        <v>52706</v>
      </c>
      <c r="H36" s="9">
        <v>0</v>
      </c>
      <c r="I36" s="9"/>
      <c r="J36" s="9"/>
      <c r="K36" s="9"/>
      <c r="L36" s="9"/>
      <c r="M36" s="9">
        <v>87360</v>
      </c>
      <c r="N36" s="9">
        <v>248250</v>
      </c>
      <c r="O36" s="17"/>
      <c r="P36" s="17"/>
      <c r="Q36" s="3"/>
      <c r="R36" s="7"/>
      <c r="S36" s="7"/>
      <c r="T36" s="7"/>
    </row>
    <row r="37" spans="1:47" ht="15">
      <c r="A37" s="5" t="s">
        <v>48</v>
      </c>
      <c r="B37" s="9">
        <v>84280</v>
      </c>
      <c r="C37" s="9">
        <v>557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13429</v>
      </c>
      <c r="N37" s="9">
        <v>98266</v>
      </c>
      <c r="O37" s="17"/>
      <c r="P37" s="17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7785</v>
      </c>
      <c r="N38" s="9">
        <v>7785</v>
      </c>
      <c r="O38" s="17">
        <f>SUM(O31:O35)</f>
        <v>0.62313495942569463</v>
      </c>
      <c r="P38" s="17"/>
      <c r="Q38" s="3"/>
      <c r="R38" s="7" t="s">
        <v>50</v>
      </c>
      <c r="S38" s="18">
        <f>N45/1000</f>
        <v>42.075199999999995</v>
      </c>
      <c r="T38" s="7"/>
    </row>
    <row r="39" spans="1:47" ht="15">
      <c r="A39" s="5" t="s">
        <v>17</v>
      </c>
      <c r="B39" s="9">
        <v>305802</v>
      </c>
      <c r="C39" s="9">
        <v>228388</v>
      </c>
      <c r="D39" s="9">
        <v>0</v>
      </c>
      <c r="E39" s="9">
        <v>0</v>
      </c>
      <c r="F39" s="9">
        <v>19841</v>
      </c>
      <c r="G39" s="9">
        <v>52706</v>
      </c>
      <c r="H39" s="9">
        <v>0</v>
      </c>
      <c r="I39" s="9"/>
      <c r="J39" s="9"/>
      <c r="K39" s="9"/>
      <c r="L39" s="9"/>
      <c r="M39" s="9">
        <v>333390</v>
      </c>
      <c r="N39" s="9">
        <v>940127</v>
      </c>
      <c r="O39" s="3"/>
      <c r="P39" s="3"/>
      <c r="Q39" s="3"/>
      <c r="R39" s="7" t="s">
        <v>51</v>
      </c>
      <c r="S39" s="19">
        <f>N41/1000</f>
        <v>354.30099999999999</v>
      </c>
      <c r="T39" s="14">
        <f>O41</f>
        <v>0.37686504057430537</v>
      </c>
    </row>
    <row r="40" spans="1:47">
      <c r="R40" s="7" t="s">
        <v>52</v>
      </c>
      <c r="S40" s="19">
        <f>N35/1000</f>
        <v>92.245000000000005</v>
      </c>
      <c r="T40" s="15">
        <f>O35</f>
        <v>9.8119722122649383E-2</v>
      </c>
    </row>
    <row r="41" spans="1:47" ht="15">
      <c r="A41" s="20" t="s">
        <v>53</v>
      </c>
      <c r="B41" s="21">
        <f>B38+B37+B36</f>
        <v>192046</v>
      </c>
      <c r="C41" s="21">
        <f t="shared" ref="C41:N41" si="0">C38+C37+C36</f>
        <v>975</v>
      </c>
      <c r="D41" s="21">
        <f t="shared" si="0"/>
        <v>0</v>
      </c>
      <c r="E41" s="21">
        <f t="shared" si="0"/>
        <v>0</v>
      </c>
      <c r="F41" s="21">
        <f t="shared" si="0"/>
        <v>0</v>
      </c>
      <c r="G41" s="21">
        <f t="shared" si="0"/>
        <v>52706</v>
      </c>
      <c r="H41" s="21">
        <f t="shared" si="0"/>
        <v>0</v>
      </c>
      <c r="I41" s="21">
        <f t="shared" si="0"/>
        <v>0</v>
      </c>
      <c r="J41" s="21">
        <f t="shared" si="0"/>
        <v>0</v>
      </c>
      <c r="K41" s="21">
        <f t="shared" si="0"/>
        <v>0</v>
      </c>
      <c r="L41" s="21">
        <f t="shared" si="0"/>
        <v>0</v>
      </c>
      <c r="M41" s="21">
        <f t="shared" si="0"/>
        <v>108574</v>
      </c>
      <c r="N41" s="21">
        <f t="shared" si="0"/>
        <v>354301</v>
      </c>
      <c r="O41" s="16">
        <f>N41/N$39</f>
        <v>0.37686504057430537</v>
      </c>
      <c r="P41" s="16" t="s">
        <v>54</v>
      </c>
      <c r="Q41" s="7"/>
      <c r="R41" s="7" t="s">
        <v>55</v>
      </c>
      <c r="S41" s="19">
        <f>N33/1000</f>
        <v>128.649</v>
      </c>
      <c r="T41" s="14">
        <f>O33</f>
        <v>0.13684215004994005</v>
      </c>
    </row>
    <row r="42" spans="1:47" ht="15">
      <c r="A42" s="22" t="s">
        <v>56</v>
      </c>
      <c r="B42" s="21"/>
      <c r="C42" s="23">
        <f>C39+C23+C10</f>
        <v>233332</v>
      </c>
      <c r="D42" s="23">
        <f t="shared" ref="D42:L42" si="1">D39+D23+D10</f>
        <v>0</v>
      </c>
      <c r="E42" s="23">
        <f t="shared" si="1"/>
        <v>0</v>
      </c>
      <c r="F42" s="23">
        <f t="shared" si="1"/>
        <v>23315</v>
      </c>
      <c r="G42" s="23">
        <f t="shared" si="1"/>
        <v>74410</v>
      </c>
      <c r="H42" s="23">
        <f t="shared" si="1"/>
        <v>0</v>
      </c>
      <c r="I42" s="23">
        <f t="shared" si="1"/>
        <v>0</v>
      </c>
      <c r="J42" s="23">
        <f t="shared" si="1"/>
        <v>0</v>
      </c>
      <c r="K42" s="23">
        <f t="shared" si="1"/>
        <v>305868</v>
      </c>
      <c r="L42" s="23">
        <f t="shared" si="1"/>
        <v>0</v>
      </c>
      <c r="M42" s="23">
        <f>M39+M23-B6+M45</f>
        <v>336557.2</v>
      </c>
      <c r="N42" s="24">
        <f>SUM(C42:M42)</f>
        <v>973482.2</v>
      </c>
      <c r="O42" s="7"/>
      <c r="P42" s="7"/>
      <c r="Q42" s="7"/>
      <c r="R42" s="7" t="s">
        <v>36</v>
      </c>
      <c r="S42" s="19">
        <f>N31/1000</f>
        <v>16.7</v>
      </c>
      <c r="T42" s="14">
        <f>O31</f>
        <v>1.7763557476808984E-2</v>
      </c>
    </row>
    <row r="43" spans="1:47" ht="15">
      <c r="A43" s="22" t="s">
        <v>57</v>
      </c>
      <c r="B43" s="21"/>
      <c r="C43" s="16">
        <f t="shared" ref="C43:M43" si="2">C42/$N42</f>
        <v>0.23968799840407973</v>
      </c>
      <c r="D43" s="16">
        <f t="shared" si="2"/>
        <v>0</v>
      </c>
      <c r="E43" s="16">
        <f t="shared" si="2"/>
        <v>0</v>
      </c>
      <c r="F43" s="16">
        <f t="shared" si="2"/>
        <v>2.3950104069699479E-2</v>
      </c>
      <c r="G43" s="16">
        <f t="shared" si="2"/>
        <v>7.6436939473572302E-2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0.31419988983876646</v>
      </c>
      <c r="L43" s="16">
        <f t="shared" si="2"/>
        <v>0</v>
      </c>
      <c r="M43" s="16">
        <f t="shared" si="2"/>
        <v>0.3457250682138821</v>
      </c>
      <c r="N43" s="16">
        <f>SUM(C43:M43)</f>
        <v>1</v>
      </c>
      <c r="O43" s="7"/>
      <c r="P43" s="7"/>
      <c r="Q43" s="7"/>
      <c r="R43" s="7" t="s">
        <v>58</v>
      </c>
      <c r="S43" s="19">
        <f>N32/1000</f>
        <v>24.135000000000002</v>
      </c>
      <c r="T43" s="15">
        <f>O32</f>
        <v>2.5672063455256577E-2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19">
        <f>N34/1000</f>
        <v>324.09699999999998</v>
      </c>
      <c r="T44" s="15">
        <f>O34</f>
        <v>0.34473746632103963</v>
      </c>
    </row>
    <row r="45" spans="1:47" ht="15">
      <c r="A45" s="6" t="s">
        <v>60</v>
      </c>
      <c r="B45" s="6">
        <f>B23-B39</f>
        <v>15404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5">
        <f>M39*0.08</f>
        <v>26671.200000000001</v>
      </c>
      <c r="N45" s="24">
        <f>B45+M45</f>
        <v>42075.199999999997</v>
      </c>
      <c r="O45" s="7"/>
      <c r="P45" s="7"/>
      <c r="Q45" s="7"/>
      <c r="R45" s="7" t="s">
        <v>61</v>
      </c>
      <c r="S45" s="19">
        <f>SUM(S39:S44)</f>
        <v>940.12699999999995</v>
      </c>
      <c r="T45" s="14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75</v>
      </c>
      <c r="B47" s="38">
        <f>(B23-B39)/B23</f>
        <v>4.7956762949633566E-2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4"/>
      <c r="R47" s="4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"/>
      <c r="AH47" s="4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>
      <c r="A48" s="26"/>
      <c r="B48" s="4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4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4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4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4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>
      <c r="A50" s="26"/>
      <c r="B50" s="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4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4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4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4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>
      <c r="A52" s="26"/>
      <c r="B52" s="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4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4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4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4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4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4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>
      <c r="A55" s="26"/>
      <c r="B55" s="4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4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4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>
      <c r="A56" s="26"/>
      <c r="B56" s="4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4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4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ht="15">
      <c r="A57" s="7"/>
      <c r="B57" s="7"/>
      <c r="C57" s="27"/>
      <c r="D57" s="27"/>
      <c r="E57" s="27"/>
      <c r="F57" s="27"/>
      <c r="G57" s="27"/>
      <c r="H57" s="27"/>
      <c r="I57" s="27"/>
      <c r="J57" s="27"/>
      <c r="K57" s="27"/>
      <c r="L57" s="6"/>
      <c r="M57" s="28"/>
      <c r="N57" s="7"/>
      <c r="O57" s="6"/>
      <c r="P57" s="14"/>
      <c r="Q57" s="7"/>
      <c r="R57" s="7"/>
      <c r="S57" s="6"/>
      <c r="T57" s="29"/>
    </row>
    <row r="58" spans="1:47" ht="15">
      <c r="A58" s="7"/>
      <c r="B58" s="7"/>
      <c r="C58" s="27"/>
      <c r="D58" s="27"/>
      <c r="E58" s="27"/>
      <c r="F58" s="27"/>
      <c r="G58" s="27"/>
      <c r="H58" s="27"/>
      <c r="I58" s="27"/>
      <c r="J58" s="27"/>
      <c r="K58" s="27"/>
      <c r="L58" s="6"/>
      <c r="M58" s="28"/>
      <c r="N58" s="7"/>
      <c r="O58" s="6"/>
      <c r="P58" s="14"/>
      <c r="Q58" s="7"/>
      <c r="R58" s="7"/>
      <c r="S58" s="6"/>
      <c r="T58" s="29"/>
    </row>
    <row r="59" spans="1:47" ht="15">
      <c r="A59" s="7"/>
      <c r="B59" s="7"/>
      <c r="C59" s="27"/>
      <c r="D59" s="27"/>
      <c r="E59" s="27"/>
      <c r="F59" s="27"/>
      <c r="G59" s="27"/>
      <c r="H59" s="27"/>
      <c r="I59" s="27"/>
      <c r="J59" s="27"/>
      <c r="K59" s="27"/>
      <c r="L59" s="6"/>
      <c r="M59" s="28"/>
      <c r="N59" s="7"/>
      <c r="O59" s="6"/>
      <c r="P59" s="14"/>
      <c r="Q59" s="7"/>
      <c r="R59" s="7"/>
      <c r="S59" s="6"/>
      <c r="T59" s="29"/>
    </row>
    <row r="60" spans="1:47" ht="15">
      <c r="A60" s="22"/>
      <c r="B60" s="7"/>
      <c r="C60" s="27"/>
      <c r="D60" s="27"/>
      <c r="E60" s="27"/>
      <c r="F60" s="27"/>
      <c r="G60" s="27"/>
      <c r="H60" s="27"/>
      <c r="I60" s="27"/>
      <c r="J60" s="27"/>
      <c r="K60" s="27"/>
      <c r="L60" s="6"/>
      <c r="M60" s="28"/>
      <c r="N60" s="7"/>
      <c r="O60" s="6"/>
      <c r="P60" s="14"/>
      <c r="Q60" s="7"/>
      <c r="R60" s="7"/>
      <c r="S60" s="6"/>
      <c r="T60" s="29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8"/>
      <c r="N61" s="7"/>
      <c r="O61" s="6"/>
      <c r="P61" s="14"/>
      <c r="Q61" s="7"/>
      <c r="R61" s="7"/>
      <c r="S61" s="30"/>
      <c r="T61" s="31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2"/>
      <c r="C63" s="32"/>
      <c r="D63" s="32"/>
      <c r="E63" s="32"/>
      <c r="F63" s="32"/>
      <c r="G63" s="32"/>
      <c r="H63" s="32"/>
      <c r="I63" s="32"/>
      <c r="J63" s="7"/>
      <c r="K63" s="7"/>
      <c r="L63" s="7"/>
      <c r="M63" s="7"/>
      <c r="N63" s="7"/>
      <c r="O63" s="7"/>
      <c r="P63" s="7"/>
      <c r="Q63" s="7"/>
      <c r="R63" s="7"/>
      <c r="S63" s="32"/>
      <c r="T63" s="33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8"/>
      <c r="Q64" s="7"/>
      <c r="R64" s="7"/>
      <c r="S64" s="6"/>
      <c r="T64" s="29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8"/>
      <c r="Q65" s="7"/>
      <c r="R65" s="7"/>
      <c r="S65" s="6"/>
      <c r="T65" s="29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8"/>
      <c r="Q66" s="7"/>
      <c r="R66" s="7"/>
      <c r="S66" s="6"/>
      <c r="T66" s="29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8"/>
      <c r="Q67" s="7"/>
      <c r="R67" s="7"/>
      <c r="S67" s="6"/>
      <c r="T67" s="29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8"/>
      <c r="Q68" s="7"/>
      <c r="R68" s="7"/>
      <c r="S68" s="6"/>
      <c r="T68" s="29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8"/>
      <c r="Q69" s="7"/>
      <c r="R69" s="7"/>
      <c r="S69" s="6"/>
      <c r="T69" s="29"/>
    </row>
    <row r="70" spans="1:20" ht="15">
      <c r="A70" s="7"/>
      <c r="B70" s="30"/>
      <c r="C70" s="30"/>
      <c r="D70" s="30"/>
      <c r="E70" s="30"/>
      <c r="F70" s="30"/>
      <c r="G70" s="30"/>
      <c r="H70" s="30"/>
      <c r="I70" s="30"/>
      <c r="J70" s="7"/>
      <c r="K70" s="7"/>
      <c r="L70" s="7"/>
      <c r="M70" s="7"/>
      <c r="N70" s="7"/>
      <c r="O70" s="30"/>
      <c r="P70" s="34"/>
      <c r="Q70" s="7"/>
      <c r="R70" s="35"/>
      <c r="S70" s="30"/>
      <c r="T70" s="34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 enableFormatConditionsCalculation="0"/>
  <dimension ref="A1:AU70"/>
  <sheetViews>
    <sheetView zoomScale="125" zoomScaleNormal="125" zoomScalePageLayoutView="125" workbookViewId="0">
      <selection activeCell="A22" sqref="A22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73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45">
        <v>11406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45">
        <v>11406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73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18902</v>
      </c>
      <c r="C18" s="9">
        <v>0</v>
      </c>
      <c r="D18" s="40">
        <v>0</v>
      </c>
      <c r="E18" s="9">
        <v>0</v>
      </c>
      <c r="F18" s="9">
        <v>1720</v>
      </c>
      <c r="G18" s="9">
        <v>10040</v>
      </c>
      <c r="H18" s="9">
        <v>0</v>
      </c>
      <c r="I18" s="9"/>
      <c r="J18" s="40">
        <v>8328</v>
      </c>
      <c r="K18" s="9"/>
      <c r="L18" s="9"/>
      <c r="M18" s="9"/>
      <c r="N18" s="9">
        <v>20088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42" t="s">
        <v>77</v>
      </c>
      <c r="B22" s="40">
        <v>48924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40">
        <v>67826</v>
      </c>
      <c r="C23" s="9">
        <v>0</v>
      </c>
      <c r="D23" s="40">
        <v>0</v>
      </c>
      <c r="E23" s="9">
        <v>0</v>
      </c>
      <c r="F23" s="9">
        <v>1720</v>
      </c>
      <c r="G23" s="9">
        <v>10040</v>
      </c>
      <c r="H23" s="9">
        <v>0</v>
      </c>
      <c r="I23" s="9"/>
      <c r="J23" s="40">
        <v>8328</v>
      </c>
      <c r="K23" s="9"/>
      <c r="L23" s="9"/>
      <c r="M23" s="9"/>
      <c r="N23" s="9">
        <v>20088</v>
      </c>
      <c r="O23" s="3"/>
      <c r="P23" s="3"/>
      <c r="Q23" s="3"/>
      <c r="R23" s="3" t="s">
        <v>26</v>
      </c>
      <c r="S23" s="12">
        <f>N42/1000</f>
        <v>237.58776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107.51075999999999</v>
      </c>
      <c r="T26" s="14">
        <f>M43</f>
        <v>0.45250967474081993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32</v>
      </c>
      <c r="S27" s="13">
        <f>G42/1000</f>
        <v>29.8</v>
      </c>
      <c r="T27" s="15">
        <f>G43</f>
        <v>0.12542733682913632</v>
      </c>
    </row>
    <row r="28" spans="1:20" ht="15">
      <c r="A28" s="4" t="s">
        <v>73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8.3279999999999994</v>
      </c>
      <c r="T28" s="14">
        <f>J43</f>
        <v>3.5052310775605611E-2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8.6839999999999993</v>
      </c>
      <c r="T29" s="14">
        <f>F43</f>
        <v>3.6550704463899991E-2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34</v>
      </c>
      <c r="S30" s="12">
        <f>E42/1000</f>
        <v>0</v>
      </c>
      <c r="T30" s="14">
        <f>E43</f>
        <v>0</v>
      </c>
    </row>
    <row r="31" spans="1:20" ht="15">
      <c r="A31" s="5" t="s">
        <v>35</v>
      </c>
      <c r="B31" s="9">
        <v>0</v>
      </c>
      <c r="C31" s="45">
        <v>2648</v>
      </c>
      <c r="D31" s="9">
        <v>0</v>
      </c>
      <c r="E31" s="9">
        <v>0</v>
      </c>
      <c r="F31" s="45">
        <v>262</v>
      </c>
      <c r="G31" s="9">
        <v>0</v>
      </c>
      <c r="H31" s="9">
        <v>0</v>
      </c>
      <c r="I31" s="9"/>
      <c r="J31" s="9"/>
      <c r="K31" s="9"/>
      <c r="L31" s="9"/>
      <c r="M31" s="9">
        <v>1400</v>
      </c>
      <c r="N31" s="9">
        <v>4310</v>
      </c>
      <c r="O31" s="16">
        <f>N31/N$39</f>
        <v>1.6238842859995554E-2</v>
      </c>
      <c r="P31" s="17" t="s">
        <v>36</v>
      </c>
      <c r="Q31" s="3"/>
      <c r="R31" s="3" t="s">
        <v>37</v>
      </c>
      <c r="S31" s="13">
        <f>C42/1000</f>
        <v>83.265000000000001</v>
      </c>
      <c r="T31" s="15">
        <f>C43</f>
        <v>0.35045997319053807</v>
      </c>
    </row>
    <row r="32" spans="1:20" ht="15">
      <c r="A32" s="5" t="s">
        <v>38</v>
      </c>
      <c r="B32" s="9">
        <v>749</v>
      </c>
      <c r="C32" s="45">
        <v>137</v>
      </c>
      <c r="D32" s="9">
        <v>0</v>
      </c>
      <c r="E32" s="9">
        <v>0</v>
      </c>
      <c r="F32" s="45">
        <v>4</v>
      </c>
      <c r="G32" s="9">
        <v>0</v>
      </c>
      <c r="H32" s="9">
        <v>0</v>
      </c>
      <c r="I32" s="9"/>
      <c r="J32" s="9"/>
      <c r="K32" s="9"/>
      <c r="L32" s="9"/>
      <c r="M32" s="9">
        <v>15623</v>
      </c>
      <c r="N32" s="9">
        <v>16504</v>
      </c>
      <c r="O32" s="16">
        <f>N32/N$39</f>
        <v>6.2182334701013135E-2</v>
      </c>
      <c r="P32" s="17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9">
        <v>5442</v>
      </c>
      <c r="C33" s="9">
        <v>10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4221</v>
      </c>
      <c r="N33" s="9">
        <v>9673</v>
      </c>
      <c r="O33" s="16">
        <f>N33/N$39</f>
        <v>3.644508746745638E-2</v>
      </c>
      <c r="P33" s="17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79066</v>
      </c>
      <c r="D34" s="9">
        <v>0</v>
      </c>
      <c r="E34" s="9">
        <v>0</v>
      </c>
      <c r="F34" s="9">
        <v>6698</v>
      </c>
      <c r="G34" s="9">
        <v>0</v>
      </c>
      <c r="H34" s="9">
        <v>0</v>
      </c>
      <c r="I34" s="9"/>
      <c r="J34" s="9"/>
      <c r="K34" s="9"/>
      <c r="L34" s="9"/>
      <c r="M34" s="9">
        <v>236</v>
      </c>
      <c r="N34" s="9">
        <v>86000</v>
      </c>
      <c r="O34" s="16">
        <f>N34/N$39</f>
        <v>0.32402331460779993</v>
      </c>
      <c r="P34" s="17" t="s">
        <v>44</v>
      </c>
      <c r="Q34" s="3"/>
      <c r="R34" s="3"/>
      <c r="S34" s="13">
        <f>SUM(S26:S33)</f>
        <v>237.58776</v>
      </c>
      <c r="T34" s="14">
        <f>SUM(T26:T33)</f>
        <v>0.99999999999999978</v>
      </c>
    </row>
    <row r="35" spans="1:47" ht="15">
      <c r="A35" s="5" t="s">
        <v>45</v>
      </c>
      <c r="B35" s="9">
        <v>21428</v>
      </c>
      <c r="C35" s="9">
        <v>390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36951</v>
      </c>
      <c r="N35" s="9">
        <v>58769</v>
      </c>
      <c r="O35" s="16">
        <f>N35/N$39</f>
        <v>0.22142472297890459</v>
      </c>
      <c r="P35" s="17" t="s">
        <v>46</v>
      </c>
      <c r="Q35" s="17"/>
    </row>
    <row r="36" spans="1:47" ht="15">
      <c r="A36" s="5" t="s">
        <v>47</v>
      </c>
      <c r="B36" s="9">
        <v>9332</v>
      </c>
      <c r="C36" s="9">
        <v>377</v>
      </c>
      <c r="D36" s="9">
        <v>0</v>
      </c>
      <c r="E36" s="9">
        <v>0</v>
      </c>
      <c r="F36" s="9">
        <v>0</v>
      </c>
      <c r="G36" s="9">
        <v>19760</v>
      </c>
      <c r="H36" s="9">
        <v>0</v>
      </c>
      <c r="I36" s="9"/>
      <c r="J36" s="9"/>
      <c r="K36" s="9"/>
      <c r="L36" s="9"/>
      <c r="M36" s="9">
        <v>32996</v>
      </c>
      <c r="N36" s="9">
        <v>62465</v>
      </c>
      <c r="O36" s="17"/>
      <c r="P36" s="17"/>
      <c r="Q36" s="3"/>
      <c r="R36" s="7"/>
      <c r="S36" s="7"/>
      <c r="T36" s="7"/>
    </row>
    <row r="37" spans="1:47" ht="15">
      <c r="A37" s="5" t="s">
        <v>48</v>
      </c>
      <c r="B37" s="9">
        <v>18925</v>
      </c>
      <c r="C37" s="9">
        <v>647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4019</v>
      </c>
      <c r="N37" s="9">
        <v>23591</v>
      </c>
      <c r="O37" s="17"/>
      <c r="P37" s="17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4100</v>
      </c>
      <c r="N38" s="9">
        <v>4100</v>
      </c>
      <c r="O38" s="17">
        <f>SUM(O31:O35)</f>
        <v>0.66031430261516966</v>
      </c>
      <c r="P38" s="17"/>
      <c r="Q38" s="3"/>
      <c r="R38" s="7" t="s">
        <v>50</v>
      </c>
      <c r="S38" s="18">
        <f>N45/1000</f>
        <v>19.913760000000003</v>
      </c>
      <c r="T38" s="7"/>
    </row>
    <row r="39" spans="1:47" ht="15">
      <c r="A39" s="5" t="s">
        <v>17</v>
      </c>
      <c r="B39" s="9">
        <v>55876</v>
      </c>
      <c r="C39" s="9">
        <v>83265</v>
      </c>
      <c r="D39" s="9">
        <v>0</v>
      </c>
      <c r="E39" s="9">
        <v>0</v>
      </c>
      <c r="F39" s="9">
        <v>6964</v>
      </c>
      <c r="G39" s="9">
        <v>19760</v>
      </c>
      <c r="H39" s="9">
        <v>0</v>
      </c>
      <c r="I39" s="9"/>
      <c r="J39" s="9"/>
      <c r="K39" s="9"/>
      <c r="L39" s="9"/>
      <c r="M39" s="9">
        <v>99547</v>
      </c>
      <c r="N39" s="9">
        <v>265413</v>
      </c>
      <c r="O39" s="3"/>
      <c r="P39" s="3"/>
      <c r="Q39" s="3"/>
      <c r="R39" s="7" t="s">
        <v>51</v>
      </c>
      <c r="S39" s="19">
        <f>N41/1000</f>
        <v>90.156000000000006</v>
      </c>
      <c r="T39" s="14">
        <f>O41</f>
        <v>0.33968192967186989</v>
      </c>
    </row>
    <row r="40" spans="1:47">
      <c r="R40" s="7" t="s">
        <v>52</v>
      </c>
      <c r="S40" s="19">
        <f>N35/1000</f>
        <v>58.768999999999998</v>
      </c>
      <c r="T40" s="15">
        <f>O35</f>
        <v>0.22142472297890459</v>
      </c>
    </row>
    <row r="41" spans="1:47" ht="15">
      <c r="A41" s="20" t="s">
        <v>53</v>
      </c>
      <c r="B41" s="21">
        <f>B38+B37+B36</f>
        <v>28257</v>
      </c>
      <c r="C41" s="21">
        <f t="shared" ref="C41:N41" si="0">C38+C37+C36</f>
        <v>1024</v>
      </c>
      <c r="D41" s="21">
        <f t="shared" si="0"/>
        <v>0</v>
      </c>
      <c r="E41" s="21">
        <f t="shared" si="0"/>
        <v>0</v>
      </c>
      <c r="F41" s="21">
        <f t="shared" si="0"/>
        <v>0</v>
      </c>
      <c r="G41" s="21">
        <f t="shared" si="0"/>
        <v>19760</v>
      </c>
      <c r="H41" s="21">
        <f t="shared" si="0"/>
        <v>0</v>
      </c>
      <c r="I41" s="21">
        <f t="shared" si="0"/>
        <v>0</v>
      </c>
      <c r="J41" s="21">
        <f t="shared" si="0"/>
        <v>0</v>
      </c>
      <c r="K41" s="21">
        <f t="shared" si="0"/>
        <v>0</v>
      </c>
      <c r="L41" s="21">
        <f t="shared" si="0"/>
        <v>0</v>
      </c>
      <c r="M41" s="21">
        <f t="shared" si="0"/>
        <v>41115</v>
      </c>
      <c r="N41" s="21">
        <f t="shared" si="0"/>
        <v>90156</v>
      </c>
      <c r="O41" s="16">
        <f>N41/N$39</f>
        <v>0.33968192967186989</v>
      </c>
      <c r="P41" s="16" t="s">
        <v>54</v>
      </c>
      <c r="Q41" s="7"/>
      <c r="R41" s="7" t="s">
        <v>55</v>
      </c>
      <c r="S41" s="19">
        <f>N33/1000</f>
        <v>9.673</v>
      </c>
      <c r="T41" s="14">
        <f>O33</f>
        <v>3.644508746745638E-2</v>
      </c>
    </row>
    <row r="42" spans="1:47" ht="15">
      <c r="A42" s="22" t="s">
        <v>56</v>
      </c>
      <c r="B42" s="21"/>
      <c r="C42" s="23">
        <f>C39+C23+C10</f>
        <v>83265</v>
      </c>
      <c r="D42" s="23">
        <f t="shared" ref="D42:L42" si="1">D39+D23+D10</f>
        <v>0</v>
      </c>
      <c r="E42" s="23">
        <f t="shared" si="1"/>
        <v>0</v>
      </c>
      <c r="F42" s="23">
        <f t="shared" si="1"/>
        <v>8684</v>
      </c>
      <c r="G42" s="23">
        <f t="shared" si="1"/>
        <v>29800</v>
      </c>
      <c r="H42" s="23">
        <f t="shared" si="1"/>
        <v>0</v>
      </c>
      <c r="I42" s="23">
        <f t="shared" si="1"/>
        <v>0</v>
      </c>
      <c r="J42" s="23">
        <f t="shared" si="1"/>
        <v>8328</v>
      </c>
      <c r="K42" s="23">
        <f t="shared" si="1"/>
        <v>0</v>
      </c>
      <c r="L42" s="23">
        <f t="shared" si="1"/>
        <v>0</v>
      </c>
      <c r="M42" s="23">
        <f>M39+M23-B6+M45</f>
        <v>107510.76</v>
      </c>
      <c r="N42" s="24">
        <f>SUM(C42:M42)</f>
        <v>237587.76</v>
      </c>
      <c r="O42" s="7"/>
      <c r="P42" s="7"/>
      <c r="Q42" s="7"/>
      <c r="R42" s="7" t="s">
        <v>36</v>
      </c>
      <c r="S42" s="19">
        <f>N31/1000</f>
        <v>4.3099999999999996</v>
      </c>
      <c r="T42" s="14">
        <f>O31</f>
        <v>1.6238842859995554E-2</v>
      </c>
    </row>
    <row r="43" spans="1:47" ht="15">
      <c r="A43" s="22" t="s">
        <v>57</v>
      </c>
      <c r="B43" s="21"/>
      <c r="C43" s="16">
        <f t="shared" ref="C43:M43" si="2">C42/$N42</f>
        <v>0.35045997319053807</v>
      </c>
      <c r="D43" s="16">
        <f t="shared" si="2"/>
        <v>0</v>
      </c>
      <c r="E43" s="16">
        <f t="shared" si="2"/>
        <v>0</v>
      </c>
      <c r="F43" s="16">
        <f t="shared" si="2"/>
        <v>3.6550704463899991E-2</v>
      </c>
      <c r="G43" s="16">
        <f t="shared" si="2"/>
        <v>0.12542733682913632</v>
      </c>
      <c r="H43" s="16">
        <f t="shared" si="2"/>
        <v>0</v>
      </c>
      <c r="I43" s="16">
        <f t="shared" si="2"/>
        <v>0</v>
      </c>
      <c r="J43" s="16">
        <f t="shared" si="2"/>
        <v>3.5052310775605611E-2</v>
      </c>
      <c r="K43" s="16">
        <f t="shared" si="2"/>
        <v>0</v>
      </c>
      <c r="L43" s="16">
        <f t="shared" si="2"/>
        <v>0</v>
      </c>
      <c r="M43" s="16">
        <f t="shared" si="2"/>
        <v>0.45250967474081993</v>
      </c>
      <c r="N43" s="16">
        <f>SUM(C43:M43)</f>
        <v>1</v>
      </c>
      <c r="O43" s="7"/>
      <c r="P43" s="7"/>
      <c r="Q43" s="7"/>
      <c r="R43" s="7" t="s">
        <v>58</v>
      </c>
      <c r="S43" s="19">
        <f>N32/1000</f>
        <v>16.504000000000001</v>
      </c>
      <c r="T43" s="15">
        <f>O32</f>
        <v>6.2182334701013135E-2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19">
        <f>N34/1000</f>
        <v>86</v>
      </c>
      <c r="T44" s="15">
        <f>O34</f>
        <v>0.32402331460779993</v>
      </c>
    </row>
    <row r="45" spans="1:47" ht="15">
      <c r="A45" s="6" t="s">
        <v>60</v>
      </c>
      <c r="B45" s="43">
        <f>B23-B39</f>
        <v>11950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5">
        <f>M39*0.08</f>
        <v>7963.76</v>
      </c>
      <c r="N45" s="24">
        <f>B45+M45</f>
        <v>19913.760000000002</v>
      </c>
      <c r="O45" s="7"/>
      <c r="P45" s="7"/>
      <c r="Q45" s="7"/>
      <c r="R45" s="7" t="s">
        <v>61</v>
      </c>
      <c r="S45" s="19">
        <f>SUM(S39:S44)</f>
        <v>265.41200000000003</v>
      </c>
      <c r="T45" s="14">
        <f>SUM(T39:T44)</f>
        <v>0.99999623228703927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75</v>
      </c>
      <c r="B47" s="50">
        <f>(B23-B39)/B23</f>
        <v>0.1761861233155427</v>
      </c>
      <c r="C47" s="26"/>
      <c r="D47" s="37"/>
      <c r="E47" s="26"/>
      <c r="F47" s="26"/>
      <c r="G47" s="37"/>
      <c r="H47" s="26"/>
      <c r="I47" s="26"/>
      <c r="J47" s="26"/>
      <c r="K47" s="26"/>
      <c r="L47" s="26"/>
      <c r="M47" s="26"/>
      <c r="N47" s="26"/>
      <c r="O47" s="26"/>
      <c r="P47" s="26"/>
      <c r="Q47" s="4"/>
      <c r="R47" s="4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"/>
      <c r="AH47" s="4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>
      <c r="A48" s="26"/>
      <c r="B48" s="4"/>
      <c r="C48" s="26"/>
      <c r="D48" s="37"/>
      <c r="E48" s="26"/>
      <c r="F48" s="26"/>
      <c r="G48" s="37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4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4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9"/>
      <c r="O49" s="26"/>
      <c r="P49" s="26"/>
      <c r="Q49" s="26"/>
      <c r="R49" s="4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4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>
      <c r="A50" s="26"/>
      <c r="B50" s="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4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4"/>
      <c r="AI50" s="37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4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4"/>
      <c r="AI51" s="37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>
      <c r="A52" s="26"/>
      <c r="B52" s="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4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4"/>
      <c r="AI52" s="37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4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4"/>
      <c r="AI53" s="37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4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4"/>
      <c r="AI54" s="37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>
      <c r="A55" s="26"/>
      <c r="B55" s="4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4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4"/>
      <c r="AI55" s="37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>
      <c r="A56" s="26"/>
      <c r="B56" s="4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4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4"/>
      <c r="AI56" s="37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ht="15">
      <c r="A57" s="7"/>
      <c r="B57" s="7"/>
      <c r="C57" s="27"/>
      <c r="D57" s="27"/>
      <c r="E57" s="27"/>
      <c r="F57" s="27"/>
      <c r="G57" s="27"/>
      <c r="H57" s="27"/>
      <c r="I57" s="27"/>
      <c r="J57" s="27"/>
      <c r="K57" s="27"/>
      <c r="L57" s="6"/>
      <c r="M57" s="28"/>
      <c r="N57" s="7"/>
      <c r="O57" s="6"/>
      <c r="P57" s="14"/>
      <c r="Q57" s="7"/>
      <c r="R57" s="7"/>
      <c r="S57" s="6"/>
      <c r="T57" s="29"/>
    </row>
    <row r="58" spans="1:47" ht="15">
      <c r="A58" s="7"/>
      <c r="B58" s="7"/>
      <c r="C58" s="27"/>
      <c r="D58" s="27"/>
      <c r="E58" s="27"/>
      <c r="F58" s="27"/>
      <c r="G58" s="27"/>
      <c r="H58" s="27"/>
      <c r="I58" s="27"/>
      <c r="J58" s="27"/>
      <c r="K58" s="27"/>
      <c r="L58" s="6"/>
      <c r="M58" s="28"/>
      <c r="N58" s="7"/>
      <c r="O58" s="6"/>
      <c r="P58" s="14"/>
      <c r="Q58" s="7"/>
      <c r="R58" s="7"/>
      <c r="S58" s="6"/>
      <c r="T58" s="29"/>
    </row>
    <row r="59" spans="1:47" ht="15">
      <c r="A59" s="7"/>
      <c r="B59" s="7"/>
      <c r="C59" s="27"/>
      <c r="D59" s="27"/>
      <c r="E59" s="27"/>
      <c r="F59" s="27"/>
      <c r="G59" s="27"/>
      <c r="H59" s="27"/>
      <c r="I59" s="27"/>
      <c r="J59" s="27"/>
      <c r="K59" s="27"/>
      <c r="L59" s="6"/>
      <c r="M59" s="28"/>
      <c r="N59" s="7"/>
      <c r="O59" s="6"/>
      <c r="P59" s="14"/>
      <c r="Q59" s="7"/>
      <c r="R59" s="7"/>
      <c r="S59" s="6"/>
      <c r="T59" s="29"/>
    </row>
    <row r="60" spans="1:47" ht="15">
      <c r="A60" s="22"/>
      <c r="B60" s="7"/>
      <c r="C60" s="27"/>
      <c r="D60" s="27"/>
      <c r="E60" s="27"/>
      <c r="F60" s="27"/>
      <c r="G60" s="27"/>
      <c r="H60" s="27"/>
      <c r="I60" s="27"/>
      <c r="J60" s="27"/>
      <c r="K60" s="27"/>
      <c r="L60" s="6"/>
      <c r="M60" s="28"/>
      <c r="N60" s="7"/>
      <c r="O60" s="6"/>
      <c r="P60" s="14"/>
      <c r="Q60" s="7"/>
      <c r="R60" s="7"/>
      <c r="S60" s="6"/>
      <c r="T60" s="29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8"/>
      <c r="N61" s="7"/>
      <c r="O61" s="6"/>
      <c r="P61" s="14"/>
      <c r="Q61" s="7"/>
      <c r="R61" s="7"/>
      <c r="S61" s="30"/>
      <c r="T61" s="31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2"/>
      <c r="C63" s="32"/>
      <c r="D63" s="32"/>
      <c r="E63" s="32"/>
      <c r="F63" s="32"/>
      <c r="G63" s="32"/>
      <c r="H63" s="32"/>
      <c r="I63" s="32"/>
      <c r="J63" s="7"/>
      <c r="K63" s="7"/>
      <c r="L63" s="7"/>
      <c r="M63" s="7"/>
      <c r="N63" s="7"/>
      <c r="O63" s="7"/>
      <c r="P63" s="7"/>
      <c r="Q63" s="7"/>
      <c r="R63" s="7"/>
      <c r="S63" s="32"/>
      <c r="T63" s="33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8"/>
      <c r="Q64" s="7"/>
      <c r="R64" s="7"/>
      <c r="S64" s="6"/>
      <c r="T64" s="29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8"/>
      <c r="Q65" s="7"/>
      <c r="R65" s="7"/>
      <c r="S65" s="6"/>
      <c r="T65" s="29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8"/>
      <c r="Q66" s="7"/>
      <c r="R66" s="7"/>
      <c r="S66" s="6"/>
      <c r="T66" s="29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8"/>
      <c r="Q67" s="7"/>
      <c r="R67" s="7"/>
      <c r="S67" s="6"/>
      <c r="T67" s="29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8"/>
      <c r="Q68" s="7"/>
      <c r="R68" s="7"/>
      <c r="S68" s="6"/>
      <c r="T68" s="29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8"/>
      <c r="Q69" s="7"/>
      <c r="R69" s="7"/>
      <c r="S69" s="6"/>
      <c r="T69" s="29"/>
    </row>
    <row r="70" spans="1:20" ht="15">
      <c r="A70" s="7"/>
      <c r="B70" s="30"/>
      <c r="C70" s="30"/>
      <c r="D70" s="30"/>
      <c r="E70" s="30"/>
      <c r="F70" s="30"/>
      <c r="G70" s="30"/>
      <c r="H70" s="30"/>
      <c r="I70" s="30"/>
      <c r="J70" s="7"/>
      <c r="K70" s="7"/>
      <c r="L70" s="7"/>
      <c r="M70" s="7"/>
      <c r="N70" s="7"/>
      <c r="O70" s="30"/>
      <c r="P70" s="34"/>
      <c r="Q70" s="7"/>
      <c r="R70" s="35"/>
      <c r="S70" s="30"/>
      <c r="T70" s="34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AU70"/>
  <sheetViews>
    <sheetView zoomScale="125" zoomScaleNormal="125" zoomScalePageLayoutView="125" workbookViewId="0">
      <selection activeCell="A22" sqref="A22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74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41">
        <v>27651</v>
      </c>
      <c r="C6" s="9">
        <v>0</v>
      </c>
      <c r="D6" s="41">
        <v>0</v>
      </c>
      <c r="E6" s="9">
        <v>0</v>
      </c>
      <c r="F6" s="9">
        <v>0</v>
      </c>
      <c r="G6" s="41">
        <v>0</v>
      </c>
      <c r="H6" s="9">
        <v>0</v>
      </c>
      <c r="I6" s="9"/>
      <c r="J6" s="9"/>
      <c r="K6" s="9"/>
      <c r="L6" s="9"/>
      <c r="M6" s="9"/>
      <c r="N6" s="41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7465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41">
        <f>7465+27651</f>
        <v>35116</v>
      </c>
      <c r="C10" s="9">
        <v>0</v>
      </c>
      <c r="D10" s="41">
        <v>0</v>
      </c>
      <c r="E10" s="9">
        <v>0</v>
      </c>
      <c r="F10" s="9">
        <v>0</v>
      </c>
      <c r="G10" s="41">
        <v>0</v>
      </c>
      <c r="H10" s="9">
        <v>0</v>
      </c>
      <c r="I10" s="9"/>
      <c r="J10" s="9"/>
      <c r="K10" s="9"/>
      <c r="L10" s="9"/>
      <c r="M10" s="9"/>
      <c r="N10" s="41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74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41">
        <f>245996-22396-41644-12410+22396</f>
        <v>191942</v>
      </c>
      <c r="C17" s="41">
        <v>3360</v>
      </c>
      <c r="D17" s="41">
        <v>0</v>
      </c>
      <c r="E17" s="9">
        <v>0</v>
      </c>
      <c r="F17" s="9">
        <v>0</v>
      </c>
      <c r="G17" s="41">
        <v>30677</v>
      </c>
      <c r="H17" s="9">
        <v>0</v>
      </c>
      <c r="I17" s="9"/>
      <c r="J17" s="9"/>
      <c r="K17" s="41">
        <v>203204</v>
      </c>
      <c r="L17" s="9"/>
      <c r="M17" s="41">
        <v>1749</v>
      </c>
      <c r="N17" s="41">
        <f>203204+30677+3360+1749</f>
        <v>238990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41">
        <f>1083/1.015</f>
        <v>1066.9950738916257</v>
      </c>
      <c r="C18" s="41">
        <v>1083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41">
        <v>1083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41">
        <v>12410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0">
        <f>12596</f>
        <v>12596</v>
      </c>
      <c r="N19" s="40">
        <v>12596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41">
        <v>41644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42" t="s">
        <v>77</v>
      </c>
      <c r="B22" s="41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41">
        <f>SUM(B17:B22)</f>
        <v>247062.99507389162</v>
      </c>
      <c r="C23" s="41">
        <f>3360+1083</f>
        <v>4443</v>
      </c>
      <c r="D23" s="41">
        <v>0</v>
      </c>
      <c r="E23" s="9">
        <v>0</v>
      </c>
      <c r="F23" s="9">
        <v>0</v>
      </c>
      <c r="G23" s="41">
        <v>30677</v>
      </c>
      <c r="H23" s="9">
        <v>0</v>
      </c>
      <c r="I23" s="9"/>
      <c r="J23" s="9"/>
      <c r="K23" s="41">
        <v>203204</v>
      </c>
      <c r="L23" s="9"/>
      <c r="M23" s="41">
        <f>SUM(M17:M19)</f>
        <v>14345</v>
      </c>
      <c r="N23" s="40">
        <f>238990+12596+1083</f>
        <v>252669</v>
      </c>
      <c r="O23" s="3"/>
      <c r="P23" s="3"/>
      <c r="Q23" s="3"/>
      <c r="R23" s="3" t="s">
        <v>26</v>
      </c>
      <c r="S23" s="12">
        <f>N42/1000</f>
        <v>4103.8704479999997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2000.61968</v>
      </c>
      <c r="T26" s="14">
        <f>M43</f>
        <v>0.48749581775296819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32</v>
      </c>
      <c r="S27" s="13">
        <f>G42/1000</f>
        <v>47.948</v>
      </c>
      <c r="T27" s="15">
        <f>G43</f>
        <v>1.1683604686733523E-2</v>
      </c>
    </row>
    <row r="28" spans="1:20" ht="15">
      <c r="A28" s="4" t="s">
        <v>74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35.241</v>
      </c>
      <c r="T29" s="14">
        <f>F43</f>
        <v>8.5872593802697947E-3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34</v>
      </c>
      <c r="S30" s="12">
        <f>E42/1000</f>
        <v>0</v>
      </c>
      <c r="T30" s="14">
        <f>E43</f>
        <v>0</v>
      </c>
    </row>
    <row r="31" spans="1:20" ht="15">
      <c r="A31" s="5" t="s">
        <v>35</v>
      </c>
      <c r="B31" s="9">
        <v>0</v>
      </c>
      <c r="C31" s="9">
        <v>4407</v>
      </c>
      <c r="D31" s="9">
        <v>0</v>
      </c>
      <c r="E31" s="9">
        <v>0</v>
      </c>
      <c r="F31" s="9">
        <v>379</v>
      </c>
      <c r="G31" s="9">
        <v>0</v>
      </c>
      <c r="H31" s="9">
        <v>0</v>
      </c>
      <c r="I31" s="9"/>
      <c r="J31" s="9"/>
      <c r="K31" s="9"/>
      <c r="L31" s="9"/>
      <c r="M31" s="9">
        <v>590</v>
      </c>
      <c r="N31" s="9">
        <v>5376</v>
      </c>
      <c r="O31" s="16">
        <f>N31/N$39</f>
        <v>1.3683741648106904E-3</v>
      </c>
      <c r="P31" s="17" t="s">
        <v>36</v>
      </c>
      <c r="Q31" s="3"/>
      <c r="R31" s="3" t="s">
        <v>37</v>
      </c>
      <c r="S31" s="13">
        <f>C42/1000</f>
        <v>611.95076799999993</v>
      </c>
      <c r="T31" s="15">
        <f>C43</f>
        <v>0.14911551808323553</v>
      </c>
    </row>
    <row r="32" spans="1:20" ht="15">
      <c r="A32" s="5" t="s">
        <v>38</v>
      </c>
      <c r="B32" s="9">
        <v>17197</v>
      </c>
      <c r="C32" s="45">
        <f>0.184*(3005562-1507951-17197-3812)</f>
        <v>271694.76799999998</v>
      </c>
      <c r="D32" s="45">
        <f>0.816*(3005562-1507951-17197-3812)</f>
        <v>1204907.2319999998</v>
      </c>
      <c r="E32" s="45">
        <v>0</v>
      </c>
      <c r="F32" s="9">
        <v>3812</v>
      </c>
      <c r="G32" s="45">
        <v>0</v>
      </c>
      <c r="H32" s="9">
        <v>0</v>
      </c>
      <c r="I32" s="9"/>
      <c r="J32" s="9"/>
      <c r="K32" s="9"/>
      <c r="L32" s="9"/>
      <c r="M32" s="9">
        <v>1507951</v>
      </c>
      <c r="N32" s="9">
        <v>3005562</v>
      </c>
      <c r="O32" s="16">
        <f>N32/N$39</f>
        <v>0.76501737193763919</v>
      </c>
      <c r="P32" s="17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9">
        <v>41561</v>
      </c>
      <c r="C33" s="9">
        <v>131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44306</v>
      </c>
      <c r="N33" s="9">
        <v>85999</v>
      </c>
      <c r="O33" s="16">
        <f>N33/N$39</f>
        <v>2.1889659560929049E-2</v>
      </c>
      <c r="P33" s="17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327257</v>
      </c>
      <c r="D34" s="9">
        <v>0</v>
      </c>
      <c r="E34" s="9">
        <v>0</v>
      </c>
      <c r="F34" s="9">
        <v>31050</v>
      </c>
      <c r="G34" s="9">
        <v>0</v>
      </c>
      <c r="H34" s="9">
        <v>0</v>
      </c>
      <c r="I34" s="9"/>
      <c r="J34" s="9"/>
      <c r="K34" s="9"/>
      <c r="L34" s="9"/>
      <c r="M34" s="9">
        <v>58133</v>
      </c>
      <c r="N34" s="9">
        <v>416440</v>
      </c>
      <c r="O34" s="16">
        <f>N34/N$39</f>
        <v>0.10599809099586383</v>
      </c>
      <c r="P34" s="17" t="s">
        <v>44</v>
      </c>
      <c r="Q34" s="3"/>
      <c r="R34" s="3"/>
      <c r="S34" s="13">
        <f>SUM(S26:S33)</f>
        <v>2695.7594479999998</v>
      </c>
      <c r="T34" s="14">
        <f>SUM(T26:T33)</f>
        <v>0.65688219990320706</v>
      </c>
    </row>
    <row r="35" spans="1:47" ht="15">
      <c r="A35" s="5" t="s">
        <v>45</v>
      </c>
      <c r="B35" s="9">
        <v>20000</v>
      </c>
      <c r="C35" s="9">
        <v>1257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112522</v>
      </c>
      <c r="N35" s="9">
        <v>133779</v>
      </c>
      <c r="O35" s="16">
        <f>N35/N$39</f>
        <v>3.4051288577791917E-2</v>
      </c>
      <c r="P35" s="17" t="s">
        <v>46</v>
      </c>
      <c r="Q35" s="17"/>
    </row>
    <row r="36" spans="1:47" ht="15">
      <c r="A36" s="5" t="s">
        <v>47</v>
      </c>
      <c r="B36" s="9">
        <v>31785</v>
      </c>
      <c r="C36" s="45">
        <v>900</v>
      </c>
      <c r="D36" s="9">
        <v>0</v>
      </c>
      <c r="E36" s="9">
        <v>0</v>
      </c>
      <c r="F36" s="9">
        <v>0</v>
      </c>
      <c r="G36" s="45">
        <f>17226+45</f>
        <v>17271</v>
      </c>
      <c r="H36" s="9">
        <v>0</v>
      </c>
      <c r="I36" s="9"/>
      <c r="J36" s="9"/>
      <c r="K36" s="9"/>
      <c r="L36" s="9"/>
      <c r="M36" s="9">
        <v>107352</v>
      </c>
      <c r="N36" s="9">
        <v>157308</v>
      </c>
      <c r="O36" s="17"/>
      <c r="P36" s="17"/>
      <c r="Q36" s="3"/>
      <c r="R36" s="7"/>
      <c r="S36" s="7"/>
      <c r="T36" s="7"/>
    </row>
    <row r="37" spans="1:47" ht="15">
      <c r="A37" s="5" t="s">
        <v>48</v>
      </c>
      <c r="B37" s="9">
        <v>88534</v>
      </c>
      <c r="C37" s="9">
        <v>1861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24183</v>
      </c>
      <c r="N37" s="9">
        <v>114578</v>
      </c>
      <c r="O37" s="17"/>
      <c r="P37" s="17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9709</v>
      </c>
      <c r="N38" s="9">
        <v>9709</v>
      </c>
      <c r="O38" s="17">
        <f>SUM(O31:O35)</f>
        <v>0.92832478523703466</v>
      </c>
      <c r="P38" s="17"/>
      <c r="Q38" s="3"/>
      <c r="R38" s="7" t="s">
        <v>50</v>
      </c>
      <c r="S38" s="18">
        <f>N45/1000</f>
        <v>197.16567507389161</v>
      </c>
      <c r="T38" s="7"/>
    </row>
    <row r="39" spans="1:47" ht="15">
      <c r="A39" s="5" t="s">
        <v>17</v>
      </c>
      <c r="B39" s="9">
        <v>199077</v>
      </c>
      <c r="C39" s="45">
        <f>SUM(C31:C37)</f>
        <v>607507.76799999992</v>
      </c>
      <c r="D39" s="45">
        <f>1204907</f>
        <v>1204907</v>
      </c>
      <c r="E39" s="45">
        <v>0</v>
      </c>
      <c r="F39" s="9">
        <v>35241</v>
      </c>
      <c r="G39" s="45">
        <f>17271</f>
        <v>17271</v>
      </c>
      <c r="H39" s="9">
        <v>0</v>
      </c>
      <c r="I39" s="9"/>
      <c r="J39" s="9"/>
      <c r="K39" s="9"/>
      <c r="L39" s="9"/>
      <c r="M39" s="9">
        <v>1864746</v>
      </c>
      <c r="N39" s="9">
        <v>3928750</v>
      </c>
      <c r="O39" s="3"/>
      <c r="P39" s="3"/>
      <c r="Q39" s="3"/>
      <c r="R39" s="7" t="s">
        <v>51</v>
      </c>
      <c r="S39" s="19">
        <f>N41/1000</f>
        <v>281.59500000000003</v>
      </c>
      <c r="T39" s="14">
        <f>O41</f>
        <v>7.1675469296850147E-2</v>
      </c>
    </row>
    <row r="40" spans="1:47">
      <c r="R40" s="7" t="s">
        <v>52</v>
      </c>
      <c r="S40" s="19">
        <f>N35/1000</f>
        <v>133.779</v>
      </c>
      <c r="T40" s="15">
        <f>O35</f>
        <v>3.4051288577791917E-2</v>
      </c>
    </row>
    <row r="41" spans="1:47" ht="15">
      <c r="A41" s="20" t="s">
        <v>53</v>
      </c>
      <c r="B41" s="21">
        <f>B38+B37+B36</f>
        <v>120319</v>
      </c>
      <c r="C41" s="21">
        <f t="shared" ref="C41:N41" si="0">C38+C37+C36</f>
        <v>2761</v>
      </c>
      <c r="D41" s="21">
        <f t="shared" si="0"/>
        <v>0</v>
      </c>
      <c r="E41" s="21">
        <f t="shared" si="0"/>
        <v>0</v>
      </c>
      <c r="F41" s="21">
        <f t="shared" si="0"/>
        <v>0</v>
      </c>
      <c r="G41" s="21">
        <f t="shared" si="0"/>
        <v>17271</v>
      </c>
      <c r="H41" s="21">
        <f t="shared" si="0"/>
        <v>0</v>
      </c>
      <c r="I41" s="21">
        <f t="shared" si="0"/>
        <v>0</v>
      </c>
      <c r="J41" s="21">
        <f t="shared" si="0"/>
        <v>0</v>
      </c>
      <c r="K41" s="21">
        <f t="shared" si="0"/>
        <v>0</v>
      </c>
      <c r="L41" s="21">
        <f t="shared" si="0"/>
        <v>0</v>
      </c>
      <c r="M41" s="21">
        <f t="shared" si="0"/>
        <v>141244</v>
      </c>
      <c r="N41" s="21">
        <f t="shared" si="0"/>
        <v>281595</v>
      </c>
      <c r="O41" s="16">
        <f>N41/N$39</f>
        <v>7.1675469296850147E-2</v>
      </c>
      <c r="P41" s="16" t="s">
        <v>54</v>
      </c>
      <c r="Q41" s="7"/>
      <c r="R41" s="7" t="s">
        <v>55</v>
      </c>
      <c r="S41" s="19">
        <f>N33/1000</f>
        <v>85.998999999999995</v>
      </c>
      <c r="T41" s="14">
        <f>O33</f>
        <v>2.1889659560929049E-2</v>
      </c>
    </row>
    <row r="42" spans="1:47" ht="15">
      <c r="A42" s="22" t="s">
        <v>56</v>
      </c>
      <c r="B42" s="21"/>
      <c r="C42" s="23">
        <f>C39+C23+C10</f>
        <v>611950.76799999992</v>
      </c>
      <c r="D42" s="23">
        <f t="shared" ref="D42:L42" si="1">D39+D23+D10</f>
        <v>1204907</v>
      </c>
      <c r="E42" s="23">
        <f t="shared" si="1"/>
        <v>0</v>
      </c>
      <c r="F42" s="23">
        <f t="shared" si="1"/>
        <v>35241</v>
      </c>
      <c r="G42" s="23">
        <f t="shared" si="1"/>
        <v>47948</v>
      </c>
      <c r="H42" s="23">
        <f t="shared" si="1"/>
        <v>0</v>
      </c>
      <c r="I42" s="23">
        <f t="shared" si="1"/>
        <v>0</v>
      </c>
      <c r="J42" s="23">
        <f t="shared" si="1"/>
        <v>0</v>
      </c>
      <c r="K42" s="23">
        <f t="shared" si="1"/>
        <v>203204</v>
      </c>
      <c r="L42" s="23">
        <f t="shared" si="1"/>
        <v>0</v>
      </c>
      <c r="M42" s="23">
        <f>M39+M23-B6+M45</f>
        <v>2000619.68</v>
      </c>
      <c r="N42" s="24">
        <f>SUM(C42:M42)</f>
        <v>4103870.4479999999</v>
      </c>
      <c r="O42" s="7"/>
      <c r="P42" s="7"/>
      <c r="Q42" s="7"/>
      <c r="R42" s="7" t="s">
        <v>36</v>
      </c>
      <c r="S42" s="19">
        <f>N31/1000</f>
        <v>5.3760000000000003</v>
      </c>
      <c r="T42" s="14">
        <f>O31</f>
        <v>1.3683741648106904E-3</v>
      </c>
    </row>
    <row r="43" spans="1:47" ht="15">
      <c r="A43" s="22" t="s">
        <v>57</v>
      </c>
      <c r="B43" s="21"/>
      <c r="C43" s="16">
        <f t="shared" ref="C43:M43" si="2">C42/$N42</f>
        <v>0.14911551808323553</v>
      </c>
      <c r="D43" s="16">
        <f t="shared" si="2"/>
        <v>0.29360259181359033</v>
      </c>
      <c r="E43" s="16">
        <f t="shared" si="2"/>
        <v>0</v>
      </c>
      <c r="F43" s="16">
        <f t="shared" si="2"/>
        <v>8.5872593802697947E-3</v>
      </c>
      <c r="G43" s="16">
        <f t="shared" si="2"/>
        <v>1.1683604686733523E-2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4.9515208283202612E-2</v>
      </c>
      <c r="L43" s="16">
        <f t="shared" si="2"/>
        <v>0</v>
      </c>
      <c r="M43" s="16">
        <f t="shared" si="2"/>
        <v>0.48749581775296819</v>
      </c>
      <c r="N43" s="16">
        <f>SUM(C43:M43)</f>
        <v>1</v>
      </c>
      <c r="O43" s="7"/>
      <c r="P43" s="7"/>
      <c r="Q43" s="7"/>
      <c r="R43" s="7" t="s">
        <v>58</v>
      </c>
      <c r="S43" s="19">
        <f>N32/1000</f>
        <v>3005.5619999999999</v>
      </c>
      <c r="T43" s="15">
        <f>O32</f>
        <v>0.76501737193763919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19">
        <f>N34/1000</f>
        <v>416.44</v>
      </c>
      <c r="T44" s="15">
        <f>O34</f>
        <v>0.10599809099586383</v>
      </c>
    </row>
    <row r="45" spans="1:47" ht="15">
      <c r="A45" s="6" t="s">
        <v>60</v>
      </c>
      <c r="B45" s="6">
        <f>B23-B39</f>
        <v>47985.995073891623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5">
        <f>M39*0.08</f>
        <v>149179.68</v>
      </c>
      <c r="N45" s="24">
        <f>B45+M45</f>
        <v>197165.67507389162</v>
      </c>
      <c r="O45" s="7"/>
      <c r="P45" s="7"/>
      <c r="Q45" s="7"/>
      <c r="R45" s="7" t="s">
        <v>61</v>
      </c>
      <c r="S45" s="19">
        <f>SUM(S39:S44)</f>
        <v>3928.7509999999997</v>
      </c>
      <c r="T45" s="14">
        <f>SUM(T39:T44)</f>
        <v>1.0000002545338849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75</v>
      </c>
      <c r="B47" s="38">
        <f>(B23-B39)/B23</f>
        <v>0.19422574821267738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4"/>
      <c r="R47" s="4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"/>
      <c r="AH47" s="4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>
      <c r="A48" s="26"/>
      <c r="B48" s="4"/>
      <c r="C48" s="26"/>
      <c r="D48" s="37"/>
      <c r="E48" s="37"/>
      <c r="F48" s="37"/>
      <c r="G48" s="26"/>
      <c r="H48" s="37"/>
      <c r="I48" s="26"/>
      <c r="J48" s="26"/>
      <c r="K48" s="26"/>
      <c r="L48" s="26"/>
      <c r="M48" s="26"/>
      <c r="N48" s="26"/>
      <c r="O48" s="26"/>
      <c r="P48" s="26"/>
      <c r="Q48" s="26"/>
      <c r="R48" s="4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4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4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4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>
      <c r="A50" s="26"/>
      <c r="B50" s="4"/>
      <c r="C50" s="26" t="s">
        <v>84</v>
      </c>
      <c r="D50" s="26"/>
      <c r="E50" s="26"/>
      <c r="F50" s="26"/>
      <c r="G50" s="26" t="s">
        <v>84</v>
      </c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4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4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>
      <c r="A51" s="26"/>
      <c r="B51" s="4"/>
      <c r="C51" s="26">
        <v>2400</v>
      </c>
      <c r="D51" s="26" t="s">
        <v>27</v>
      </c>
      <c r="E51" s="26" t="s">
        <v>85</v>
      </c>
      <c r="F51" s="26"/>
      <c r="G51" s="26">
        <v>546</v>
      </c>
      <c r="H51" s="26" t="s">
        <v>27</v>
      </c>
      <c r="I51" s="26" t="s">
        <v>85</v>
      </c>
      <c r="J51" s="26"/>
      <c r="K51" s="26">
        <f>C51+G51</f>
        <v>2946</v>
      </c>
      <c r="L51" s="26"/>
      <c r="M51" s="26"/>
      <c r="N51" s="26"/>
      <c r="O51" s="26"/>
      <c r="P51" s="26"/>
      <c r="Q51" s="26"/>
      <c r="R51" s="4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4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>
      <c r="A52" s="26"/>
      <c r="B52" s="4"/>
      <c r="C52" s="26">
        <v>1230</v>
      </c>
      <c r="D52" s="37" t="s">
        <v>27</v>
      </c>
      <c r="E52" s="26" t="s">
        <v>83</v>
      </c>
      <c r="F52" s="26"/>
      <c r="G52" s="26">
        <v>232</v>
      </c>
      <c r="H52" s="37" t="s">
        <v>27</v>
      </c>
      <c r="I52" s="26" t="s">
        <v>83</v>
      </c>
      <c r="J52" s="26"/>
      <c r="K52" s="26">
        <f t="shared" ref="K52:K53" si="3">C52+G52</f>
        <v>1462</v>
      </c>
      <c r="L52" s="26"/>
      <c r="M52" s="26"/>
      <c r="N52" s="26"/>
      <c r="O52" s="26"/>
      <c r="P52" s="26"/>
      <c r="Q52" s="26"/>
      <c r="R52" s="4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>
      <c r="A53" s="26"/>
      <c r="B53" s="4"/>
      <c r="C53" s="26">
        <f>C51-C52</f>
        <v>1170</v>
      </c>
      <c r="D53" s="26"/>
      <c r="E53" s="26" t="s">
        <v>86</v>
      </c>
      <c r="F53" s="26"/>
      <c r="G53" s="26">
        <f>G51-G52</f>
        <v>314</v>
      </c>
      <c r="H53" s="26"/>
      <c r="I53" s="26" t="s">
        <v>86</v>
      </c>
      <c r="J53" s="26"/>
      <c r="K53" s="26">
        <f t="shared" si="3"/>
        <v>1484</v>
      </c>
      <c r="L53" s="26"/>
      <c r="M53" s="26"/>
      <c r="N53" s="26"/>
      <c r="O53" s="26"/>
      <c r="P53" s="26"/>
      <c r="Q53" s="26"/>
      <c r="R53" s="4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4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>
      <c r="A55" s="26"/>
      <c r="B55" s="4"/>
      <c r="C55" s="26"/>
      <c r="D55" s="37"/>
      <c r="E55" s="37"/>
      <c r="F55" s="37"/>
      <c r="G55" s="26"/>
      <c r="H55" s="37"/>
      <c r="I55" s="26"/>
      <c r="J55" s="26"/>
      <c r="K55" s="26"/>
      <c r="L55" s="26"/>
      <c r="M55" s="26"/>
      <c r="N55" s="26"/>
      <c r="O55" s="26"/>
      <c r="P55" s="26"/>
      <c r="Q55" s="26"/>
      <c r="R55" s="4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ht="15">
      <c r="A57" s="7"/>
      <c r="B57" s="7"/>
      <c r="C57" s="27"/>
      <c r="D57" s="27"/>
      <c r="E57" s="27"/>
      <c r="F57" s="27"/>
      <c r="G57" s="27"/>
      <c r="H57" s="27"/>
      <c r="I57" s="27"/>
      <c r="J57" s="27"/>
      <c r="K57" s="27"/>
      <c r="L57" s="6"/>
      <c r="M57" s="28"/>
      <c r="N57" s="7"/>
      <c r="O57" s="6"/>
      <c r="P57" s="14"/>
      <c r="Q57" s="7"/>
      <c r="R57" s="7"/>
      <c r="S57" s="6"/>
      <c r="T57" s="29"/>
    </row>
    <row r="58" spans="1:47" ht="15">
      <c r="A58" s="7"/>
      <c r="B58" s="7"/>
      <c r="C58" s="27"/>
      <c r="D58" s="27"/>
      <c r="E58" s="27"/>
      <c r="F58" s="27"/>
      <c r="G58" s="27"/>
      <c r="H58" s="27"/>
      <c r="I58" s="27"/>
      <c r="J58" s="27"/>
      <c r="K58" s="27"/>
      <c r="L58" s="6"/>
      <c r="M58" s="28"/>
      <c r="N58" s="7"/>
      <c r="O58" s="6"/>
      <c r="P58" s="14"/>
      <c r="Q58" s="7"/>
      <c r="R58" s="7"/>
      <c r="S58" s="6"/>
      <c r="T58" s="29"/>
    </row>
    <row r="59" spans="1:47" ht="15">
      <c r="A59" s="7"/>
      <c r="B59" s="7"/>
      <c r="C59" s="27"/>
      <c r="D59" s="27"/>
      <c r="E59" s="27"/>
      <c r="F59" s="27"/>
      <c r="G59" s="27"/>
      <c r="H59" s="27"/>
      <c r="I59" s="27"/>
      <c r="J59" s="27"/>
      <c r="K59" s="27"/>
      <c r="L59" s="6"/>
      <c r="M59" s="28"/>
      <c r="N59" s="7"/>
      <c r="O59" s="6"/>
      <c r="P59" s="14"/>
      <c r="Q59" s="7"/>
      <c r="R59" s="7"/>
      <c r="S59" s="6"/>
      <c r="T59" s="29"/>
    </row>
    <row r="60" spans="1:47" ht="15">
      <c r="A60" s="22"/>
      <c r="B60" s="7"/>
      <c r="C60" s="27"/>
      <c r="D60" s="27"/>
      <c r="E60" s="27"/>
      <c r="F60" s="27"/>
      <c r="G60" s="27"/>
      <c r="H60" s="27"/>
      <c r="I60" s="27"/>
      <c r="J60" s="27"/>
      <c r="K60" s="27"/>
      <c r="L60" s="6"/>
      <c r="M60" s="28"/>
      <c r="N60" s="7"/>
      <c r="O60" s="6"/>
      <c r="P60" s="14"/>
      <c r="Q60" s="7"/>
      <c r="R60" s="7"/>
      <c r="S60" s="6"/>
      <c r="T60" s="29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8"/>
      <c r="N61" s="7"/>
      <c r="O61" s="6"/>
      <c r="P61" s="14"/>
      <c r="Q61" s="7"/>
      <c r="R61" s="7"/>
      <c r="S61" s="30"/>
      <c r="T61" s="31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2"/>
      <c r="C63" s="32"/>
      <c r="D63" s="32"/>
      <c r="E63" s="32"/>
      <c r="F63" s="32"/>
      <c r="G63" s="32"/>
      <c r="H63" s="32"/>
      <c r="I63" s="32"/>
      <c r="J63" s="7"/>
      <c r="K63" s="7"/>
      <c r="L63" s="7"/>
      <c r="M63" s="7"/>
      <c r="N63" s="7"/>
      <c r="O63" s="7"/>
      <c r="P63" s="7"/>
      <c r="Q63" s="7"/>
      <c r="R63" s="7"/>
      <c r="S63" s="32"/>
      <c r="T63" s="33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8"/>
      <c r="Q64" s="7"/>
      <c r="R64" s="7"/>
      <c r="S64" s="6"/>
      <c r="T64" s="29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8"/>
      <c r="Q65" s="7"/>
      <c r="R65" s="7"/>
      <c r="S65" s="6"/>
      <c r="T65" s="29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8"/>
      <c r="Q66" s="7"/>
      <c r="R66" s="7"/>
      <c r="S66" s="6"/>
      <c r="T66" s="29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8"/>
      <c r="Q67" s="7"/>
      <c r="R67" s="7"/>
      <c r="S67" s="6"/>
      <c r="T67" s="29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8"/>
      <c r="Q68" s="7"/>
      <c r="R68" s="7"/>
      <c r="S68" s="6"/>
      <c r="T68" s="29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8"/>
      <c r="Q69" s="7"/>
      <c r="R69" s="7"/>
      <c r="S69" s="6"/>
      <c r="T69" s="29"/>
    </row>
    <row r="70" spans="1:20" ht="15">
      <c r="A70" s="7"/>
      <c r="B70" s="30"/>
      <c r="C70" s="30"/>
      <c r="D70" s="30"/>
      <c r="E70" s="30"/>
      <c r="F70" s="30"/>
      <c r="G70" s="30"/>
      <c r="H70" s="30"/>
      <c r="I70" s="30"/>
      <c r="J70" s="7"/>
      <c r="K70" s="7"/>
      <c r="L70" s="7"/>
      <c r="M70" s="7"/>
      <c r="N70" s="7"/>
      <c r="O70" s="30"/>
      <c r="P70" s="34"/>
      <c r="Q70" s="7"/>
      <c r="R70" s="35"/>
      <c r="S70" s="30"/>
      <c r="T70" s="34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/>
  <dimension ref="A1:AU70"/>
  <sheetViews>
    <sheetView topLeftCell="A13" zoomScale="125" zoomScaleNormal="125" zoomScalePageLayoutView="125" workbookViewId="0">
      <selection activeCell="A22" sqref="A22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1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41">
        <f>37107+6789</f>
        <v>43896</v>
      </c>
      <c r="C18" s="9">
        <v>308</v>
      </c>
      <c r="D18" s="40">
        <v>0</v>
      </c>
      <c r="E18" s="9">
        <v>0</v>
      </c>
      <c r="F18" s="9">
        <v>0</v>
      </c>
      <c r="G18" s="9">
        <v>42764</v>
      </c>
      <c r="H18" s="9">
        <v>0</v>
      </c>
      <c r="I18" s="9"/>
      <c r="J18" s="40">
        <v>3120</v>
      </c>
      <c r="K18" s="9"/>
      <c r="L18" s="9"/>
      <c r="M18" s="9"/>
      <c r="N18" s="9">
        <v>46192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42" t="s">
        <v>77</v>
      </c>
      <c r="B22" s="41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43896</v>
      </c>
      <c r="C23" s="9">
        <v>308</v>
      </c>
      <c r="D23" s="40">
        <v>0</v>
      </c>
      <c r="E23" s="9">
        <v>0</v>
      </c>
      <c r="F23" s="9">
        <v>0</v>
      </c>
      <c r="G23" s="9">
        <v>42764</v>
      </c>
      <c r="H23" s="9">
        <v>0</v>
      </c>
      <c r="I23" s="9"/>
      <c r="J23" s="40">
        <v>3120</v>
      </c>
      <c r="K23" s="9"/>
      <c r="L23" s="9"/>
      <c r="M23" s="9"/>
      <c r="N23" s="9">
        <v>46192</v>
      </c>
      <c r="O23" s="3"/>
      <c r="P23" s="3"/>
      <c r="Q23" s="3"/>
      <c r="R23" s="3" t="s">
        <v>26</v>
      </c>
      <c r="S23" s="12">
        <f>N42/1000</f>
        <v>318.22523999999999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85.917240000000007</v>
      </c>
      <c r="T26" s="14">
        <f>M43</f>
        <v>0.26998876644731262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32</v>
      </c>
      <c r="S27" s="13">
        <f>G42/1000</f>
        <v>71.686999999999998</v>
      </c>
      <c r="T27" s="15">
        <f>G43</f>
        <v>0.2252712575532978</v>
      </c>
    </row>
    <row r="28" spans="1:20" ht="15">
      <c r="A28" s="4" t="s">
        <v>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3.12</v>
      </c>
      <c r="T28" s="14">
        <f>J43</f>
        <v>9.8043762964873556E-3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13.148</v>
      </c>
      <c r="T29" s="14">
        <f>F43</f>
        <v>4.131664729045377E-2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34</v>
      </c>
      <c r="S30" s="12">
        <f>E42/1000</f>
        <v>0</v>
      </c>
      <c r="T30" s="14">
        <f>E43</f>
        <v>0</v>
      </c>
    </row>
    <row r="31" spans="1:20" ht="15">
      <c r="A31" s="5" t="s">
        <v>35</v>
      </c>
      <c r="B31" s="9">
        <v>0</v>
      </c>
      <c r="C31" s="9">
        <v>668</v>
      </c>
      <c r="D31" s="9">
        <v>0</v>
      </c>
      <c r="E31" s="9">
        <v>0</v>
      </c>
      <c r="F31" s="9">
        <v>71</v>
      </c>
      <c r="G31" s="9">
        <v>0</v>
      </c>
      <c r="H31" s="9">
        <v>0</v>
      </c>
      <c r="I31" s="9"/>
      <c r="J31" s="9"/>
      <c r="K31" s="9"/>
      <c r="L31" s="9"/>
      <c r="M31" s="9">
        <v>2079</v>
      </c>
      <c r="N31" s="9">
        <v>2819</v>
      </c>
      <c r="O31" s="16">
        <f>N31/N$39</f>
        <v>9.2753451520774938E-3</v>
      </c>
      <c r="P31" s="17" t="s">
        <v>36</v>
      </c>
      <c r="Q31" s="3"/>
      <c r="R31" s="3" t="s">
        <v>37</v>
      </c>
      <c r="S31" s="13">
        <f>C42/1000</f>
        <v>144.35300000000001</v>
      </c>
      <c r="T31" s="15">
        <f>C43</f>
        <v>0.45361895241244848</v>
      </c>
    </row>
    <row r="32" spans="1:20" ht="15">
      <c r="A32" s="5" t="s">
        <v>38</v>
      </c>
      <c r="B32" s="9">
        <v>853</v>
      </c>
      <c r="C32" s="9">
        <v>4355</v>
      </c>
      <c r="D32" s="9">
        <v>0</v>
      </c>
      <c r="E32" s="9">
        <v>0</v>
      </c>
      <c r="F32" s="9">
        <v>122</v>
      </c>
      <c r="G32" s="9">
        <v>11023</v>
      </c>
      <c r="H32" s="9">
        <v>0</v>
      </c>
      <c r="I32" s="9"/>
      <c r="J32" s="9"/>
      <c r="K32" s="9"/>
      <c r="L32" s="9"/>
      <c r="M32" s="9">
        <v>6770</v>
      </c>
      <c r="N32" s="9">
        <v>23124</v>
      </c>
      <c r="O32" s="16">
        <f>N32/N$39</f>
        <v>7.6084810676353296E-2</v>
      </c>
      <c r="P32" s="17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9">
        <v>9176</v>
      </c>
      <c r="C33" s="9">
        <v>180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9385</v>
      </c>
      <c r="N33" s="9">
        <v>18741</v>
      </c>
      <c r="O33" s="16">
        <f>N33/N$39</f>
        <v>6.1663442176333558E-2</v>
      </c>
      <c r="P33" s="17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134466</v>
      </c>
      <c r="D34" s="9">
        <v>0</v>
      </c>
      <c r="E34" s="9">
        <v>0</v>
      </c>
      <c r="F34" s="9">
        <v>12954</v>
      </c>
      <c r="G34" s="9">
        <v>0</v>
      </c>
      <c r="H34" s="9">
        <v>0</v>
      </c>
      <c r="I34" s="9"/>
      <c r="J34" s="9"/>
      <c r="K34" s="9"/>
      <c r="L34" s="9"/>
      <c r="M34" s="9">
        <v>90</v>
      </c>
      <c r="N34" s="9">
        <v>147510</v>
      </c>
      <c r="O34" s="16">
        <f>N34/N$39</f>
        <v>0.48535160105815928</v>
      </c>
      <c r="P34" s="17" t="s">
        <v>44</v>
      </c>
      <c r="Q34" s="3"/>
      <c r="R34" s="3"/>
      <c r="S34" s="13">
        <f>SUM(S26:S33)</f>
        <v>318.22523999999999</v>
      </c>
      <c r="T34" s="14">
        <f>SUM(T26:T33)</f>
        <v>1</v>
      </c>
    </row>
    <row r="35" spans="1:47" ht="15">
      <c r="A35" s="5" t="s">
        <v>45</v>
      </c>
      <c r="B35" s="9">
        <v>8977</v>
      </c>
      <c r="C35" s="9">
        <v>3020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20948</v>
      </c>
      <c r="N35" s="9">
        <v>32945</v>
      </c>
      <c r="O35" s="16">
        <f>N35/N$39</f>
        <v>0.108398810228873</v>
      </c>
      <c r="P35" s="17" t="s">
        <v>46</v>
      </c>
      <c r="Q35" s="17"/>
    </row>
    <row r="36" spans="1:47" ht="15">
      <c r="A36" s="5" t="s">
        <v>47</v>
      </c>
      <c r="B36" s="9">
        <v>7848</v>
      </c>
      <c r="C36" s="9">
        <v>1354</v>
      </c>
      <c r="D36" s="9">
        <v>0</v>
      </c>
      <c r="E36" s="9">
        <v>0</v>
      </c>
      <c r="F36" s="9">
        <v>0</v>
      </c>
      <c r="G36" s="9">
        <v>17900</v>
      </c>
      <c r="H36" s="9">
        <v>0</v>
      </c>
      <c r="I36" s="9"/>
      <c r="J36" s="9"/>
      <c r="K36" s="9"/>
      <c r="L36" s="9"/>
      <c r="M36" s="9">
        <v>34241</v>
      </c>
      <c r="N36" s="9">
        <v>61343</v>
      </c>
      <c r="O36" s="17"/>
      <c r="P36" s="17"/>
      <c r="Q36" s="3"/>
      <c r="R36" s="7"/>
      <c r="S36" s="7"/>
      <c r="T36" s="7"/>
    </row>
    <row r="37" spans="1:47" ht="15">
      <c r="A37" s="5" t="s">
        <v>48</v>
      </c>
      <c r="B37" s="9">
        <v>11401</v>
      </c>
      <c r="C37" s="9">
        <v>1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2003</v>
      </c>
      <c r="N37" s="9">
        <v>13405</v>
      </c>
      <c r="O37" s="17"/>
      <c r="P37" s="17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4038</v>
      </c>
      <c r="N38" s="9">
        <v>4038</v>
      </c>
      <c r="O38" s="17">
        <f>SUM(O31:O35)</f>
        <v>0.7407740092917966</v>
      </c>
      <c r="P38" s="17"/>
      <c r="Q38" s="3"/>
      <c r="R38" s="7" t="s">
        <v>50</v>
      </c>
      <c r="S38" s="18">
        <f>N45/1000</f>
        <v>12.005240000000001</v>
      </c>
      <c r="T38" s="7"/>
    </row>
    <row r="39" spans="1:47" ht="15">
      <c r="A39" s="5" t="s">
        <v>17</v>
      </c>
      <c r="B39" s="9">
        <v>38255</v>
      </c>
      <c r="C39" s="9">
        <v>144045</v>
      </c>
      <c r="D39" s="9">
        <v>0</v>
      </c>
      <c r="E39" s="9">
        <v>0</v>
      </c>
      <c r="F39" s="9">
        <v>13148</v>
      </c>
      <c r="G39" s="9">
        <v>28923</v>
      </c>
      <c r="H39" s="9">
        <v>0</v>
      </c>
      <c r="I39" s="9"/>
      <c r="J39" s="9"/>
      <c r="K39" s="9"/>
      <c r="L39" s="9"/>
      <c r="M39" s="9">
        <v>79553</v>
      </c>
      <c r="N39" s="9">
        <v>303924</v>
      </c>
      <c r="O39" s="3"/>
      <c r="P39" s="3"/>
      <c r="Q39" s="3"/>
      <c r="R39" s="7" t="s">
        <v>51</v>
      </c>
      <c r="S39" s="19">
        <f>N41/1000</f>
        <v>78.786000000000001</v>
      </c>
      <c r="T39" s="14">
        <f>O41</f>
        <v>0.25922928100446163</v>
      </c>
    </row>
    <row r="40" spans="1:47">
      <c r="R40" s="7" t="s">
        <v>52</v>
      </c>
      <c r="S40" s="19">
        <f>N35/1000</f>
        <v>32.945</v>
      </c>
      <c r="T40" s="15">
        <f>O35</f>
        <v>0.108398810228873</v>
      </c>
    </row>
    <row r="41" spans="1:47" ht="15">
      <c r="A41" s="20" t="s">
        <v>53</v>
      </c>
      <c r="B41" s="21">
        <f>B38+B37+B36</f>
        <v>19249</v>
      </c>
      <c r="C41" s="21">
        <f t="shared" ref="C41:N41" si="0">C38+C37+C36</f>
        <v>1355</v>
      </c>
      <c r="D41" s="21">
        <f t="shared" si="0"/>
        <v>0</v>
      </c>
      <c r="E41" s="21">
        <f t="shared" si="0"/>
        <v>0</v>
      </c>
      <c r="F41" s="21">
        <f t="shared" si="0"/>
        <v>0</v>
      </c>
      <c r="G41" s="21">
        <f t="shared" si="0"/>
        <v>17900</v>
      </c>
      <c r="H41" s="21">
        <f t="shared" si="0"/>
        <v>0</v>
      </c>
      <c r="I41" s="21">
        <f t="shared" si="0"/>
        <v>0</v>
      </c>
      <c r="J41" s="21">
        <f t="shared" si="0"/>
        <v>0</v>
      </c>
      <c r="K41" s="21">
        <f t="shared" si="0"/>
        <v>0</v>
      </c>
      <c r="L41" s="21">
        <f t="shared" si="0"/>
        <v>0</v>
      </c>
      <c r="M41" s="21">
        <f t="shared" si="0"/>
        <v>40282</v>
      </c>
      <c r="N41" s="21">
        <f t="shared" si="0"/>
        <v>78786</v>
      </c>
      <c r="O41" s="16">
        <f>N41/N$39</f>
        <v>0.25922928100446163</v>
      </c>
      <c r="P41" s="16" t="s">
        <v>54</v>
      </c>
      <c r="Q41" s="7"/>
      <c r="R41" s="7" t="s">
        <v>55</v>
      </c>
      <c r="S41" s="19">
        <f>N33/1000</f>
        <v>18.741</v>
      </c>
      <c r="T41" s="14">
        <f>O33</f>
        <v>6.1663442176333558E-2</v>
      </c>
    </row>
    <row r="42" spans="1:47" ht="15">
      <c r="A42" s="22" t="s">
        <v>56</v>
      </c>
      <c r="B42" s="21"/>
      <c r="C42" s="23">
        <f>C39+C23+C10</f>
        <v>144353</v>
      </c>
      <c r="D42" s="23">
        <f t="shared" ref="D42:L42" si="1">D39+D23+D10</f>
        <v>0</v>
      </c>
      <c r="E42" s="23">
        <f t="shared" si="1"/>
        <v>0</v>
      </c>
      <c r="F42" s="23">
        <f t="shared" si="1"/>
        <v>13148</v>
      </c>
      <c r="G42" s="23">
        <f t="shared" si="1"/>
        <v>71687</v>
      </c>
      <c r="H42" s="23">
        <f t="shared" si="1"/>
        <v>0</v>
      </c>
      <c r="I42" s="23">
        <f t="shared" si="1"/>
        <v>0</v>
      </c>
      <c r="J42" s="23">
        <f t="shared" si="1"/>
        <v>3120</v>
      </c>
      <c r="K42" s="23">
        <f t="shared" si="1"/>
        <v>0</v>
      </c>
      <c r="L42" s="23">
        <f t="shared" si="1"/>
        <v>0</v>
      </c>
      <c r="M42" s="23">
        <f>M39+M23-B6+M45</f>
        <v>85917.24</v>
      </c>
      <c r="N42" s="24">
        <f>SUM(C42:M42)</f>
        <v>318225.24</v>
      </c>
      <c r="O42" s="7"/>
      <c r="P42" s="7"/>
      <c r="Q42" s="7"/>
      <c r="R42" s="7" t="s">
        <v>36</v>
      </c>
      <c r="S42" s="19">
        <f>N31/1000</f>
        <v>2.819</v>
      </c>
      <c r="T42" s="14">
        <f>O31</f>
        <v>9.2753451520774938E-3</v>
      </c>
    </row>
    <row r="43" spans="1:47" ht="15">
      <c r="A43" s="22" t="s">
        <v>57</v>
      </c>
      <c r="B43" s="21"/>
      <c r="C43" s="16">
        <f t="shared" ref="C43:M43" si="2">C42/$N42</f>
        <v>0.45361895241244848</v>
      </c>
      <c r="D43" s="16">
        <f t="shared" si="2"/>
        <v>0</v>
      </c>
      <c r="E43" s="16">
        <f t="shared" si="2"/>
        <v>0</v>
      </c>
      <c r="F43" s="16">
        <f t="shared" si="2"/>
        <v>4.131664729045377E-2</v>
      </c>
      <c r="G43" s="16">
        <f t="shared" si="2"/>
        <v>0.2252712575532978</v>
      </c>
      <c r="H43" s="16">
        <f t="shared" si="2"/>
        <v>0</v>
      </c>
      <c r="I43" s="16">
        <f t="shared" si="2"/>
        <v>0</v>
      </c>
      <c r="J43" s="16">
        <f t="shared" si="2"/>
        <v>9.8043762964873556E-3</v>
      </c>
      <c r="K43" s="16">
        <f t="shared" si="2"/>
        <v>0</v>
      </c>
      <c r="L43" s="16">
        <f t="shared" si="2"/>
        <v>0</v>
      </c>
      <c r="M43" s="16">
        <f t="shared" si="2"/>
        <v>0.26998876644731262</v>
      </c>
      <c r="N43" s="16">
        <f>SUM(C43:M43)</f>
        <v>1</v>
      </c>
      <c r="O43" s="7"/>
      <c r="P43" s="7"/>
      <c r="Q43" s="7"/>
      <c r="R43" s="7" t="s">
        <v>58</v>
      </c>
      <c r="S43" s="19">
        <f>N32/1000</f>
        <v>23.123999999999999</v>
      </c>
      <c r="T43" s="15">
        <f>O32</f>
        <v>7.6084810676353296E-2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19">
        <f>N34/1000</f>
        <v>147.51</v>
      </c>
      <c r="T44" s="15">
        <f>O34</f>
        <v>0.48535160105815928</v>
      </c>
    </row>
    <row r="45" spans="1:47" ht="15">
      <c r="A45" s="6" t="s">
        <v>60</v>
      </c>
      <c r="B45" s="6">
        <f>B23-B39</f>
        <v>5641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5">
        <f>M39*0.08</f>
        <v>6364.24</v>
      </c>
      <c r="N45" s="24">
        <f>B45+M45</f>
        <v>12005.24</v>
      </c>
      <c r="O45" s="7"/>
      <c r="P45" s="7"/>
      <c r="Q45" s="7"/>
      <c r="R45" s="7" t="s">
        <v>61</v>
      </c>
      <c r="S45" s="19">
        <f>SUM(S39:S44)</f>
        <v>303.92499999999995</v>
      </c>
      <c r="T45" s="14">
        <f>SUM(T39:T44)</f>
        <v>1.0000032902962583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75</v>
      </c>
      <c r="B47" s="38">
        <f>(B23-B39)/B23</f>
        <v>0.12850829232731911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4"/>
      <c r="R47" s="4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"/>
      <c r="AH47" s="4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>
      <c r="A48" s="26"/>
      <c r="B48" s="4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4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4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4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4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>
      <c r="A50" s="26"/>
      <c r="B50" s="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4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4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4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4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>
      <c r="A52" s="26"/>
      <c r="B52" s="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4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4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4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4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4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4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>
      <c r="A55" s="26"/>
      <c r="B55" s="4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4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4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>
      <c r="A56" s="26"/>
      <c r="B56" s="4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4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4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ht="15">
      <c r="A57" s="7"/>
      <c r="B57" s="7"/>
      <c r="C57" s="27"/>
      <c r="D57" s="27"/>
      <c r="E57" s="27"/>
      <c r="F57" s="27"/>
      <c r="G57" s="27"/>
      <c r="H57" s="27"/>
      <c r="I57" s="27"/>
      <c r="J57" s="27"/>
      <c r="K57" s="27"/>
      <c r="L57" s="6"/>
      <c r="M57" s="28"/>
      <c r="N57" s="7"/>
      <c r="O57" s="6"/>
      <c r="P57" s="14"/>
      <c r="Q57" s="7"/>
      <c r="R57" s="7"/>
      <c r="S57" s="6"/>
      <c r="T57" s="29"/>
    </row>
    <row r="58" spans="1:47" ht="15">
      <c r="A58" s="7"/>
      <c r="B58" s="7"/>
      <c r="C58" s="27"/>
      <c r="D58" s="27"/>
      <c r="E58" s="27"/>
      <c r="F58" s="27"/>
      <c r="G58" s="27"/>
      <c r="H58" s="27"/>
      <c r="I58" s="27"/>
      <c r="J58" s="27"/>
      <c r="K58" s="27"/>
      <c r="L58" s="6"/>
      <c r="M58" s="28"/>
      <c r="N58" s="7"/>
      <c r="O58" s="6"/>
      <c r="P58" s="14"/>
      <c r="Q58" s="7"/>
      <c r="R58" s="7"/>
      <c r="S58" s="6"/>
      <c r="T58" s="29"/>
    </row>
    <row r="59" spans="1:47" ht="15">
      <c r="A59" s="7"/>
      <c r="B59" s="7"/>
      <c r="C59" s="27"/>
      <c r="D59" s="27"/>
      <c r="E59" s="27"/>
      <c r="F59" s="27"/>
      <c r="G59" s="27"/>
      <c r="H59" s="27"/>
      <c r="I59" s="27"/>
      <c r="J59" s="27"/>
      <c r="K59" s="27"/>
      <c r="L59" s="6"/>
      <c r="M59" s="28"/>
      <c r="N59" s="7"/>
      <c r="O59" s="6"/>
      <c r="P59" s="14"/>
      <c r="Q59" s="7"/>
      <c r="R59" s="7"/>
      <c r="S59" s="6"/>
      <c r="T59" s="29"/>
    </row>
    <row r="60" spans="1:47" ht="15">
      <c r="A60" s="22"/>
      <c r="B60" s="7"/>
      <c r="C60" s="27"/>
      <c r="D60" s="27"/>
      <c r="E60" s="27"/>
      <c r="F60" s="27"/>
      <c r="G60" s="27"/>
      <c r="H60" s="27"/>
      <c r="I60" s="27"/>
      <c r="J60" s="27"/>
      <c r="K60" s="27"/>
      <c r="L60" s="6"/>
      <c r="M60" s="28"/>
      <c r="N60" s="7"/>
      <c r="O60" s="6"/>
      <c r="P60" s="14"/>
      <c r="Q60" s="7"/>
      <c r="R60" s="7"/>
      <c r="S60" s="6"/>
      <c r="T60" s="29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8"/>
      <c r="N61" s="7"/>
      <c r="O61" s="6"/>
      <c r="P61" s="14"/>
      <c r="Q61" s="7"/>
      <c r="R61" s="7"/>
      <c r="S61" s="30"/>
      <c r="T61" s="31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2"/>
      <c r="C63" s="32"/>
      <c r="D63" s="32"/>
      <c r="E63" s="32"/>
      <c r="F63" s="32"/>
      <c r="G63" s="32"/>
      <c r="H63" s="32"/>
      <c r="I63" s="32"/>
      <c r="J63" s="7"/>
      <c r="K63" s="7"/>
      <c r="L63" s="7"/>
      <c r="M63" s="7"/>
      <c r="N63" s="7"/>
      <c r="O63" s="7"/>
      <c r="P63" s="7"/>
      <c r="Q63" s="7"/>
      <c r="R63" s="7"/>
      <c r="S63" s="32"/>
      <c r="T63" s="33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8"/>
      <c r="Q64" s="7"/>
      <c r="R64" s="7"/>
      <c r="S64" s="6"/>
      <c r="T64" s="29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8"/>
      <c r="Q65" s="7"/>
      <c r="R65" s="7"/>
      <c r="S65" s="6"/>
      <c r="T65" s="29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8"/>
      <c r="Q66" s="7"/>
      <c r="R66" s="7"/>
      <c r="S66" s="6"/>
      <c r="T66" s="29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8"/>
      <c r="Q67" s="7"/>
      <c r="R67" s="7"/>
      <c r="S67" s="6"/>
      <c r="T67" s="29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8"/>
      <c r="Q68" s="7"/>
      <c r="R68" s="7"/>
      <c r="S68" s="6"/>
      <c r="T68" s="29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8"/>
      <c r="Q69" s="7"/>
      <c r="R69" s="7"/>
      <c r="S69" s="6"/>
      <c r="T69" s="29"/>
    </row>
    <row r="70" spans="1:20" ht="15">
      <c r="A70" s="7"/>
      <c r="B70" s="30"/>
      <c r="C70" s="30"/>
      <c r="D70" s="30"/>
      <c r="E70" s="30"/>
      <c r="F70" s="30"/>
      <c r="G70" s="30"/>
      <c r="H70" s="30"/>
      <c r="I70" s="30"/>
      <c r="J70" s="7"/>
      <c r="K70" s="7"/>
      <c r="L70" s="7"/>
      <c r="M70" s="7"/>
      <c r="N70" s="7"/>
      <c r="O70" s="30"/>
      <c r="P70" s="34"/>
      <c r="Q70" s="7"/>
      <c r="R70" s="35"/>
      <c r="S70" s="30"/>
      <c r="T70" s="34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 enableFormatConditionsCalculation="0"/>
  <dimension ref="A1:AU70"/>
  <sheetViews>
    <sheetView zoomScale="125" zoomScaleNormal="125" zoomScalePageLayoutView="125" workbookViewId="0">
      <selection activeCell="A22" sqref="A22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62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310101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45">
        <v>68433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45">
        <f>310101+68433</f>
        <v>378534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62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f>SUM(C17:M17)</f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40">
        <v>16330</v>
      </c>
      <c r="C18" s="40">
        <v>160</v>
      </c>
      <c r="D18" s="9">
        <v>0</v>
      </c>
      <c r="E18" s="9">
        <v>0</v>
      </c>
      <c r="F18" s="9">
        <v>0</v>
      </c>
      <c r="G18" s="40">
        <v>20790</v>
      </c>
      <c r="H18" s="9">
        <v>0</v>
      </c>
      <c r="I18" s="9"/>
      <c r="J18" s="9"/>
      <c r="K18" s="9"/>
      <c r="L18" s="9"/>
      <c r="M18" s="9"/>
      <c r="N18" s="41">
        <f t="shared" ref="N18:N22" si="0">SUM(C18:M18)</f>
        <v>20950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f t="shared" si="0"/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f t="shared" si="0"/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f t="shared" si="0"/>
        <v>0</v>
      </c>
      <c r="O21" s="3"/>
      <c r="P21" s="3"/>
      <c r="Q21" s="3"/>
      <c r="R21" s="3"/>
      <c r="S21" s="3"/>
      <c r="T21" s="3"/>
    </row>
    <row r="22" spans="1:20" ht="15">
      <c r="A22" s="42" t="s">
        <v>77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f t="shared" si="0"/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40">
        <v>16330</v>
      </c>
      <c r="C23" s="40">
        <v>160</v>
      </c>
      <c r="D23" s="9">
        <v>0</v>
      </c>
      <c r="E23" s="9">
        <v>0</v>
      </c>
      <c r="F23" s="9">
        <v>0</v>
      </c>
      <c r="G23" s="40">
        <v>20790</v>
      </c>
      <c r="H23" s="9">
        <v>0</v>
      </c>
      <c r="I23" s="9"/>
      <c r="J23" s="9"/>
      <c r="K23" s="9"/>
      <c r="L23" s="9"/>
      <c r="M23" s="9"/>
      <c r="N23" s="41">
        <v>20950</v>
      </c>
      <c r="O23" s="3"/>
      <c r="P23" s="3"/>
      <c r="Q23" s="3"/>
      <c r="R23" s="3" t="s">
        <v>26</v>
      </c>
      <c r="S23" s="12">
        <f>N42/1000</f>
        <v>139.05891999999997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61.72092</v>
      </c>
      <c r="T26" s="14">
        <f>M43</f>
        <v>0.44384725553743698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32</v>
      </c>
      <c r="S27" s="13">
        <f>G42/1000</f>
        <v>30.852</v>
      </c>
      <c r="T27" s="15">
        <f>G43</f>
        <v>0.2218627902474721</v>
      </c>
    </row>
    <row r="28" spans="1:20" ht="15">
      <c r="A28" s="4" t="s">
        <v>62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3.5219999999999998</v>
      </c>
      <c r="T29" s="14">
        <f>F43</f>
        <v>2.532739359690123E-2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34</v>
      </c>
      <c r="S30" s="12">
        <f>E42/1000</f>
        <v>0</v>
      </c>
      <c r="T30" s="14">
        <f>E43</f>
        <v>0</v>
      </c>
    </row>
    <row r="31" spans="1:20" ht="15">
      <c r="A31" s="5" t="s">
        <v>35</v>
      </c>
      <c r="B31" s="9">
        <v>0</v>
      </c>
      <c r="C31" s="45">
        <v>387</v>
      </c>
      <c r="D31" s="9">
        <v>0</v>
      </c>
      <c r="E31" s="9">
        <v>0</v>
      </c>
      <c r="F31" s="45">
        <v>28</v>
      </c>
      <c r="G31" s="9">
        <v>0</v>
      </c>
      <c r="H31" s="9">
        <v>0</v>
      </c>
      <c r="I31" s="9"/>
      <c r="J31" s="9"/>
      <c r="K31" s="9"/>
      <c r="L31" s="9"/>
      <c r="M31" s="9">
        <v>2413</v>
      </c>
      <c r="N31" s="45">
        <f>SUM(B31:M31)</f>
        <v>2828</v>
      </c>
      <c r="O31" s="16">
        <f>N31/N$39</f>
        <v>2.2072022852504567E-2</v>
      </c>
      <c r="P31" s="17" t="s">
        <v>36</v>
      </c>
      <c r="Q31" s="3"/>
      <c r="R31" s="3" t="s">
        <v>37</v>
      </c>
      <c r="S31" s="13">
        <f>C42/1000</f>
        <v>42.963999999999999</v>
      </c>
      <c r="T31" s="15">
        <f>C43</f>
        <v>0.30896256061818977</v>
      </c>
    </row>
    <row r="32" spans="1:20" ht="15">
      <c r="A32" s="5" t="s">
        <v>38</v>
      </c>
      <c r="B32" s="9">
        <v>0</v>
      </c>
      <c r="C32" s="45">
        <f>255</f>
        <v>255</v>
      </c>
      <c r="D32" s="9">
        <v>0</v>
      </c>
      <c r="E32" s="9">
        <v>0</v>
      </c>
      <c r="F32" s="45">
        <f>16</f>
        <v>16</v>
      </c>
      <c r="G32" s="9">
        <v>0</v>
      </c>
      <c r="H32" s="9">
        <v>0</v>
      </c>
      <c r="I32" s="9"/>
      <c r="J32" s="9"/>
      <c r="K32" s="9"/>
      <c r="L32" s="9"/>
      <c r="M32" s="9">
        <v>1812</v>
      </c>
      <c r="N32" s="45">
        <f>1812+255+15</f>
        <v>2082</v>
      </c>
      <c r="O32" s="16">
        <f>N32/N$39</f>
        <v>1.6249629271186176E-2</v>
      </c>
      <c r="P32" s="17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41">
        <v>7296</v>
      </c>
      <c r="C33" s="9">
        <v>76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7139</v>
      </c>
      <c r="N33" s="41">
        <f>7214+7296</f>
        <v>14510</v>
      </c>
      <c r="O33" s="16">
        <f>N33/N$39</f>
        <v>0.11324789660178262</v>
      </c>
      <c r="P33" s="17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41814</v>
      </c>
      <c r="D34" s="9">
        <v>0</v>
      </c>
      <c r="E34" s="9">
        <v>0</v>
      </c>
      <c r="F34" s="9">
        <v>3478</v>
      </c>
      <c r="G34" s="9">
        <v>0</v>
      </c>
      <c r="H34" s="9">
        <v>0</v>
      </c>
      <c r="I34" s="9"/>
      <c r="J34" s="9"/>
      <c r="K34" s="9"/>
      <c r="L34" s="9"/>
      <c r="M34" s="9">
        <v>0</v>
      </c>
      <c r="N34" s="9">
        <v>45291</v>
      </c>
      <c r="O34" s="16">
        <f>N34/N$39</f>
        <v>0.35348797277679783</v>
      </c>
      <c r="P34" s="17" t="s">
        <v>44</v>
      </c>
      <c r="Q34" s="3"/>
      <c r="R34" s="3"/>
      <c r="S34" s="13">
        <f>SUM(S26:S33)</f>
        <v>139.05892</v>
      </c>
      <c r="T34" s="14">
        <f>SUM(T26:T33)</f>
        <v>1.0000000000000002</v>
      </c>
    </row>
    <row r="35" spans="1:47" ht="15">
      <c r="A35" s="5" t="s">
        <v>45</v>
      </c>
      <c r="B35" s="9">
        <v>0</v>
      </c>
      <c r="C35" s="9">
        <v>25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18030</v>
      </c>
      <c r="N35" s="9">
        <v>18054</v>
      </c>
      <c r="O35" s="16">
        <f>N35/N$39</f>
        <v>0.14090816852161153</v>
      </c>
      <c r="P35" s="17" t="s">
        <v>46</v>
      </c>
      <c r="Q35" s="17"/>
    </row>
    <row r="36" spans="1:47" ht="15">
      <c r="A36" s="5" t="s">
        <v>47</v>
      </c>
      <c r="B36" s="9">
        <v>0</v>
      </c>
      <c r="C36" s="9">
        <v>235</v>
      </c>
      <c r="D36" s="9">
        <v>0</v>
      </c>
      <c r="E36" s="9">
        <v>0</v>
      </c>
      <c r="F36" s="9">
        <v>0</v>
      </c>
      <c r="G36" s="9">
        <v>10062</v>
      </c>
      <c r="H36" s="9">
        <v>0</v>
      </c>
      <c r="I36" s="9"/>
      <c r="J36" s="9"/>
      <c r="K36" s="9"/>
      <c r="L36" s="9"/>
      <c r="M36" s="9">
        <v>19768</v>
      </c>
      <c r="N36" s="9">
        <v>30065</v>
      </c>
      <c r="O36" s="17"/>
      <c r="P36" s="17"/>
      <c r="Q36" s="3"/>
      <c r="R36" s="7"/>
      <c r="S36" s="7"/>
      <c r="T36" s="7"/>
    </row>
    <row r="37" spans="1:47" ht="15">
      <c r="A37" s="5" t="s">
        <v>48</v>
      </c>
      <c r="B37" s="41">
        <v>7296</v>
      </c>
      <c r="C37" s="9">
        <v>12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909</v>
      </c>
      <c r="N37" s="41">
        <f>921+7296</f>
        <v>8217</v>
      </c>
      <c r="O37" s="17"/>
      <c r="P37" s="17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7079</v>
      </c>
      <c r="N38" s="9">
        <v>7079</v>
      </c>
      <c r="O38" s="17">
        <f>SUM(O31:O35)</f>
        <v>0.64596569002388282</v>
      </c>
      <c r="P38" s="17"/>
      <c r="Q38" s="3"/>
      <c r="R38" s="7" t="s">
        <v>50</v>
      </c>
      <c r="S38" s="18">
        <f>N45/1000</f>
        <v>6.3139200000000004</v>
      </c>
      <c r="T38" s="7"/>
    </row>
    <row r="39" spans="1:47" ht="15">
      <c r="A39" s="5" t="s">
        <v>17</v>
      </c>
      <c r="B39" s="41">
        <v>14588</v>
      </c>
      <c r="C39" s="9">
        <v>42804</v>
      </c>
      <c r="D39" s="9">
        <v>0</v>
      </c>
      <c r="E39" s="9">
        <v>0</v>
      </c>
      <c r="F39" s="9">
        <v>3522</v>
      </c>
      <c r="G39" s="9">
        <v>10062</v>
      </c>
      <c r="H39" s="9">
        <v>0</v>
      </c>
      <c r="I39" s="9"/>
      <c r="J39" s="9"/>
      <c r="K39" s="9"/>
      <c r="L39" s="9"/>
      <c r="M39" s="9">
        <v>57149</v>
      </c>
      <c r="N39" s="41">
        <f>SUM(N31:N38)</f>
        <v>128126</v>
      </c>
      <c r="O39" s="3"/>
      <c r="P39" s="3"/>
      <c r="Q39" s="3"/>
      <c r="R39" s="7" t="s">
        <v>51</v>
      </c>
      <c r="S39" s="19">
        <f>N41/1000</f>
        <v>45.360999999999997</v>
      </c>
      <c r="T39" s="14">
        <f>O41</f>
        <v>0.35403430997611723</v>
      </c>
    </row>
    <row r="40" spans="1:47">
      <c r="R40" s="7" t="s">
        <v>52</v>
      </c>
      <c r="S40" s="19">
        <f>N35/1000</f>
        <v>18.053999999999998</v>
      </c>
      <c r="T40" s="15">
        <f>O35</f>
        <v>0.14090816852161153</v>
      </c>
    </row>
    <row r="41" spans="1:47" ht="15">
      <c r="A41" s="20" t="s">
        <v>53</v>
      </c>
      <c r="B41" s="21">
        <f>B38+B37+B36</f>
        <v>7296</v>
      </c>
      <c r="C41" s="21">
        <f t="shared" ref="C41:N41" si="1">C38+C37+C36</f>
        <v>247</v>
      </c>
      <c r="D41" s="21">
        <f t="shared" si="1"/>
        <v>0</v>
      </c>
      <c r="E41" s="21">
        <f t="shared" si="1"/>
        <v>0</v>
      </c>
      <c r="F41" s="21">
        <f t="shared" si="1"/>
        <v>0</v>
      </c>
      <c r="G41" s="21">
        <f t="shared" si="1"/>
        <v>10062</v>
      </c>
      <c r="H41" s="21">
        <f t="shared" si="1"/>
        <v>0</v>
      </c>
      <c r="I41" s="21">
        <f t="shared" si="1"/>
        <v>0</v>
      </c>
      <c r="J41" s="21">
        <f t="shared" si="1"/>
        <v>0</v>
      </c>
      <c r="K41" s="21">
        <f t="shared" si="1"/>
        <v>0</v>
      </c>
      <c r="L41" s="21">
        <f t="shared" si="1"/>
        <v>0</v>
      </c>
      <c r="M41" s="21">
        <f t="shared" si="1"/>
        <v>27756</v>
      </c>
      <c r="N41" s="21">
        <f t="shared" si="1"/>
        <v>45361</v>
      </c>
      <c r="O41" s="16">
        <f>N41/N$39</f>
        <v>0.35403430997611723</v>
      </c>
      <c r="P41" s="16" t="s">
        <v>54</v>
      </c>
      <c r="Q41" s="7"/>
      <c r="R41" s="7" t="s">
        <v>55</v>
      </c>
      <c r="S41" s="19">
        <f>N33/1000</f>
        <v>14.51</v>
      </c>
      <c r="T41" s="14">
        <f>O33</f>
        <v>0.11324789660178262</v>
      </c>
    </row>
    <row r="42" spans="1:47" ht="15">
      <c r="A42" s="22" t="s">
        <v>56</v>
      </c>
      <c r="B42" s="21"/>
      <c r="C42" s="23">
        <f>C39+C23+C10</f>
        <v>42964</v>
      </c>
      <c r="D42" s="23">
        <f t="shared" ref="D42:L42" si="2">D39+D23+D10</f>
        <v>0</v>
      </c>
      <c r="E42" s="23">
        <f t="shared" si="2"/>
        <v>0</v>
      </c>
      <c r="F42" s="23">
        <f t="shared" si="2"/>
        <v>3522</v>
      </c>
      <c r="G42" s="23">
        <f t="shared" si="2"/>
        <v>30852</v>
      </c>
      <c r="H42" s="23">
        <f t="shared" si="2"/>
        <v>0</v>
      </c>
      <c r="I42" s="23">
        <f t="shared" si="2"/>
        <v>0</v>
      </c>
      <c r="J42" s="23">
        <f t="shared" si="2"/>
        <v>0</v>
      </c>
      <c r="K42" s="23">
        <f t="shared" si="2"/>
        <v>0</v>
      </c>
      <c r="L42" s="23">
        <f t="shared" si="2"/>
        <v>0</v>
      </c>
      <c r="M42" s="23">
        <f>M39+M23-B6+M45</f>
        <v>61720.92</v>
      </c>
      <c r="N42" s="24">
        <f>SUM(C42:M42)</f>
        <v>139058.91999999998</v>
      </c>
      <c r="O42" s="7"/>
      <c r="P42" s="7"/>
      <c r="Q42" s="7"/>
      <c r="R42" s="7" t="s">
        <v>36</v>
      </c>
      <c r="S42" s="19">
        <f>N31/1000</f>
        <v>2.8279999999999998</v>
      </c>
      <c r="T42" s="14">
        <f>O31</f>
        <v>2.2072022852504567E-2</v>
      </c>
    </row>
    <row r="43" spans="1:47" ht="15">
      <c r="A43" s="22" t="s">
        <v>57</v>
      </c>
      <c r="B43" s="21"/>
      <c r="C43" s="16">
        <f t="shared" ref="C43:M43" si="3">C42/$N42</f>
        <v>0.30896256061818977</v>
      </c>
      <c r="D43" s="16">
        <f t="shared" si="3"/>
        <v>0</v>
      </c>
      <c r="E43" s="16">
        <f t="shared" si="3"/>
        <v>0</v>
      </c>
      <c r="F43" s="16">
        <f t="shared" si="3"/>
        <v>2.532739359690123E-2</v>
      </c>
      <c r="G43" s="16">
        <f t="shared" si="3"/>
        <v>0.2218627902474721</v>
      </c>
      <c r="H43" s="16">
        <f t="shared" si="3"/>
        <v>0</v>
      </c>
      <c r="I43" s="16">
        <f t="shared" si="3"/>
        <v>0</v>
      </c>
      <c r="J43" s="16">
        <f t="shared" si="3"/>
        <v>0</v>
      </c>
      <c r="K43" s="16">
        <f t="shared" si="3"/>
        <v>0</v>
      </c>
      <c r="L43" s="16">
        <f t="shared" si="3"/>
        <v>0</v>
      </c>
      <c r="M43" s="16">
        <f t="shared" si="3"/>
        <v>0.44384725553743698</v>
      </c>
      <c r="N43" s="16">
        <f>SUM(C43:M43)</f>
        <v>1</v>
      </c>
      <c r="O43" s="7"/>
      <c r="P43" s="7"/>
      <c r="Q43" s="7"/>
      <c r="R43" s="7" t="s">
        <v>58</v>
      </c>
      <c r="S43" s="19">
        <f>N32/1000</f>
        <v>2.0819999999999999</v>
      </c>
      <c r="T43" s="15">
        <f>O32</f>
        <v>1.6249629271186176E-2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19">
        <f>N34/1000</f>
        <v>45.290999999999997</v>
      </c>
      <c r="T44" s="15">
        <f>O34</f>
        <v>0.35348797277679783</v>
      </c>
    </row>
    <row r="45" spans="1:47" ht="15">
      <c r="A45" s="6" t="s">
        <v>60</v>
      </c>
      <c r="B45" s="6">
        <f>B23-B39</f>
        <v>1742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5">
        <f>M39*0.08</f>
        <v>4571.92</v>
      </c>
      <c r="N45" s="24">
        <f>B45+M45</f>
        <v>6313.92</v>
      </c>
      <c r="O45" s="7"/>
      <c r="P45" s="7"/>
      <c r="Q45" s="7"/>
      <c r="R45" s="7" t="s">
        <v>61</v>
      </c>
      <c r="S45" s="19">
        <f>SUM(S39:S44)</f>
        <v>128.12599999999998</v>
      </c>
      <c r="T45" s="14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75</v>
      </c>
      <c r="B47" s="39">
        <f>(B23-B39)/B23</f>
        <v>0.10667483159828536</v>
      </c>
      <c r="C47" s="26"/>
      <c r="D47" s="37"/>
      <c r="E47" s="26"/>
      <c r="F47" s="26"/>
      <c r="G47" s="37"/>
      <c r="H47" s="26"/>
      <c r="I47" s="26"/>
      <c r="J47" s="26"/>
      <c r="K47" s="26"/>
      <c r="L47" s="26"/>
      <c r="M47" s="26"/>
      <c r="N47" s="26"/>
      <c r="O47" s="37"/>
      <c r="P47" s="26"/>
      <c r="Q47" s="4"/>
      <c r="R47" s="4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"/>
      <c r="AH47" s="4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>
      <c r="A48" s="26"/>
      <c r="B48" s="4"/>
      <c r="C48" s="26"/>
      <c r="D48" s="36"/>
      <c r="E48" s="26"/>
      <c r="F48" s="26"/>
      <c r="G48" s="37"/>
      <c r="H48" s="26"/>
      <c r="I48" s="26"/>
      <c r="J48" s="26"/>
      <c r="K48" s="26"/>
      <c r="L48" s="26"/>
      <c r="M48" s="26"/>
      <c r="N48" s="26"/>
      <c r="O48" s="37"/>
      <c r="P48" s="26"/>
      <c r="Q48" s="26"/>
      <c r="R48" s="4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4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9"/>
      <c r="L49" s="26"/>
      <c r="M49" s="9"/>
      <c r="N49" s="26"/>
      <c r="O49" s="26"/>
      <c r="P49" s="26"/>
      <c r="Q49" s="26"/>
      <c r="R49" s="4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4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>
      <c r="A50" s="26"/>
      <c r="B50" s="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9"/>
      <c r="N50" s="26"/>
      <c r="O50" s="26"/>
      <c r="P50" s="26"/>
      <c r="Q50" s="26"/>
      <c r="R50" s="4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4"/>
      <c r="AI50" s="37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4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4"/>
      <c r="AI51" s="37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>
      <c r="A52" s="26"/>
      <c r="B52" s="4"/>
      <c r="C52" s="26"/>
      <c r="D52" s="26"/>
      <c r="E52" s="26"/>
      <c r="F52" s="26"/>
      <c r="G52" s="26"/>
      <c r="H52" s="26"/>
      <c r="I52" s="26"/>
      <c r="J52" s="9"/>
      <c r="K52" s="26"/>
      <c r="L52" s="26"/>
      <c r="M52" s="26"/>
      <c r="N52" s="26"/>
      <c r="O52" s="26"/>
      <c r="P52" s="26"/>
      <c r="Q52" s="26"/>
      <c r="R52" s="4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4"/>
      <c r="AI52" s="37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9"/>
      <c r="O53" s="26"/>
      <c r="P53" s="26"/>
      <c r="Q53" s="26"/>
      <c r="R53" s="4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4"/>
      <c r="AI53" s="37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4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4"/>
      <c r="AI54" s="37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>
      <c r="A55" s="26"/>
      <c r="B55" s="4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4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4"/>
      <c r="AI55" s="37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>
      <c r="A56" s="26"/>
      <c r="B56" s="4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4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4"/>
      <c r="AI56" s="37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ht="15">
      <c r="A57" s="7"/>
      <c r="B57" s="7"/>
      <c r="C57" s="27"/>
      <c r="D57" s="27"/>
      <c r="E57" s="27"/>
      <c r="F57" s="27"/>
      <c r="G57" s="27"/>
      <c r="H57" s="27"/>
      <c r="I57" s="27"/>
      <c r="J57" s="27"/>
      <c r="K57" s="27"/>
      <c r="L57" s="6"/>
      <c r="M57" s="28"/>
      <c r="N57" s="7"/>
      <c r="O57" s="6"/>
      <c r="P57" s="14"/>
      <c r="Q57" s="7"/>
      <c r="R57" s="7"/>
      <c r="S57" s="6"/>
      <c r="T57" s="29"/>
    </row>
    <row r="58" spans="1:47" ht="15">
      <c r="A58" s="7"/>
      <c r="B58" s="7"/>
      <c r="C58" s="27"/>
      <c r="D58" s="27"/>
      <c r="E58" s="27"/>
      <c r="F58" s="27"/>
      <c r="G58" s="27"/>
      <c r="H58" s="27"/>
      <c r="I58" s="27"/>
      <c r="J58" s="27"/>
      <c r="K58" s="27"/>
      <c r="L58" s="6"/>
      <c r="M58" s="28"/>
      <c r="N58" s="7"/>
      <c r="O58" s="6"/>
      <c r="P58" s="14"/>
      <c r="Q58" s="7"/>
      <c r="R58" s="7"/>
      <c r="S58" s="6"/>
      <c r="T58" s="29"/>
    </row>
    <row r="59" spans="1:47" ht="15">
      <c r="A59" s="7"/>
      <c r="B59" s="7"/>
      <c r="C59" s="27"/>
      <c r="D59" s="27"/>
      <c r="E59" s="27"/>
      <c r="F59" s="27"/>
      <c r="G59" s="27"/>
      <c r="H59" s="27"/>
      <c r="I59" s="27"/>
      <c r="J59" s="27"/>
      <c r="K59" s="27"/>
      <c r="L59" s="6"/>
      <c r="M59" s="28"/>
      <c r="N59" s="7"/>
      <c r="O59" s="6"/>
      <c r="P59" s="14"/>
      <c r="Q59" s="7"/>
      <c r="R59" s="7"/>
      <c r="S59" s="6"/>
      <c r="T59" s="29"/>
    </row>
    <row r="60" spans="1:47" ht="15">
      <c r="A60" s="22"/>
      <c r="B60" s="7"/>
      <c r="C60" s="27"/>
      <c r="D60" s="27"/>
      <c r="E60" s="27"/>
      <c r="F60" s="27"/>
      <c r="G60" s="27"/>
      <c r="H60" s="27"/>
      <c r="I60" s="27"/>
      <c r="J60" s="27"/>
      <c r="K60" s="27"/>
      <c r="L60" s="6"/>
      <c r="M60" s="28"/>
      <c r="N60" s="7"/>
      <c r="O60" s="6"/>
      <c r="P60" s="14"/>
      <c r="Q60" s="7"/>
      <c r="R60" s="7"/>
      <c r="S60" s="6"/>
      <c r="T60" s="29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8"/>
      <c r="N61" s="7"/>
      <c r="O61" s="6"/>
      <c r="P61" s="14"/>
      <c r="Q61" s="7"/>
      <c r="R61" s="7"/>
      <c r="S61" s="30"/>
      <c r="T61" s="31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2"/>
      <c r="C63" s="32"/>
      <c r="D63" s="32"/>
      <c r="E63" s="32"/>
      <c r="F63" s="32"/>
      <c r="G63" s="32"/>
      <c r="H63" s="32"/>
      <c r="I63" s="32"/>
      <c r="J63" s="7"/>
      <c r="K63" s="7"/>
      <c r="L63" s="7"/>
      <c r="M63" s="7"/>
      <c r="N63" s="7"/>
      <c r="O63" s="7"/>
      <c r="P63" s="7"/>
      <c r="Q63" s="7"/>
      <c r="R63" s="7"/>
      <c r="S63" s="32"/>
      <c r="T63" s="33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8"/>
      <c r="Q64" s="7"/>
      <c r="R64" s="7"/>
      <c r="S64" s="6"/>
      <c r="T64" s="29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8"/>
      <c r="Q65" s="7"/>
      <c r="R65" s="7"/>
      <c r="S65" s="6"/>
      <c r="T65" s="29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8"/>
      <c r="Q66" s="7"/>
      <c r="R66" s="7"/>
      <c r="S66" s="6"/>
      <c r="T66" s="29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8"/>
      <c r="Q67" s="7"/>
      <c r="R67" s="7"/>
      <c r="S67" s="6"/>
      <c r="T67" s="29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8"/>
      <c r="Q68" s="7"/>
      <c r="R68" s="7"/>
      <c r="S68" s="6"/>
      <c r="T68" s="29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8"/>
      <c r="Q69" s="7"/>
      <c r="R69" s="7"/>
      <c r="S69" s="6"/>
      <c r="T69" s="29"/>
    </row>
    <row r="70" spans="1:20" ht="15">
      <c r="A70" s="7"/>
      <c r="B70" s="30"/>
      <c r="C70" s="30"/>
      <c r="D70" s="30"/>
      <c r="E70" s="30"/>
      <c r="F70" s="30"/>
      <c r="G70" s="30"/>
      <c r="H70" s="30"/>
      <c r="I70" s="30"/>
      <c r="J70" s="7"/>
      <c r="K70" s="7"/>
      <c r="L70" s="7"/>
      <c r="M70" s="7"/>
      <c r="N70" s="7"/>
      <c r="O70" s="30"/>
      <c r="P70" s="34"/>
      <c r="Q70" s="7"/>
      <c r="R70" s="35"/>
      <c r="S70" s="30"/>
      <c r="T70" s="34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 enableFormatConditionsCalculation="0"/>
  <dimension ref="A1:AU70"/>
  <sheetViews>
    <sheetView zoomScale="125" zoomScaleNormal="125" zoomScalePageLayoutView="125" workbookViewId="0">
      <selection activeCell="A22" sqref="A22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0" width="8.83203125" style="2"/>
    <col min="11" max="11" width="9.5" style="2" bestFit="1" customWidth="1"/>
    <col min="12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63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B5" s="10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45">
        <f>11975453-1369</f>
        <v>11974084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45">
        <v>1369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11975453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63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41">
        <f>5983+37125</f>
        <v>43108</v>
      </c>
      <c r="C18" s="9">
        <v>109</v>
      </c>
      <c r="D18" s="9">
        <v>0</v>
      </c>
      <c r="E18" s="9">
        <v>0</v>
      </c>
      <c r="F18" s="9">
        <v>0</v>
      </c>
      <c r="G18" s="9">
        <v>43358</v>
      </c>
      <c r="H18" s="9">
        <v>0</v>
      </c>
      <c r="I18" s="9"/>
      <c r="J18" s="9"/>
      <c r="K18" s="9"/>
      <c r="L18" s="9"/>
      <c r="M18" s="9"/>
      <c r="N18" s="9">
        <v>43468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345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0">
        <v>350</v>
      </c>
      <c r="N19" s="41">
        <v>350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42" t="s">
        <v>77</v>
      </c>
      <c r="B22" s="41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43453</v>
      </c>
      <c r="C23" s="9">
        <v>109</v>
      </c>
      <c r="D23" s="9">
        <v>0</v>
      </c>
      <c r="E23" s="9">
        <v>0</v>
      </c>
      <c r="F23" s="9">
        <v>0</v>
      </c>
      <c r="G23" s="9">
        <v>43358</v>
      </c>
      <c r="H23" s="9">
        <v>0</v>
      </c>
      <c r="I23" s="9"/>
      <c r="J23" s="9"/>
      <c r="K23" s="9"/>
      <c r="L23" s="9"/>
      <c r="M23" s="41">
        <v>350</v>
      </c>
      <c r="N23" s="41">
        <f>43468+350</f>
        <v>43818</v>
      </c>
      <c r="O23" s="3"/>
      <c r="P23" s="3"/>
      <c r="Q23" s="3"/>
      <c r="R23" s="3" t="s">
        <v>26</v>
      </c>
      <c r="S23" s="12">
        <f>N42/1000</f>
        <v>256.82123999999999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100.76624000000001</v>
      </c>
      <c r="T26" s="14">
        <f>M43</f>
        <v>0.3923594481515626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32</v>
      </c>
      <c r="S27" s="13">
        <f>G42/1000</f>
        <v>57.024999999999999</v>
      </c>
      <c r="T27" s="15">
        <f>G43</f>
        <v>0.22204160372405335</v>
      </c>
    </row>
    <row r="28" spans="1:20" ht="15">
      <c r="A28" s="4" t="s">
        <v>63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8.1579999999999995</v>
      </c>
      <c r="T29" s="14">
        <f>F43</f>
        <v>3.1765285456919375E-2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34</v>
      </c>
      <c r="S30" s="12">
        <f>E42/1000</f>
        <v>2E-3</v>
      </c>
      <c r="T30" s="14">
        <f>E43</f>
        <v>7.7875178859817052E-6</v>
      </c>
    </row>
    <row r="31" spans="1:20" ht="15">
      <c r="A31" s="5" t="s">
        <v>35</v>
      </c>
      <c r="B31" s="9">
        <v>0</v>
      </c>
      <c r="C31" s="45">
        <v>194</v>
      </c>
      <c r="D31" s="9">
        <v>0</v>
      </c>
      <c r="E31" s="9">
        <v>0</v>
      </c>
      <c r="F31" s="45">
        <v>19</v>
      </c>
      <c r="G31" s="9">
        <v>0</v>
      </c>
      <c r="H31" s="9">
        <v>0</v>
      </c>
      <c r="I31" s="9"/>
      <c r="J31" s="9"/>
      <c r="K31" s="9"/>
      <c r="L31" s="9"/>
      <c r="M31" s="9">
        <v>1068</v>
      </c>
      <c r="N31" s="9">
        <v>1281</v>
      </c>
      <c r="O31" s="16">
        <f>N31/N$39</f>
        <v>5.3243223023018028E-3</v>
      </c>
      <c r="P31" s="17" t="s">
        <v>36</v>
      </c>
      <c r="Q31" s="3"/>
      <c r="R31" s="3" t="s">
        <v>37</v>
      </c>
      <c r="S31" s="13">
        <f>C42/1000</f>
        <v>90.87</v>
      </c>
      <c r="T31" s="15">
        <f>C43</f>
        <v>0.35382587514957875</v>
      </c>
    </row>
    <row r="32" spans="1:20" ht="15">
      <c r="A32" s="5" t="s">
        <v>38</v>
      </c>
      <c r="B32" s="9">
        <v>4011</v>
      </c>
      <c r="C32" s="45">
        <f>82</f>
        <v>82</v>
      </c>
      <c r="D32" s="9">
        <v>0</v>
      </c>
      <c r="E32" s="45">
        <v>2</v>
      </c>
      <c r="F32" s="45">
        <v>11</v>
      </c>
      <c r="G32" s="9">
        <v>0</v>
      </c>
      <c r="H32" s="9">
        <v>0</v>
      </c>
      <c r="I32" s="9"/>
      <c r="J32" s="9"/>
      <c r="K32" s="9"/>
      <c r="L32" s="9"/>
      <c r="M32" s="9">
        <v>3366</v>
      </c>
      <c r="N32" s="36">
        <v>7472</v>
      </c>
      <c r="O32" s="16">
        <f>N32/N$39</f>
        <v>3.1056468573613639E-2</v>
      </c>
      <c r="P32" s="17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9">
        <v>7373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12830</v>
      </c>
      <c r="N33" s="9">
        <v>20203</v>
      </c>
      <c r="O33" s="16">
        <f>N33/N$39</f>
        <v>8.3971337606091587E-2</v>
      </c>
      <c r="P33" s="17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90413</v>
      </c>
      <c r="D34" s="9">
        <v>0</v>
      </c>
      <c r="E34" s="9">
        <v>0</v>
      </c>
      <c r="F34" s="9">
        <v>8128</v>
      </c>
      <c r="G34" s="9">
        <v>0</v>
      </c>
      <c r="H34" s="9">
        <v>0</v>
      </c>
      <c r="I34" s="9"/>
      <c r="J34" s="9"/>
      <c r="K34" s="9"/>
      <c r="L34" s="9"/>
      <c r="M34" s="9">
        <v>17996</v>
      </c>
      <c r="N34" s="9">
        <v>116538</v>
      </c>
      <c r="O34" s="16">
        <f>N34/N$39</f>
        <v>0.48437616898177011</v>
      </c>
      <c r="P34" s="17" t="s">
        <v>44</v>
      </c>
      <c r="Q34" s="3"/>
      <c r="R34" s="3"/>
      <c r="S34" s="13">
        <f>SUM(S26:S33)</f>
        <v>256.82123999999999</v>
      </c>
      <c r="T34" s="14">
        <f>SUM(T26:T33)</f>
        <v>1</v>
      </c>
    </row>
    <row r="35" spans="1:47" ht="15">
      <c r="A35" s="5" t="s">
        <v>45</v>
      </c>
      <c r="B35" s="9">
        <v>7034</v>
      </c>
      <c r="C35" s="9">
        <v>14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19796</v>
      </c>
      <c r="N35" s="9">
        <v>26844</v>
      </c>
      <c r="O35" s="16">
        <f>N35/N$39</f>
        <v>0.11157385470959376</v>
      </c>
      <c r="P35" s="17" t="s">
        <v>46</v>
      </c>
      <c r="Q35" s="17"/>
    </row>
    <row r="36" spans="1:47" ht="15">
      <c r="A36" s="5" t="s">
        <v>47</v>
      </c>
      <c r="B36" s="9">
        <v>8041</v>
      </c>
      <c r="C36" s="9">
        <v>58</v>
      </c>
      <c r="D36" s="9">
        <v>0</v>
      </c>
      <c r="E36" s="9">
        <v>0</v>
      </c>
      <c r="F36" s="9">
        <v>0</v>
      </c>
      <c r="G36" s="9">
        <v>13667</v>
      </c>
      <c r="H36" s="9">
        <v>0</v>
      </c>
      <c r="I36" s="9"/>
      <c r="J36" s="9"/>
      <c r="K36" s="9"/>
      <c r="L36" s="9"/>
      <c r="M36" s="9">
        <v>30497</v>
      </c>
      <c r="N36" s="9">
        <v>52263</v>
      </c>
      <c r="O36" s="17"/>
      <c r="P36" s="17"/>
      <c r="Q36" s="3"/>
      <c r="R36" s="7"/>
      <c r="S36" s="7"/>
      <c r="T36" s="7"/>
    </row>
    <row r="37" spans="1:47" ht="15">
      <c r="A37" s="5" t="s">
        <v>48</v>
      </c>
      <c r="B37" s="9">
        <v>8569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2778</v>
      </c>
      <c r="N37" s="9">
        <v>11347</v>
      </c>
      <c r="O37" s="17"/>
      <c r="P37" s="17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4646</v>
      </c>
      <c r="N38" s="9">
        <v>4646</v>
      </c>
      <c r="O38" s="17">
        <f>SUM(O31:O35)</f>
        <v>0.7163021521733709</v>
      </c>
      <c r="P38" s="17"/>
      <c r="Q38" s="3"/>
      <c r="R38" s="7" t="s">
        <v>50</v>
      </c>
      <c r="S38" s="18">
        <f>N45/1000</f>
        <v>15.863239999999999</v>
      </c>
      <c r="T38" s="7"/>
    </row>
    <row r="39" spans="1:47" ht="15">
      <c r="A39" s="5" t="s">
        <v>17</v>
      </c>
      <c r="B39" s="9">
        <v>35028</v>
      </c>
      <c r="C39" s="9">
        <v>90761</v>
      </c>
      <c r="D39" s="9">
        <v>0</v>
      </c>
      <c r="E39" s="45">
        <v>2</v>
      </c>
      <c r="F39" s="9">
        <v>8158</v>
      </c>
      <c r="G39" s="9">
        <v>13667</v>
      </c>
      <c r="H39" s="9">
        <v>0</v>
      </c>
      <c r="I39" s="9"/>
      <c r="J39" s="9"/>
      <c r="K39" s="9"/>
      <c r="L39" s="9"/>
      <c r="M39" s="9">
        <v>92978</v>
      </c>
      <c r="N39" s="36">
        <v>240594</v>
      </c>
      <c r="O39" s="3"/>
      <c r="P39" s="3"/>
      <c r="Q39" s="3"/>
      <c r="R39" s="7" t="s">
        <v>51</v>
      </c>
      <c r="S39" s="19">
        <f>N41/1000</f>
        <v>68.256</v>
      </c>
      <c r="T39" s="14">
        <f>O41</f>
        <v>0.2836978478266291</v>
      </c>
    </row>
    <row r="40" spans="1:47">
      <c r="R40" s="7" t="s">
        <v>52</v>
      </c>
      <c r="S40" s="19">
        <f>N35/1000</f>
        <v>26.844000000000001</v>
      </c>
      <c r="T40" s="15">
        <f>O35</f>
        <v>0.11157385470959376</v>
      </c>
    </row>
    <row r="41" spans="1:47" ht="15">
      <c r="A41" s="20" t="s">
        <v>53</v>
      </c>
      <c r="B41" s="21">
        <f>B38+B37+B36</f>
        <v>16610</v>
      </c>
      <c r="C41" s="21">
        <f t="shared" ref="C41:N41" si="0">C38+C37+C36</f>
        <v>58</v>
      </c>
      <c r="D41" s="21">
        <f t="shared" si="0"/>
        <v>0</v>
      </c>
      <c r="E41" s="21">
        <f t="shared" si="0"/>
        <v>0</v>
      </c>
      <c r="F41" s="21">
        <f t="shared" si="0"/>
        <v>0</v>
      </c>
      <c r="G41" s="21">
        <f t="shared" si="0"/>
        <v>13667</v>
      </c>
      <c r="H41" s="21">
        <f t="shared" si="0"/>
        <v>0</v>
      </c>
      <c r="I41" s="21">
        <f t="shared" si="0"/>
        <v>0</v>
      </c>
      <c r="J41" s="21">
        <f t="shared" si="0"/>
        <v>0</v>
      </c>
      <c r="K41" s="21">
        <f t="shared" si="0"/>
        <v>0</v>
      </c>
      <c r="L41" s="21">
        <f t="shared" si="0"/>
        <v>0</v>
      </c>
      <c r="M41" s="21">
        <f t="shared" si="0"/>
        <v>37921</v>
      </c>
      <c r="N41" s="21">
        <f t="shared" si="0"/>
        <v>68256</v>
      </c>
      <c r="O41" s="16">
        <f>N41/N$39</f>
        <v>0.2836978478266291</v>
      </c>
      <c r="P41" s="16" t="s">
        <v>54</v>
      </c>
      <c r="Q41" s="7"/>
      <c r="R41" s="7" t="s">
        <v>55</v>
      </c>
      <c r="S41" s="19">
        <f>N33/1000</f>
        <v>20.202999999999999</v>
      </c>
      <c r="T41" s="14">
        <f>O33</f>
        <v>8.3971337606091587E-2</v>
      </c>
    </row>
    <row r="42" spans="1:47" ht="15">
      <c r="A42" s="22" t="s">
        <v>56</v>
      </c>
      <c r="B42" s="21"/>
      <c r="C42" s="23">
        <f>C39+C23+C10</f>
        <v>90870</v>
      </c>
      <c r="D42" s="23">
        <f t="shared" ref="D42:L42" si="1">D39+D23+D10</f>
        <v>0</v>
      </c>
      <c r="E42" s="23">
        <f t="shared" si="1"/>
        <v>2</v>
      </c>
      <c r="F42" s="23">
        <f t="shared" si="1"/>
        <v>8158</v>
      </c>
      <c r="G42" s="23">
        <f t="shared" si="1"/>
        <v>57025</v>
      </c>
      <c r="H42" s="23">
        <f t="shared" si="1"/>
        <v>0</v>
      </c>
      <c r="I42" s="23">
        <f t="shared" si="1"/>
        <v>0</v>
      </c>
      <c r="J42" s="23">
        <f t="shared" si="1"/>
        <v>0</v>
      </c>
      <c r="K42" s="23">
        <f t="shared" si="1"/>
        <v>0</v>
      </c>
      <c r="L42" s="23">
        <f t="shared" si="1"/>
        <v>0</v>
      </c>
      <c r="M42" s="23">
        <f>M39+M23-B6+M45</f>
        <v>100766.24</v>
      </c>
      <c r="N42" s="24">
        <f>SUM(C42:M42)</f>
        <v>256821.24</v>
      </c>
      <c r="O42" s="7"/>
      <c r="P42" s="7"/>
      <c r="Q42" s="7"/>
      <c r="R42" s="7" t="s">
        <v>36</v>
      </c>
      <c r="S42" s="19">
        <f>N31/1000</f>
        <v>1.2809999999999999</v>
      </c>
      <c r="T42" s="14">
        <f>O31</f>
        <v>5.3243223023018028E-3</v>
      </c>
    </row>
    <row r="43" spans="1:47" ht="15">
      <c r="A43" s="22" t="s">
        <v>57</v>
      </c>
      <c r="B43" s="21"/>
      <c r="C43" s="16">
        <f t="shared" ref="C43:M43" si="2">C42/$N42</f>
        <v>0.35382587514957875</v>
      </c>
      <c r="D43" s="16">
        <f t="shared" si="2"/>
        <v>0</v>
      </c>
      <c r="E43" s="16">
        <f t="shared" si="2"/>
        <v>7.7875178859817052E-6</v>
      </c>
      <c r="F43" s="16">
        <f t="shared" si="2"/>
        <v>3.1765285456919375E-2</v>
      </c>
      <c r="G43" s="16">
        <f t="shared" si="2"/>
        <v>0.22204160372405335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0.3923594481515626</v>
      </c>
      <c r="N43" s="16">
        <f>SUM(C43:M43)</f>
        <v>1</v>
      </c>
      <c r="O43" s="7"/>
      <c r="P43" s="7"/>
      <c r="Q43" s="7"/>
      <c r="R43" s="7" t="s">
        <v>58</v>
      </c>
      <c r="S43" s="19">
        <f>N32/1000</f>
        <v>7.4720000000000004</v>
      </c>
      <c r="T43" s="15">
        <f>O32</f>
        <v>3.1056468573613639E-2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19">
        <f>N34/1000</f>
        <v>116.538</v>
      </c>
      <c r="T44" s="15">
        <f>O34</f>
        <v>0.48437616898177011</v>
      </c>
    </row>
    <row r="45" spans="1:47" ht="15">
      <c r="A45" s="6" t="s">
        <v>60</v>
      </c>
      <c r="B45" s="6">
        <f>B23-B39</f>
        <v>8425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5">
        <f>M39*0.08</f>
        <v>7438.24</v>
      </c>
      <c r="N45" s="24">
        <f>B45+M45</f>
        <v>15863.24</v>
      </c>
      <c r="O45" s="7"/>
      <c r="P45" s="7"/>
      <c r="Q45" s="7"/>
      <c r="R45" s="7" t="s">
        <v>61</v>
      </c>
      <c r="S45" s="19">
        <f>SUM(S39:S44)</f>
        <v>240.59399999999999</v>
      </c>
      <c r="T45" s="14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75</v>
      </c>
      <c r="B47" s="38">
        <f>(B23-B39)/B23</f>
        <v>0.1938876487239086</v>
      </c>
      <c r="C47" s="26"/>
      <c r="D47" s="37"/>
      <c r="E47" s="26"/>
      <c r="F47" s="26"/>
      <c r="G47" s="37"/>
      <c r="H47" s="26"/>
      <c r="I47" s="26"/>
      <c r="J47" s="26"/>
      <c r="K47" s="26"/>
      <c r="L47" s="26"/>
      <c r="M47" s="26"/>
      <c r="N47" s="26"/>
      <c r="O47" s="26"/>
      <c r="P47" s="26"/>
      <c r="Q47" s="4"/>
      <c r="R47" s="4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"/>
      <c r="AH47" s="4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>
      <c r="A48" s="26"/>
      <c r="B48" s="4"/>
      <c r="C48" s="26"/>
      <c r="D48" s="37"/>
      <c r="E48" s="26"/>
      <c r="F48" s="37"/>
      <c r="G48" s="37"/>
      <c r="H48" s="26"/>
      <c r="I48" s="26"/>
      <c r="J48" s="26"/>
      <c r="K48" s="26"/>
      <c r="L48" s="26"/>
      <c r="M48" s="26"/>
      <c r="N48" s="26"/>
      <c r="O48" s="37"/>
      <c r="P48" s="26"/>
      <c r="Q48" s="26"/>
      <c r="R48" s="4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4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9"/>
      <c r="L49" s="26"/>
      <c r="M49" s="26"/>
      <c r="N49" s="26"/>
      <c r="O49" s="26"/>
      <c r="P49" s="26"/>
      <c r="Q49" s="26"/>
      <c r="R49" s="4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4"/>
      <c r="AI49" s="37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>
      <c r="A50" s="26"/>
      <c r="B50" s="4"/>
      <c r="C50" s="26"/>
      <c r="D50" s="26"/>
      <c r="E50" s="26"/>
      <c r="F50" s="26"/>
      <c r="G50" s="26"/>
      <c r="H50" s="26"/>
      <c r="I50" s="26"/>
      <c r="J50" s="26"/>
      <c r="K50" s="9"/>
      <c r="L50" s="26"/>
      <c r="M50" s="26"/>
      <c r="N50" s="26"/>
      <c r="O50" s="26"/>
      <c r="P50" s="26"/>
      <c r="Q50" s="26"/>
      <c r="R50" s="4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4"/>
      <c r="AI50" s="37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9"/>
      <c r="L51" s="9"/>
      <c r="M51" s="26"/>
      <c r="N51" s="26"/>
      <c r="O51" s="26"/>
      <c r="P51" s="26"/>
      <c r="Q51" s="26"/>
      <c r="R51" s="4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4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>
      <c r="A52" s="26"/>
      <c r="B52" s="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4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4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4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4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4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4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>
      <c r="A55" s="26"/>
      <c r="B55" s="4"/>
      <c r="C55" s="26"/>
      <c r="D55" s="26"/>
      <c r="E55" s="26"/>
      <c r="F55" s="37"/>
      <c r="G55" s="26"/>
      <c r="H55" s="26"/>
      <c r="I55" s="26"/>
      <c r="J55" s="26"/>
      <c r="K55" s="26"/>
      <c r="L55" s="26"/>
      <c r="M55" s="26"/>
      <c r="N55" s="26"/>
      <c r="O55" s="37"/>
      <c r="P55" s="26"/>
      <c r="Q55" s="26"/>
      <c r="R55" s="4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4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>
      <c r="A56" s="26"/>
      <c r="B56" s="4"/>
      <c r="C56" s="26"/>
      <c r="D56" s="26"/>
      <c r="E56" s="26"/>
      <c r="F56" s="37"/>
      <c r="G56" s="26"/>
      <c r="H56" s="26"/>
      <c r="I56" s="26"/>
      <c r="J56" s="26"/>
      <c r="K56" s="26"/>
      <c r="L56" s="26"/>
      <c r="M56" s="26"/>
      <c r="N56" s="26"/>
      <c r="O56" s="37"/>
      <c r="P56" s="26"/>
      <c r="Q56" s="26"/>
      <c r="R56" s="4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4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ht="15">
      <c r="A57" s="7"/>
      <c r="B57" s="7"/>
      <c r="C57" s="27"/>
      <c r="D57" s="27"/>
      <c r="E57" s="27"/>
      <c r="F57" s="27"/>
      <c r="G57" s="27"/>
      <c r="H57" s="27"/>
      <c r="I57" s="27"/>
      <c r="J57" s="27"/>
      <c r="K57" s="27"/>
      <c r="L57" s="6"/>
      <c r="M57" s="28"/>
      <c r="N57" s="7"/>
      <c r="O57" s="6"/>
      <c r="P57" s="14"/>
      <c r="Q57" s="7"/>
      <c r="R57" s="7"/>
      <c r="S57" s="6"/>
      <c r="T57" s="29"/>
    </row>
    <row r="58" spans="1:47" ht="15">
      <c r="A58" s="7"/>
      <c r="B58" s="7"/>
      <c r="C58" s="27"/>
      <c r="D58" s="27"/>
      <c r="E58" s="27"/>
      <c r="F58" s="27"/>
      <c r="G58" s="27"/>
      <c r="H58" s="27"/>
      <c r="I58" s="27"/>
      <c r="J58" s="27"/>
      <c r="K58" s="27"/>
      <c r="L58" s="6"/>
      <c r="M58" s="28"/>
      <c r="N58" s="7"/>
      <c r="O58" s="6"/>
      <c r="P58" s="14"/>
      <c r="Q58" s="7"/>
      <c r="R58" s="7"/>
      <c r="S58" s="6"/>
      <c r="T58" s="29"/>
    </row>
    <row r="59" spans="1:47" ht="15">
      <c r="A59" s="7"/>
      <c r="B59" s="7"/>
      <c r="C59" s="27"/>
      <c r="D59" s="27"/>
      <c r="E59" s="27"/>
      <c r="F59" s="27"/>
      <c r="G59" s="27"/>
      <c r="H59" s="27"/>
      <c r="I59" s="27"/>
      <c r="J59" s="27"/>
      <c r="K59" s="27"/>
      <c r="L59" s="6"/>
      <c r="M59" s="28"/>
      <c r="N59" s="7"/>
      <c r="O59" s="6"/>
      <c r="P59" s="14"/>
      <c r="Q59" s="7"/>
      <c r="R59" s="7"/>
      <c r="S59" s="6"/>
      <c r="T59" s="29"/>
    </row>
    <row r="60" spans="1:47" ht="15">
      <c r="A60" s="22"/>
      <c r="B60" s="7"/>
      <c r="C60" s="27"/>
      <c r="D60" s="27"/>
      <c r="E60" s="27"/>
      <c r="F60" s="27"/>
      <c r="G60" s="27"/>
      <c r="H60" s="27"/>
      <c r="I60" s="27"/>
      <c r="J60" s="27"/>
      <c r="K60" s="27"/>
      <c r="L60" s="6"/>
      <c r="M60" s="28"/>
      <c r="N60" s="7"/>
      <c r="O60" s="6"/>
      <c r="P60" s="14"/>
      <c r="Q60" s="7"/>
      <c r="R60" s="7"/>
      <c r="S60" s="6"/>
      <c r="T60" s="29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8"/>
      <c r="N61" s="7"/>
      <c r="O61" s="6"/>
      <c r="P61" s="14"/>
      <c r="Q61" s="7"/>
      <c r="R61" s="7"/>
      <c r="S61" s="30"/>
      <c r="T61" s="31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2"/>
      <c r="C63" s="32"/>
      <c r="D63" s="32"/>
      <c r="E63" s="32"/>
      <c r="F63" s="32"/>
      <c r="G63" s="32"/>
      <c r="H63" s="32"/>
      <c r="I63" s="32"/>
      <c r="J63" s="7"/>
      <c r="K63" s="7"/>
      <c r="L63" s="7"/>
      <c r="M63" s="7"/>
      <c r="N63" s="7"/>
      <c r="O63" s="7"/>
      <c r="P63" s="7"/>
      <c r="Q63" s="7"/>
      <c r="R63" s="7"/>
      <c r="S63" s="32"/>
      <c r="T63" s="33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8"/>
      <c r="Q64" s="7"/>
      <c r="R64" s="7"/>
      <c r="S64" s="6"/>
      <c r="T64" s="29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8"/>
      <c r="Q65" s="7"/>
      <c r="R65" s="7"/>
      <c r="S65" s="6"/>
      <c r="T65" s="29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8"/>
      <c r="Q66" s="7"/>
      <c r="R66" s="7"/>
      <c r="S66" s="6"/>
      <c r="T66" s="29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8"/>
      <c r="Q67" s="7"/>
      <c r="R67" s="7"/>
      <c r="S67" s="6"/>
      <c r="T67" s="29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8"/>
      <c r="Q68" s="7"/>
      <c r="R68" s="7"/>
      <c r="S68" s="6"/>
      <c r="T68" s="29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8"/>
      <c r="Q69" s="7"/>
      <c r="R69" s="7"/>
      <c r="S69" s="6"/>
      <c r="T69" s="29"/>
    </row>
    <row r="70" spans="1:20" ht="15">
      <c r="A70" s="7"/>
      <c r="B70" s="30"/>
      <c r="C70" s="30"/>
      <c r="D70" s="30"/>
      <c r="E70" s="30"/>
      <c r="F70" s="30"/>
      <c r="G70" s="30"/>
      <c r="H70" s="30"/>
      <c r="I70" s="30"/>
      <c r="J70" s="7"/>
      <c r="K70" s="7"/>
      <c r="L70" s="7"/>
      <c r="M70" s="7"/>
      <c r="N70" s="7"/>
      <c r="O70" s="30"/>
      <c r="P70" s="34"/>
      <c r="Q70" s="7"/>
      <c r="R70" s="35"/>
      <c r="S70" s="30"/>
      <c r="T70" s="34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 enableFormatConditionsCalculation="0"/>
  <dimension ref="A1:AU70"/>
  <sheetViews>
    <sheetView zoomScale="125" zoomScaleNormal="125" zoomScalePageLayoutView="125" workbookViewId="0">
      <selection activeCell="A22" sqref="A22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64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64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41">
        <f>3125+27611</f>
        <v>30736</v>
      </c>
      <c r="C18" s="9">
        <v>1652</v>
      </c>
      <c r="D18" s="40">
        <v>0</v>
      </c>
      <c r="E18" s="9">
        <v>0</v>
      </c>
      <c r="F18" s="9">
        <v>0</v>
      </c>
      <c r="G18" s="9">
        <v>14235</v>
      </c>
      <c r="H18" s="9">
        <v>0</v>
      </c>
      <c r="I18" s="9"/>
      <c r="J18" s="40">
        <v>16813</v>
      </c>
      <c r="K18" s="9"/>
      <c r="L18" s="9"/>
      <c r="M18" s="9"/>
      <c r="N18" s="9">
        <v>32700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42" t="s">
        <v>77</v>
      </c>
      <c r="B22" s="41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30736</v>
      </c>
      <c r="C23" s="9">
        <v>1652</v>
      </c>
      <c r="D23" s="40">
        <v>0</v>
      </c>
      <c r="E23" s="9">
        <v>0</v>
      </c>
      <c r="F23" s="9">
        <v>0</v>
      </c>
      <c r="G23" s="9">
        <v>14235</v>
      </c>
      <c r="H23" s="9">
        <v>0</v>
      </c>
      <c r="I23" s="9"/>
      <c r="J23" s="40">
        <v>16813</v>
      </c>
      <c r="K23" s="9"/>
      <c r="L23" s="9"/>
      <c r="M23" s="9"/>
      <c r="N23" s="9">
        <v>32700</v>
      </c>
      <c r="O23" s="3"/>
      <c r="P23" s="3"/>
      <c r="Q23" s="3"/>
      <c r="R23" s="3" t="s">
        <v>26</v>
      </c>
      <c r="S23" s="12">
        <f>N42/1000</f>
        <v>184.91344000000001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43.570440000000005</v>
      </c>
      <c r="T26" s="14">
        <f>M43</f>
        <v>0.23562613945205932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32</v>
      </c>
      <c r="S27" s="13">
        <f>G42/1000</f>
        <v>26.591000000000001</v>
      </c>
      <c r="T27" s="15">
        <f>G43</f>
        <v>0.14380241912107633</v>
      </c>
    </row>
    <row r="28" spans="1:20" ht="15">
      <c r="A28" s="4" t="s">
        <v>64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16.812999999999999</v>
      </c>
      <c r="T28" s="14">
        <f>J43</f>
        <v>9.0923623507301571E-2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8.5069999999999997</v>
      </c>
      <c r="T29" s="14">
        <f>F43</f>
        <v>4.6005309294986883E-2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34</v>
      </c>
      <c r="S30" s="12">
        <f>E42/1000</f>
        <v>0</v>
      </c>
      <c r="T30" s="14">
        <f>E43</f>
        <v>0</v>
      </c>
    </row>
    <row r="31" spans="1:20" ht="15">
      <c r="A31" s="5" t="s">
        <v>35</v>
      </c>
      <c r="B31" s="9">
        <v>0</v>
      </c>
      <c r="C31" s="45">
        <f>(201/0.09)*0.91</f>
        <v>2032.3333333333335</v>
      </c>
      <c r="D31" s="9">
        <v>0</v>
      </c>
      <c r="E31" s="9">
        <v>0</v>
      </c>
      <c r="F31" s="9">
        <v>201</v>
      </c>
      <c r="G31" s="9">
        <v>0</v>
      </c>
      <c r="H31" s="9">
        <v>0</v>
      </c>
      <c r="I31" s="9"/>
      <c r="J31" s="9"/>
      <c r="K31" s="9"/>
      <c r="L31" s="9"/>
      <c r="M31" s="9">
        <v>1689</v>
      </c>
      <c r="N31" s="45">
        <f>SUM(C31:M31)</f>
        <v>3922.3333333333335</v>
      </c>
      <c r="O31" s="16">
        <f>N31/N$39</f>
        <v>2.2622494453480371E-2</v>
      </c>
      <c r="P31" s="17" t="s">
        <v>36</v>
      </c>
      <c r="Q31" s="3"/>
      <c r="R31" s="3" t="s">
        <v>37</v>
      </c>
      <c r="S31" s="13">
        <f>C42/1000</f>
        <v>89.432000000000002</v>
      </c>
      <c r="T31" s="15">
        <f>C43</f>
        <v>0.48364250862457592</v>
      </c>
    </row>
    <row r="32" spans="1:20" ht="15">
      <c r="A32" s="5" t="s">
        <v>38</v>
      </c>
      <c r="B32" s="9">
        <v>4392</v>
      </c>
      <c r="C32" s="45">
        <v>617</v>
      </c>
      <c r="D32" s="9">
        <v>0</v>
      </c>
      <c r="E32" s="9">
        <v>0</v>
      </c>
      <c r="F32" s="9">
        <v>62</v>
      </c>
      <c r="G32" s="45">
        <v>340</v>
      </c>
      <c r="H32" s="9">
        <v>0</v>
      </c>
      <c r="I32" s="9"/>
      <c r="J32" s="9"/>
      <c r="K32" s="9"/>
      <c r="L32" s="9"/>
      <c r="M32" s="9">
        <v>2662</v>
      </c>
      <c r="N32" s="9">
        <v>8073</v>
      </c>
      <c r="O32" s="16">
        <f>N32/N$39</f>
        <v>4.6561926843616985E-2</v>
      </c>
      <c r="P32" s="17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9">
        <v>8651</v>
      </c>
      <c r="C33" s="9">
        <v>213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6160</v>
      </c>
      <c r="N33" s="9">
        <v>15024</v>
      </c>
      <c r="O33" s="16">
        <f>N33/N$39</f>
        <v>8.6652593694847221E-2</v>
      </c>
      <c r="P33" s="17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84611</v>
      </c>
      <c r="D34" s="9">
        <v>0</v>
      </c>
      <c r="E34" s="9">
        <v>0</v>
      </c>
      <c r="F34" s="9">
        <v>8245</v>
      </c>
      <c r="G34" s="9">
        <v>0</v>
      </c>
      <c r="H34" s="9">
        <v>0</v>
      </c>
      <c r="I34" s="9"/>
      <c r="J34" s="9"/>
      <c r="K34" s="9"/>
      <c r="L34" s="9"/>
      <c r="M34" s="9">
        <v>91</v>
      </c>
      <c r="N34" s="9">
        <v>92946</v>
      </c>
      <c r="O34" s="16">
        <f>N34/N$39</f>
        <v>0.53607640931584588</v>
      </c>
      <c r="P34" s="17" t="s">
        <v>44</v>
      </c>
      <c r="Q34" s="3"/>
      <c r="R34" s="3"/>
      <c r="S34" s="13">
        <f>SUM(S26:S33)</f>
        <v>184.91344000000001</v>
      </c>
      <c r="T34" s="14">
        <f>SUM(T26:T33)</f>
        <v>1</v>
      </c>
    </row>
    <row r="35" spans="1:47" ht="15">
      <c r="A35" s="5" t="s">
        <v>45</v>
      </c>
      <c r="B35" s="9">
        <v>2292</v>
      </c>
      <c r="C35" s="9">
        <v>60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7516</v>
      </c>
      <c r="N35" s="9">
        <v>9868</v>
      </c>
      <c r="O35" s="16">
        <f>N35/N$39</f>
        <v>5.6914789309155507E-2</v>
      </c>
      <c r="P35" s="17" t="s">
        <v>46</v>
      </c>
      <c r="Q35" s="17"/>
    </row>
    <row r="36" spans="1:47" ht="15">
      <c r="A36" s="5" t="s">
        <v>47</v>
      </c>
      <c r="B36" s="9">
        <v>3303</v>
      </c>
      <c r="C36" s="9">
        <v>128</v>
      </c>
      <c r="D36" s="9">
        <v>0</v>
      </c>
      <c r="E36" s="9">
        <v>0</v>
      </c>
      <c r="F36" s="9">
        <v>0</v>
      </c>
      <c r="G36" s="45">
        <f>12016</f>
        <v>12016</v>
      </c>
      <c r="H36" s="9">
        <v>0</v>
      </c>
      <c r="I36" s="9"/>
      <c r="J36" s="9"/>
      <c r="K36" s="9"/>
      <c r="L36" s="9"/>
      <c r="M36" s="9">
        <v>17311</v>
      </c>
      <c r="N36" s="45">
        <v>32758</v>
      </c>
      <c r="O36" s="17"/>
      <c r="P36" s="17"/>
      <c r="Q36" s="3"/>
      <c r="R36" s="7"/>
      <c r="S36" s="7"/>
      <c r="T36" s="7"/>
    </row>
    <row r="37" spans="1:47" ht="15">
      <c r="A37" s="5" t="s">
        <v>48</v>
      </c>
      <c r="B37" s="9">
        <v>5757</v>
      </c>
      <c r="C37" s="9">
        <v>119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1009</v>
      </c>
      <c r="N37" s="9">
        <v>6886</v>
      </c>
      <c r="O37" s="17"/>
      <c r="P37" s="17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3905</v>
      </c>
      <c r="N38" s="9">
        <v>3905</v>
      </c>
      <c r="O38" s="17">
        <f>SUM(O31:O35)</f>
        <v>0.74882821361694596</v>
      </c>
      <c r="P38" s="17"/>
      <c r="Q38" s="3"/>
      <c r="R38" s="7" t="s">
        <v>50</v>
      </c>
      <c r="S38" s="18">
        <f>N45/1000</f>
        <v>9.5684400000000007</v>
      </c>
      <c r="T38" s="7"/>
    </row>
    <row r="39" spans="1:47" ht="15">
      <c r="A39" s="5" t="s">
        <v>17</v>
      </c>
      <c r="B39" s="9">
        <v>24395</v>
      </c>
      <c r="C39" s="45">
        <v>87780</v>
      </c>
      <c r="D39" s="9">
        <v>0</v>
      </c>
      <c r="E39" s="9">
        <v>0</v>
      </c>
      <c r="F39" s="9">
        <v>8507</v>
      </c>
      <c r="G39" s="45">
        <v>12356</v>
      </c>
      <c r="H39" s="9">
        <v>0</v>
      </c>
      <c r="I39" s="9"/>
      <c r="J39" s="9"/>
      <c r="K39" s="9"/>
      <c r="L39" s="9"/>
      <c r="M39" s="9">
        <v>40343</v>
      </c>
      <c r="N39" s="9">
        <v>173382</v>
      </c>
      <c r="O39" s="3"/>
      <c r="P39" s="3"/>
      <c r="Q39" s="3"/>
      <c r="R39" s="7" t="s">
        <v>51</v>
      </c>
      <c r="S39" s="19">
        <f>N41/1000</f>
        <v>43.548999999999999</v>
      </c>
      <c r="T39" s="14">
        <f>O41</f>
        <v>0.25117370892018781</v>
      </c>
    </row>
    <row r="40" spans="1:47">
      <c r="R40" s="7" t="s">
        <v>52</v>
      </c>
      <c r="S40" s="19">
        <f>N35/1000</f>
        <v>9.8680000000000003</v>
      </c>
      <c r="T40" s="15">
        <f>O35</f>
        <v>5.6914789309155507E-2</v>
      </c>
    </row>
    <row r="41" spans="1:47" ht="15">
      <c r="A41" s="20" t="s">
        <v>53</v>
      </c>
      <c r="B41" s="21">
        <f>B38+B37+B36</f>
        <v>9060</v>
      </c>
      <c r="C41" s="21">
        <f t="shared" ref="C41:N41" si="0">C38+C37+C36</f>
        <v>247</v>
      </c>
      <c r="D41" s="21">
        <f t="shared" si="0"/>
        <v>0</v>
      </c>
      <c r="E41" s="21">
        <f t="shared" si="0"/>
        <v>0</v>
      </c>
      <c r="F41" s="21">
        <f t="shared" si="0"/>
        <v>0</v>
      </c>
      <c r="G41" s="21">
        <f t="shared" si="0"/>
        <v>12016</v>
      </c>
      <c r="H41" s="21">
        <f t="shared" si="0"/>
        <v>0</v>
      </c>
      <c r="I41" s="21">
        <f t="shared" si="0"/>
        <v>0</v>
      </c>
      <c r="J41" s="21">
        <f t="shared" si="0"/>
        <v>0</v>
      </c>
      <c r="K41" s="21">
        <f t="shared" si="0"/>
        <v>0</v>
      </c>
      <c r="L41" s="21">
        <f t="shared" si="0"/>
        <v>0</v>
      </c>
      <c r="M41" s="21">
        <f t="shared" si="0"/>
        <v>22225</v>
      </c>
      <c r="N41" s="21">
        <f t="shared" si="0"/>
        <v>43549</v>
      </c>
      <c r="O41" s="16">
        <f>N41/N$39</f>
        <v>0.25117370892018781</v>
      </c>
      <c r="P41" s="16" t="s">
        <v>54</v>
      </c>
      <c r="Q41" s="7"/>
      <c r="R41" s="7" t="s">
        <v>55</v>
      </c>
      <c r="S41" s="19">
        <f>N33/1000</f>
        <v>15.023999999999999</v>
      </c>
      <c r="T41" s="14">
        <f>O33</f>
        <v>8.6652593694847221E-2</v>
      </c>
    </row>
    <row r="42" spans="1:47" ht="15">
      <c r="A42" s="22" t="s">
        <v>56</v>
      </c>
      <c r="B42" s="21"/>
      <c r="C42" s="23">
        <f>C39+C23+C10</f>
        <v>89432</v>
      </c>
      <c r="D42" s="23">
        <f t="shared" ref="D42:L42" si="1">D39+D23+D10</f>
        <v>0</v>
      </c>
      <c r="E42" s="23">
        <f t="shared" si="1"/>
        <v>0</v>
      </c>
      <c r="F42" s="23">
        <f t="shared" si="1"/>
        <v>8507</v>
      </c>
      <c r="G42" s="23">
        <f t="shared" si="1"/>
        <v>26591</v>
      </c>
      <c r="H42" s="23">
        <f t="shared" si="1"/>
        <v>0</v>
      </c>
      <c r="I42" s="23">
        <f t="shared" si="1"/>
        <v>0</v>
      </c>
      <c r="J42" s="23">
        <f t="shared" si="1"/>
        <v>16813</v>
      </c>
      <c r="K42" s="23">
        <f t="shared" si="1"/>
        <v>0</v>
      </c>
      <c r="L42" s="23">
        <f t="shared" si="1"/>
        <v>0</v>
      </c>
      <c r="M42" s="23">
        <f>M39+M23-B6+M45</f>
        <v>43570.44</v>
      </c>
      <c r="N42" s="24">
        <f>SUM(C42:M42)</f>
        <v>184913.44</v>
      </c>
      <c r="O42" s="7"/>
      <c r="P42" s="7"/>
      <c r="Q42" s="7"/>
      <c r="R42" s="7" t="s">
        <v>36</v>
      </c>
      <c r="S42" s="19">
        <f>N31/1000</f>
        <v>3.9223333333333334</v>
      </c>
      <c r="T42" s="14">
        <f>O31</f>
        <v>2.2622494453480371E-2</v>
      </c>
    </row>
    <row r="43" spans="1:47" ht="15">
      <c r="A43" s="22" t="s">
        <v>57</v>
      </c>
      <c r="B43" s="21"/>
      <c r="C43" s="16">
        <f t="shared" ref="C43:M43" si="2">C42/$N42</f>
        <v>0.48364250862457592</v>
      </c>
      <c r="D43" s="16">
        <f t="shared" si="2"/>
        <v>0</v>
      </c>
      <c r="E43" s="16">
        <f t="shared" si="2"/>
        <v>0</v>
      </c>
      <c r="F43" s="16">
        <f t="shared" si="2"/>
        <v>4.6005309294986883E-2</v>
      </c>
      <c r="G43" s="16">
        <f t="shared" si="2"/>
        <v>0.14380241912107633</v>
      </c>
      <c r="H43" s="16">
        <f t="shared" si="2"/>
        <v>0</v>
      </c>
      <c r="I43" s="16">
        <f t="shared" si="2"/>
        <v>0</v>
      </c>
      <c r="J43" s="16">
        <f t="shared" si="2"/>
        <v>9.0923623507301571E-2</v>
      </c>
      <c r="K43" s="16">
        <f t="shared" si="2"/>
        <v>0</v>
      </c>
      <c r="L43" s="16">
        <f t="shared" si="2"/>
        <v>0</v>
      </c>
      <c r="M43" s="16">
        <f t="shared" si="2"/>
        <v>0.23562613945205932</v>
      </c>
      <c r="N43" s="16">
        <f>SUM(C43:M43)</f>
        <v>1</v>
      </c>
      <c r="O43" s="7"/>
      <c r="P43" s="7"/>
      <c r="Q43" s="7"/>
      <c r="R43" s="7" t="s">
        <v>58</v>
      </c>
      <c r="S43" s="19">
        <f>N32/1000</f>
        <v>8.0730000000000004</v>
      </c>
      <c r="T43" s="15">
        <f>O32</f>
        <v>4.6561926843616985E-2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19">
        <f>N34/1000</f>
        <v>92.945999999999998</v>
      </c>
      <c r="T44" s="15">
        <f>O34</f>
        <v>0.53607640931584588</v>
      </c>
    </row>
    <row r="45" spans="1:47" ht="15">
      <c r="A45" s="6" t="s">
        <v>60</v>
      </c>
      <c r="B45" s="6">
        <f>B23-B39</f>
        <v>6341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5">
        <f>M39*0.08</f>
        <v>3227.44</v>
      </c>
      <c r="N45" s="24">
        <f>B45+M45</f>
        <v>9568.44</v>
      </c>
      <c r="O45" s="7"/>
      <c r="P45" s="7"/>
      <c r="Q45" s="7"/>
      <c r="R45" s="7" t="s">
        <v>61</v>
      </c>
      <c r="S45" s="19">
        <f>SUM(S39:S44)</f>
        <v>173.38233333333332</v>
      </c>
      <c r="T45" s="14">
        <f>SUM(T39:T44)</f>
        <v>1.0000019225371337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75</v>
      </c>
      <c r="B47" s="38">
        <f>(B23-B39)/B23</f>
        <v>0.20630530973451328</v>
      </c>
      <c r="C47" s="26"/>
      <c r="D47" s="37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37"/>
      <c r="P47" s="26"/>
      <c r="Q47" s="4"/>
      <c r="R47" s="4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"/>
      <c r="AH47" s="4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>
      <c r="A48" s="26"/>
      <c r="B48" s="4"/>
      <c r="C48" s="26"/>
      <c r="D48" s="37"/>
      <c r="E48" s="26"/>
      <c r="F48" s="26"/>
      <c r="G48" s="26"/>
      <c r="H48" s="37"/>
      <c r="I48" s="26"/>
      <c r="J48" s="26"/>
      <c r="K48" s="26"/>
      <c r="L48" s="26"/>
      <c r="M48" s="26"/>
      <c r="N48" s="26"/>
      <c r="O48" s="26"/>
      <c r="P48" s="26"/>
      <c r="Q48" s="26"/>
      <c r="R48" s="4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4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4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4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>
      <c r="A50" s="26"/>
      <c r="B50" s="4"/>
      <c r="C50" s="26"/>
      <c r="D50" s="26"/>
      <c r="E50" s="9"/>
      <c r="F50" s="26"/>
      <c r="G50" s="26"/>
      <c r="H50" s="26"/>
      <c r="I50" s="26"/>
      <c r="J50" s="9"/>
      <c r="K50" s="26"/>
      <c r="L50" s="26"/>
      <c r="M50" s="26"/>
      <c r="N50" s="26"/>
      <c r="O50" s="26"/>
      <c r="P50" s="26"/>
      <c r="Q50" s="26"/>
      <c r="R50" s="4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4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4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4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>
      <c r="A52" s="26"/>
      <c r="B52" s="4"/>
      <c r="C52" s="26"/>
      <c r="D52" s="26"/>
      <c r="E52" s="26"/>
      <c r="F52" s="26"/>
      <c r="G52" s="26"/>
      <c r="H52" s="37"/>
      <c r="I52" s="26"/>
      <c r="J52" s="26"/>
      <c r="K52" s="26"/>
      <c r="L52" s="26"/>
      <c r="M52" s="26"/>
      <c r="N52" s="26"/>
      <c r="O52" s="37"/>
      <c r="P52" s="26"/>
      <c r="Q52" s="26"/>
      <c r="R52" s="4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4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4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4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4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4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>
      <c r="A55" s="26"/>
      <c r="B55" s="4"/>
      <c r="C55" s="26"/>
      <c r="D55" s="37"/>
      <c r="E55" s="26"/>
      <c r="F55" s="26"/>
      <c r="G55" s="26"/>
      <c r="H55" s="37"/>
      <c r="I55" s="26"/>
      <c r="J55" s="26"/>
      <c r="K55" s="26"/>
      <c r="L55" s="26"/>
      <c r="M55" s="26"/>
      <c r="N55" s="26"/>
      <c r="O55" s="26"/>
      <c r="P55" s="26"/>
      <c r="Q55" s="26"/>
      <c r="R55" s="4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4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>
      <c r="A56" s="26"/>
      <c r="B56" s="4"/>
      <c r="C56" s="26"/>
      <c r="D56" s="37"/>
      <c r="E56" s="26"/>
      <c r="F56" s="26"/>
      <c r="G56" s="26"/>
      <c r="H56" s="37"/>
      <c r="I56" s="26"/>
      <c r="J56" s="26"/>
      <c r="K56" s="26"/>
      <c r="L56" s="26"/>
      <c r="M56" s="26"/>
      <c r="N56" s="26"/>
      <c r="O56" s="26"/>
      <c r="P56" s="26"/>
      <c r="Q56" s="26"/>
      <c r="R56" s="4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4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ht="15">
      <c r="A57" s="7"/>
      <c r="B57" s="7"/>
      <c r="C57" s="27"/>
      <c r="D57" s="27"/>
      <c r="E57" s="27"/>
      <c r="F57" s="27"/>
      <c r="G57" s="27"/>
      <c r="H57" s="27"/>
      <c r="I57" s="27"/>
      <c r="J57" s="27"/>
      <c r="K57" s="27"/>
      <c r="L57" s="6"/>
      <c r="M57" s="28"/>
      <c r="N57" s="7"/>
      <c r="O57" s="6"/>
      <c r="P57" s="14"/>
      <c r="Q57" s="7"/>
      <c r="R57" s="7"/>
      <c r="S57" s="6"/>
      <c r="T57" s="29"/>
    </row>
    <row r="58" spans="1:47" ht="15">
      <c r="A58" s="7"/>
      <c r="B58" s="7"/>
      <c r="C58" s="27"/>
      <c r="D58" s="27"/>
      <c r="E58" s="27"/>
      <c r="F58" s="27"/>
      <c r="G58" s="27"/>
      <c r="H58" s="27"/>
      <c r="I58" s="27"/>
      <c r="J58" s="27"/>
      <c r="K58" s="27"/>
      <c r="L58" s="6"/>
      <c r="M58" s="28"/>
      <c r="N58" s="7"/>
      <c r="O58" s="6"/>
      <c r="P58" s="14"/>
      <c r="Q58" s="7"/>
      <c r="R58" s="7"/>
      <c r="S58" s="6"/>
      <c r="T58" s="29"/>
    </row>
    <row r="59" spans="1:47" ht="15">
      <c r="A59" s="7"/>
      <c r="B59" s="7"/>
      <c r="C59" s="27"/>
      <c r="D59" s="27"/>
      <c r="E59" s="27"/>
      <c r="F59" s="27"/>
      <c r="G59" s="27"/>
      <c r="H59" s="27"/>
      <c r="I59" s="27"/>
      <c r="J59" s="27"/>
      <c r="K59" s="27"/>
      <c r="L59" s="6"/>
      <c r="M59" s="28"/>
      <c r="N59" s="7"/>
      <c r="O59" s="6"/>
      <c r="P59" s="14"/>
      <c r="Q59" s="7"/>
      <c r="R59" s="7"/>
      <c r="S59" s="6"/>
      <c r="T59" s="29"/>
    </row>
    <row r="60" spans="1:47" ht="15">
      <c r="A60" s="22"/>
      <c r="B60" s="7"/>
      <c r="C60" s="27"/>
      <c r="D60" s="27"/>
      <c r="E60" s="27"/>
      <c r="F60" s="27"/>
      <c r="G60" s="27"/>
      <c r="H60" s="27"/>
      <c r="I60" s="27"/>
      <c r="J60" s="27"/>
      <c r="K60" s="27"/>
      <c r="L60" s="6"/>
      <c r="M60" s="28"/>
      <c r="N60" s="7"/>
      <c r="O60" s="6"/>
      <c r="P60" s="14"/>
      <c r="Q60" s="7"/>
      <c r="R60" s="7"/>
      <c r="S60" s="6"/>
      <c r="T60" s="29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8"/>
      <c r="N61" s="7"/>
      <c r="O61" s="6"/>
      <c r="P61" s="14"/>
      <c r="Q61" s="7"/>
      <c r="R61" s="7"/>
      <c r="S61" s="30"/>
      <c r="T61" s="31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2"/>
      <c r="C63" s="32"/>
      <c r="D63" s="32"/>
      <c r="E63" s="32"/>
      <c r="F63" s="32"/>
      <c r="G63" s="32"/>
      <c r="H63" s="32"/>
      <c r="I63" s="32"/>
      <c r="J63" s="7"/>
      <c r="K63" s="7"/>
      <c r="L63" s="7"/>
      <c r="M63" s="7"/>
      <c r="N63" s="7"/>
      <c r="O63" s="7"/>
      <c r="P63" s="7"/>
      <c r="Q63" s="7"/>
      <c r="R63" s="7"/>
      <c r="S63" s="32"/>
      <c r="T63" s="33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8"/>
      <c r="Q64" s="7"/>
      <c r="R64" s="7"/>
      <c r="S64" s="6"/>
      <c r="T64" s="29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8"/>
      <c r="Q65" s="7"/>
      <c r="R65" s="7"/>
      <c r="S65" s="6"/>
      <c r="T65" s="29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8"/>
      <c r="Q66" s="7"/>
      <c r="R66" s="7"/>
      <c r="S66" s="6"/>
      <c r="T66" s="29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8"/>
      <c r="Q67" s="7"/>
      <c r="R67" s="7"/>
      <c r="S67" s="6"/>
      <c r="T67" s="29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8"/>
      <c r="Q68" s="7"/>
      <c r="R68" s="7"/>
      <c r="S68" s="6"/>
      <c r="T68" s="29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8"/>
      <c r="Q69" s="7"/>
      <c r="R69" s="7"/>
      <c r="S69" s="6"/>
      <c r="T69" s="29"/>
    </row>
    <row r="70" spans="1:20" ht="15">
      <c r="A70" s="7"/>
      <c r="B70" s="30"/>
      <c r="C70" s="30"/>
      <c r="D70" s="30"/>
      <c r="E70" s="30"/>
      <c r="F70" s="30"/>
      <c r="G70" s="30"/>
      <c r="H70" s="30"/>
      <c r="I70" s="30"/>
      <c r="J70" s="7"/>
      <c r="K70" s="7"/>
      <c r="L70" s="7"/>
      <c r="M70" s="7"/>
      <c r="N70" s="7"/>
      <c r="O70" s="30"/>
      <c r="P70" s="34"/>
      <c r="Q70" s="7"/>
      <c r="R70" s="35"/>
      <c r="S70" s="30"/>
      <c r="T70" s="34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 enableFormatConditionsCalculation="0"/>
  <dimension ref="A1:AU70"/>
  <sheetViews>
    <sheetView zoomScale="125" zoomScaleNormal="125" zoomScalePageLayoutView="125" workbookViewId="0">
      <selection activeCell="A22" sqref="A22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65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41">
        <v>0</v>
      </c>
      <c r="C6" s="41">
        <v>0</v>
      </c>
      <c r="D6" s="9">
        <v>0</v>
      </c>
      <c r="E6" s="9">
        <v>0</v>
      </c>
      <c r="F6" s="41">
        <v>0</v>
      </c>
      <c r="G6" s="41">
        <v>0</v>
      </c>
      <c r="H6" s="9">
        <v>0</v>
      </c>
      <c r="I6" s="9"/>
      <c r="J6" s="9"/>
      <c r="K6" s="9"/>
      <c r="L6" s="9"/>
      <c r="M6" s="9"/>
      <c r="N6" s="41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45">
        <v>17565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45">
        <v>17565</v>
      </c>
      <c r="C10" s="41">
        <v>0</v>
      </c>
      <c r="D10" s="9">
        <v>0</v>
      </c>
      <c r="E10" s="9">
        <v>0</v>
      </c>
      <c r="F10" s="41">
        <v>0</v>
      </c>
      <c r="G10" s="41">
        <v>0</v>
      </c>
      <c r="H10" s="9">
        <v>0</v>
      </c>
      <c r="I10" s="9"/>
      <c r="J10" s="9"/>
      <c r="K10" s="9"/>
      <c r="L10" s="9"/>
      <c r="M10" s="9"/>
      <c r="N10" s="41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65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41">
        <f>9237+100667</f>
        <v>109904</v>
      </c>
      <c r="C18" s="9">
        <v>6604</v>
      </c>
      <c r="D18" s="9">
        <v>0</v>
      </c>
      <c r="E18" s="9">
        <v>0</v>
      </c>
      <c r="F18" s="9">
        <v>0</v>
      </c>
      <c r="G18" s="9">
        <v>110019</v>
      </c>
      <c r="H18" s="9">
        <v>0</v>
      </c>
      <c r="I18" s="9"/>
      <c r="J18" s="9"/>
      <c r="K18" s="9"/>
      <c r="L18" s="9"/>
      <c r="M18" s="9"/>
      <c r="N18" s="9">
        <v>116623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680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0">
        <v>690</v>
      </c>
      <c r="N19" s="41">
        <v>690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42" t="s">
        <v>77</v>
      </c>
      <c r="B22" s="41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110584</v>
      </c>
      <c r="C23" s="9">
        <v>6604</v>
      </c>
      <c r="D23" s="9">
        <v>0</v>
      </c>
      <c r="E23" s="9">
        <v>0</v>
      </c>
      <c r="F23" s="9">
        <v>0</v>
      </c>
      <c r="G23" s="9">
        <v>110019</v>
      </c>
      <c r="H23" s="9">
        <v>0</v>
      </c>
      <c r="I23" s="9"/>
      <c r="J23" s="9"/>
      <c r="K23" s="9"/>
      <c r="L23" s="9"/>
      <c r="M23" s="41">
        <v>690</v>
      </c>
      <c r="N23" s="41">
        <v>117313</v>
      </c>
      <c r="O23" s="3"/>
      <c r="P23" s="3"/>
      <c r="Q23" s="3"/>
      <c r="R23" s="3" t="s">
        <v>26</v>
      </c>
      <c r="S23" s="12">
        <f>N42/1000</f>
        <v>2735.1577199999997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278.61071999999996</v>
      </c>
      <c r="T26" s="14">
        <f>M43</f>
        <v>0.10186276204942214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32</v>
      </c>
      <c r="S27" s="13">
        <f>G42/1000</f>
        <v>465.94</v>
      </c>
      <c r="T27" s="15">
        <f>G43</f>
        <v>0.17035215066135201</v>
      </c>
    </row>
    <row r="28" spans="1:20" ht="15">
      <c r="A28" s="4" t="s">
        <v>65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37.29</v>
      </c>
      <c r="T29" s="14">
        <f>F43</f>
        <v>1.3633583075421334E-2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34</v>
      </c>
      <c r="S30" s="12">
        <f>E42/1000</f>
        <v>0</v>
      </c>
      <c r="T30" s="14">
        <f>E43</f>
        <v>0</v>
      </c>
    </row>
    <row r="31" spans="1:20" ht="15">
      <c r="A31" s="5" t="s">
        <v>35</v>
      </c>
      <c r="B31" s="9">
        <v>0</v>
      </c>
      <c r="C31" s="9">
        <v>2531</v>
      </c>
      <c r="D31" s="9">
        <v>0</v>
      </c>
      <c r="E31" s="9">
        <v>0</v>
      </c>
      <c r="F31" s="9">
        <v>238</v>
      </c>
      <c r="G31" s="9">
        <v>0</v>
      </c>
      <c r="H31" s="9">
        <v>0</v>
      </c>
      <c r="I31" s="9"/>
      <c r="J31" s="9"/>
      <c r="K31" s="9"/>
      <c r="L31" s="9"/>
      <c r="M31" s="9">
        <v>3785</v>
      </c>
      <c r="N31" s="9">
        <v>6554</v>
      </c>
      <c r="O31" s="16">
        <f>N31/N$39</f>
        <v>2.4215061073384124E-3</v>
      </c>
      <c r="P31" s="17" t="s">
        <v>36</v>
      </c>
      <c r="Q31" s="3"/>
      <c r="R31" s="3" t="s">
        <v>37</v>
      </c>
      <c r="S31" s="13">
        <f>C42/1000</f>
        <v>260.31700000000001</v>
      </c>
      <c r="T31" s="15">
        <f>C43</f>
        <v>9.5174401862280919E-2</v>
      </c>
    </row>
    <row r="32" spans="1:20" ht="15">
      <c r="A32" s="5" t="s">
        <v>38</v>
      </c>
      <c r="B32" s="9">
        <v>2544</v>
      </c>
      <c r="C32" s="45">
        <v>40400</v>
      </c>
      <c r="D32" s="9">
        <v>0</v>
      </c>
      <c r="E32" s="9">
        <v>0</v>
      </c>
      <c r="F32" s="45">
        <v>19000</v>
      </c>
      <c r="G32" s="45">
        <v>303000</v>
      </c>
      <c r="H32" s="9">
        <v>0</v>
      </c>
      <c r="I32" s="41">
        <v>1526000</v>
      </c>
      <c r="J32" s="9"/>
      <c r="K32" s="9"/>
      <c r="L32" s="41">
        <f>159000+8000</f>
        <v>167000</v>
      </c>
      <c r="M32" s="41">
        <v>91061</v>
      </c>
      <c r="N32" s="41">
        <f>SUM(B32:M32)</f>
        <v>2149005</v>
      </c>
      <c r="O32" s="16">
        <f>N32/N$39</f>
        <v>0.79399278794641204</v>
      </c>
      <c r="P32" s="17" t="s">
        <v>39</v>
      </c>
      <c r="Q32" s="3"/>
      <c r="R32" s="3" t="s">
        <v>40</v>
      </c>
      <c r="S32" s="13">
        <f>I42/1000</f>
        <v>1526</v>
      </c>
      <c r="T32" s="14">
        <f>I43</f>
        <v>0.55792029426368883</v>
      </c>
    </row>
    <row r="33" spans="1:47" ht="15">
      <c r="A33" s="5" t="s">
        <v>41</v>
      </c>
      <c r="B33" s="9">
        <v>20990</v>
      </c>
      <c r="C33" s="9">
        <v>959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27019</v>
      </c>
      <c r="N33" s="9">
        <v>48968</v>
      </c>
      <c r="O33" s="16">
        <f>N33/N$39</f>
        <v>1.8092204922817726E-2</v>
      </c>
      <c r="P33" s="17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196176</v>
      </c>
      <c r="D34" s="9">
        <v>0</v>
      </c>
      <c r="E34" s="9">
        <v>0</v>
      </c>
      <c r="F34" s="9">
        <v>18052</v>
      </c>
      <c r="G34" s="9">
        <v>0</v>
      </c>
      <c r="H34" s="9">
        <v>0</v>
      </c>
      <c r="I34" s="9"/>
      <c r="J34" s="9"/>
      <c r="K34" s="9"/>
      <c r="L34" s="9"/>
      <c r="M34" s="9">
        <v>1544</v>
      </c>
      <c r="N34" s="9">
        <v>215771</v>
      </c>
      <c r="O34" s="16">
        <f>N34/N$39</f>
        <v>7.9720902393426385E-2</v>
      </c>
      <c r="P34" s="17" t="s">
        <v>44</v>
      </c>
      <c r="Q34" s="3"/>
      <c r="R34" s="3"/>
      <c r="S34" s="13">
        <f>SUM(S26:S33)</f>
        <v>2568.1577200000002</v>
      </c>
      <c r="T34" s="14">
        <f>SUM(T26:T33)</f>
        <v>0.93894319191216524</v>
      </c>
    </row>
    <row r="35" spans="1:47" ht="15">
      <c r="A35" s="5" t="s">
        <v>45</v>
      </c>
      <c r="B35" s="9">
        <v>49173</v>
      </c>
      <c r="C35" s="9">
        <v>13197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30709</v>
      </c>
      <c r="N35" s="9">
        <v>93079</v>
      </c>
      <c r="O35" s="16">
        <f>N35/N$39</f>
        <v>3.4389894257697909E-2</v>
      </c>
      <c r="P35" s="17" t="s">
        <v>46</v>
      </c>
      <c r="Q35" s="17"/>
    </row>
    <row r="36" spans="1:47" ht="15">
      <c r="A36" s="5" t="s">
        <v>47</v>
      </c>
      <c r="B36" s="9">
        <v>17311</v>
      </c>
      <c r="C36" s="9">
        <v>301</v>
      </c>
      <c r="D36" s="9">
        <v>0</v>
      </c>
      <c r="E36" s="9">
        <v>0</v>
      </c>
      <c r="F36" s="9">
        <v>0</v>
      </c>
      <c r="G36" s="9">
        <v>52921</v>
      </c>
      <c r="H36" s="9">
        <v>0</v>
      </c>
      <c r="I36" s="9"/>
      <c r="J36" s="9"/>
      <c r="K36" s="9"/>
      <c r="L36" s="9"/>
      <c r="M36" s="9">
        <v>91583</v>
      </c>
      <c r="N36" s="9">
        <v>162117</v>
      </c>
      <c r="O36" s="17"/>
      <c r="P36" s="17"/>
      <c r="Q36" s="3"/>
      <c r="R36" s="7"/>
      <c r="S36" s="7"/>
      <c r="T36" s="7"/>
    </row>
    <row r="37" spans="1:47" ht="15">
      <c r="A37" s="5" t="s">
        <v>48</v>
      </c>
      <c r="B37" s="9">
        <v>19304</v>
      </c>
      <c r="C37" s="9">
        <v>149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3980</v>
      </c>
      <c r="N37" s="9">
        <v>23433</v>
      </c>
      <c r="O37" s="17"/>
      <c r="P37" s="17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7653</v>
      </c>
      <c r="N38" s="9">
        <v>7653</v>
      </c>
      <c r="O38" s="17">
        <f>SUM(O31:O35)</f>
        <v>0.92861729562769235</v>
      </c>
      <c r="P38" s="17"/>
      <c r="Q38" s="3"/>
      <c r="R38" s="7" t="s">
        <v>50</v>
      </c>
      <c r="S38" s="18">
        <f>N45/1000</f>
        <v>21.84872</v>
      </c>
      <c r="T38" s="7"/>
    </row>
    <row r="39" spans="1:47" ht="15">
      <c r="A39" s="5" t="s">
        <v>17</v>
      </c>
      <c r="B39" s="9">
        <v>109322</v>
      </c>
      <c r="C39" s="45">
        <v>253713</v>
      </c>
      <c r="D39" s="9">
        <v>0</v>
      </c>
      <c r="E39" s="9">
        <v>0</v>
      </c>
      <c r="F39" s="45">
        <v>37290</v>
      </c>
      <c r="G39" s="45">
        <v>355921</v>
      </c>
      <c r="H39" s="9">
        <v>0</v>
      </c>
      <c r="I39" s="41">
        <v>1526000</v>
      </c>
      <c r="J39" s="9"/>
      <c r="K39" s="9"/>
      <c r="L39" s="41">
        <f>159000+8000</f>
        <v>167000</v>
      </c>
      <c r="M39" s="41">
        <f>SUM(M31:M38)</f>
        <v>257334</v>
      </c>
      <c r="N39" s="41">
        <f>SUM(N31:N38)</f>
        <v>2706580</v>
      </c>
      <c r="O39" s="3"/>
      <c r="P39" s="3"/>
      <c r="Q39" s="3"/>
      <c r="R39" s="7" t="s">
        <v>51</v>
      </c>
      <c r="S39" s="19">
        <f>N41/1000</f>
        <v>193.203</v>
      </c>
      <c r="T39" s="14">
        <f>O41</f>
        <v>7.1382704372307482E-2</v>
      </c>
    </row>
    <row r="40" spans="1:47">
      <c r="R40" s="7" t="s">
        <v>52</v>
      </c>
      <c r="S40" s="19">
        <f>N35/1000</f>
        <v>93.078999999999994</v>
      </c>
      <c r="T40" s="15">
        <f>O35</f>
        <v>3.4389894257697909E-2</v>
      </c>
    </row>
    <row r="41" spans="1:47" ht="15">
      <c r="A41" s="20" t="s">
        <v>53</v>
      </c>
      <c r="B41" s="21">
        <f>B38+B37+B36</f>
        <v>36615</v>
      </c>
      <c r="C41" s="21">
        <f t="shared" ref="C41:N41" si="0">C38+C37+C36</f>
        <v>450</v>
      </c>
      <c r="D41" s="21">
        <f t="shared" si="0"/>
        <v>0</v>
      </c>
      <c r="E41" s="21">
        <f t="shared" si="0"/>
        <v>0</v>
      </c>
      <c r="F41" s="21">
        <f t="shared" si="0"/>
        <v>0</v>
      </c>
      <c r="G41" s="21">
        <f t="shared" si="0"/>
        <v>52921</v>
      </c>
      <c r="H41" s="21">
        <f t="shared" si="0"/>
        <v>0</v>
      </c>
      <c r="I41" s="21">
        <f t="shared" si="0"/>
        <v>0</v>
      </c>
      <c r="J41" s="21">
        <f t="shared" si="0"/>
        <v>0</v>
      </c>
      <c r="K41" s="21">
        <f t="shared" si="0"/>
        <v>0</v>
      </c>
      <c r="L41" s="21">
        <f t="shared" si="0"/>
        <v>0</v>
      </c>
      <c r="M41" s="21">
        <f t="shared" si="0"/>
        <v>103216</v>
      </c>
      <c r="N41" s="21">
        <f t="shared" si="0"/>
        <v>193203</v>
      </c>
      <c r="O41" s="16">
        <f>N41/N$39</f>
        <v>7.1382704372307482E-2</v>
      </c>
      <c r="P41" s="16" t="s">
        <v>54</v>
      </c>
      <c r="Q41" s="7"/>
      <c r="R41" s="7" t="s">
        <v>55</v>
      </c>
      <c r="S41" s="19">
        <f>N33/1000</f>
        <v>48.968000000000004</v>
      </c>
      <c r="T41" s="14">
        <f>O33</f>
        <v>1.8092204922817726E-2</v>
      </c>
    </row>
    <row r="42" spans="1:47" ht="15">
      <c r="A42" s="22" t="s">
        <v>56</v>
      </c>
      <c r="B42" s="21"/>
      <c r="C42" s="23">
        <f>C39+C23+C10</f>
        <v>260317</v>
      </c>
      <c r="D42" s="23">
        <f t="shared" ref="D42:L42" si="1">D39+D23+D10</f>
        <v>0</v>
      </c>
      <c r="E42" s="23">
        <f t="shared" si="1"/>
        <v>0</v>
      </c>
      <c r="F42" s="23">
        <f t="shared" si="1"/>
        <v>37290</v>
      </c>
      <c r="G42" s="23">
        <f t="shared" si="1"/>
        <v>465940</v>
      </c>
      <c r="H42" s="23">
        <f t="shared" si="1"/>
        <v>0</v>
      </c>
      <c r="I42" s="23">
        <f t="shared" si="1"/>
        <v>1526000</v>
      </c>
      <c r="J42" s="23">
        <f t="shared" si="1"/>
        <v>0</v>
      </c>
      <c r="K42" s="23">
        <f t="shared" si="1"/>
        <v>0</v>
      </c>
      <c r="L42" s="23">
        <f t="shared" si="1"/>
        <v>167000</v>
      </c>
      <c r="M42" s="23">
        <f>M39+M23-B6+M45</f>
        <v>278610.71999999997</v>
      </c>
      <c r="N42" s="24">
        <f>SUM(C42:M42)</f>
        <v>2735157.7199999997</v>
      </c>
      <c r="O42" s="7"/>
      <c r="P42" s="7"/>
      <c r="Q42" s="7"/>
      <c r="R42" s="7" t="s">
        <v>36</v>
      </c>
      <c r="S42" s="19">
        <f>N31/1000</f>
        <v>6.5540000000000003</v>
      </c>
      <c r="T42" s="14">
        <f>O31</f>
        <v>2.4215061073384124E-3</v>
      </c>
    </row>
    <row r="43" spans="1:47" ht="15">
      <c r="A43" s="22" t="s">
        <v>57</v>
      </c>
      <c r="B43" s="21"/>
      <c r="C43" s="16">
        <f t="shared" ref="C43:M43" si="2">C42/$N42</f>
        <v>9.5174401862280919E-2</v>
      </c>
      <c r="D43" s="16">
        <f t="shared" si="2"/>
        <v>0</v>
      </c>
      <c r="E43" s="16">
        <f t="shared" si="2"/>
        <v>0</v>
      </c>
      <c r="F43" s="16">
        <f t="shared" si="2"/>
        <v>1.3633583075421334E-2</v>
      </c>
      <c r="G43" s="16">
        <f t="shared" si="2"/>
        <v>0.17035215066135201</v>
      </c>
      <c r="H43" s="16">
        <f t="shared" si="2"/>
        <v>0</v>
      </c>
      <c r="I43" s="16">
        <f t="shared" si="2"/>
        <v>0.55792029426368883</v>
      </c>
      <c r="J43" s="16">
        <f t="shared" si="2"/>
        <v>0</v>
      </c>
      <c r="K43" s="16">
        <f t="shared" si="2"/>
        <v>0</v>
      </c>
      <c r="L43" s="16">
        <f t="shared" si="2"/>
        <v>6.1056808087834882E-2</v>
      </c>
      <c r="M43" s="16">
        <f t="shared" si="2"/>
        <v>0.10186276204942214</v>
      </c>
      <c r="N43" s="16">
        <f>SUM(C43:M43)</f>
        <v>1.0000000000000002</v>
      </c>
      <c r="O43" s="7"/>
      <c r="P43" s="7"/>
      <c r="Q43" s="7"/>
      <c r="R43" s="7" t="s">
        <v>58</v>
      </c>
      <c r="S43" s="19">
        <f>N32/1000</f>
        <v>2149.0050000000001</v>
      </c>
      <c r="T43" s="15">
        <f>O32</f>
        <v>0.79399278794641204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19">
        <f>N34/1000</f>
        <v>215.77099999999999</v>
      </c>
      <c r="T44" s="15">
        <f>O34</f>
        <v>7.9720902393426385E-2</v>
      </c>
    </row>
    <row r="45" spans="1:47" ht="15">
      <c r="A45" s="6" t="s">
        <v>60</v>
      </c>
      <c r="B45" s="6">
        <f>B23-B39</f>
        <v>1262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5">
        <f>M39*0.08</f>
        <v>20586.72</v>
      </c>
      <c r="N45" s="24">
        <f>B45+M45</f>
        <v>21848.720000000001</v>
      </c>
      <c r="O45" s="7"/>
      <c r="P45" s="7"/>
      <c r="Q45" s="7"/>
      <c r="R45" s="7" t="s">
        <v>61</v>
      </c>
      <c r="S45" s="19">
        <f>SUM(S39:S44)</f>
        <v>2706.5800000000004</v>
      </c>
      <c r="T45" s="14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75</v>
      </c>
      <c r="B47" s="38">
        <f>(B23-B39)/B23</f>
        <v>1.141213918830934E-2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4"/>
      <c r="R47" s="4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"/>
      <c r="AH47" s="4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>
      <c r="A48" s="26"/>
      <c r="B48" s="4"/>
      <c r="C48" s="26"/>
      <c r="D48" s="37"/>
      <c r="E48" s="26"/>
      <c r="F48" s="26"/>
      <c r="G48" s="37"/>
      <c r="H48" s="37"/>
      <c r="I48" s="26"/>
      <c r="J48" s="26"/>
      <c r="K48" s="26"/>
      <c r="L48" s="26"/>
      <c r="M48" s="26"/>
      <c r="N48" s="26"/>
      <c r="O48" s="26"/>
      <c r="P48" s="26"/>
      <c r="Q48" s="26"/>
      <c r="R48" s="4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4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4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4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>
      <c r="A50" s="26"/>
      <c r="B50" s="4"/>
      <c r="C50" s="26"/>
      <c r="D50" s="26"/>
      <c r="E50" s="26"/>
      <c r="F50" s="26"/>
      <c r="G50" s="26"/>
      <c r="H50" s="26"/>
      <c r="I50" s="9"/>
      <c r="J50" s="26"/>
      <c r="K50" s="26"/>
      <c r="L50" s="26"/>
      <c r="M50" s="26"/>
      <c r="N50" s="26"/>
      <c r="O50" s="26"/>
      <c r="P50" s="26"/>
      <c r="Q50" s="26"/>
      <c r="R50" s="4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4"/>
      <c r="AI50" s="37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4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4"/>
      <c r="AI51" s="37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>
      <c r="A52" s="26"/>
      <c r="B52" s="4"/>
      <c r="C52" s="26"/>
      <c r="D52" s="26"/>
      <c r="E52" s="26"/>
      <c r="F52" s="26"/>
      <c r="G52" s="26"/>
      <c r="H52" s="9"/>
      <c r="I52" s="26"/>
      <c r="J52" s="26"/>
      <c r="K52" s="26"/>
      <c r="L52" s="26"/>
      <c r="M52" s="26"/>
      <c r="N52" s="26"/>
      <c r="O52" s="26"/>
      <c r="P52" s="26"/>
      <c r="Q52" s="26"/>
      <c r="R52" s="4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4"/>
      <c r="AI52" s="37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4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4"/>
      <c r="AI53" s="37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4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4"/>
      <c r="AI54" s="37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>
      <c r="A55" s="26"/>
      <c r="B55" s="4"/>
      <c r="C55" s="26"/>
      <c r="D55" s="37"/>
      <c r="E55" s="26"/>
      <c r="F55" s="26"/>
      <c r="G55" s="37"/>
      <c r="H55" s="37"/>
      <c r="I55" s="26"/>
      <c r="J55" s="26"/>
      <c r="K55" s="26"/>
      <c r="L55" s="26"/>
      <c r="M55" s="26"/>
      <c r="N55" s="26"/>
      <c r="O55" s="26"/>
      <c r="P55" s="26"/>
      <c r="Q55" s="26"/>
      <c r="R55" s="4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4"/>
      <c r="AI55" s="37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>
      <c r="A56" s="26"/>
      <c r="B56" s="4"/>
      <c r="C56" s="26"/>
      <c r="D56" s="37"/>
      <c r="E56" s="26"/>
      <c r="F56" s="26"/>
      <c r="G56" s="37"/>
      <c r="H56" s="37"/>
      <c r="I56" s="26"/>
      <c r="J56" s="26"/>
      <c r="K56" s="26"/>
      <c r="L56" s="26"/>
      <c r="M56" s="26"/>
      <c r="N56" s="26"/>
      <c r="O56" s="26"/>
      <c r="P56" s="26"/>
      <c r="Q56" s="26"/>
      <c r="R56" s="4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4"/>
      <c r="AI56" s="37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ht="15">
      <c r="A57" s="7"/>
      <c r="B57" s="7"/>
      <c r="C57" s="27"/>
      <c r="D57" s="27"/>
      <c r="E57" s="27"/>
      <c r="F57" s="27"/>
      <c r="G57" s="27"/>
      <c r="H57" s="27"/>
      <c r="I57" s="27"/>
      <c r="J57" s="27"/>
      <c r="K57" s="27"/>
      <c r="L57" s="6"/>
      <c r="M57" s="28"/>
      <c r="N57" s="7"/>
      <c r="O57" s="6"/>
      <c r="P57" s="14"/>
      <c r="Q57" s="7"/>
      <c r="R57" s="7"/>
      <c r="S57" s="6"/>
      <c r="T57" s="29"/>
    </row>
    <row r="58" spans="1:47" ht="15">
      <c r="A58" s="7"/>
      <c r="B58" s="7"/>
      <c r="C58" s="27"/>
      <c r="D58" s="27"/>
      <c r="E58" s="27"/>
      <c r="F58" s="27"/>
      <c r="G58" s="27"/>
      <c r="H58" s="27"/>
      <c r="I58" s="27"/>
      <c r="J58" s="27"/>
      <c r="K58" s="27"/>
      <c r="L58" s="6"/>
      <c r="M58" s="28"/>
      <c r="N58" s="7"/>
      <c r="O58" s="6"/>
      <c r="P58" s="14"/>
      <c r="Q58" s="7"/>
      <c r="R58" s="7"/>
      <c r="S58" s="6"/>
      <c r="T58" s="29"/>
    </row>
    <row r="59" spans="1:47" ht="15">
      <c r="A59" s="7"/>
      <c r="B59" s="7"/>
      <c r="C59" s="27"/>
      <c r="D59" s="27"/>
      <c r="E59" s="27"/>
      <c r="F59" s="27"/>
      <c r="G59" s="27"/>
      <c r="H59" s="27"/>
      <c r="I59" s="27"/>
      <c r="J59" s="27"/>
      <c r="K59" s="27"/>
      <c r="L59" s="6"/>
      <c r="M59" s="28"/>
      <c r="N59" s="7"/>
      <c r="O59" s="6"/>
      <c r="P59" s="14"/>
      <c r="Q59" s="7"/>
      <c r="R59" s="7"/>
      <c r="S59" s="6"/>
      <c r="T59" s="29"/>
    </row>
    <row r="60" spans="1:47" ht="15">
      <c r="A60" s="22"/>
      <c r="B60" s="7"/>
      <c r="C60" s="27"/>
      <c r="D60" s="27"/>
      <c r="E60" s="27"/>
      <c r="F60" s="27"/>
      <c r="G60" s="27"/>
      <c r="H60" s="27"/>
      <c r="I60" s="27"/>
      <c r="J60" s="27"/>
      <c r="K60" s="27"/>
      <c r="L60" s="6"/>
      <c r="M60" s="28"/>
      <c r="N60" s="7"/>
      <c r="O60" s="6"/>
      <c r="P60" s="14"/>
      <c r="Q60" s="7"/>
      <c r="R60" s="7"/>
      <c r="S60" s="6"/>
      <c r="T60" s="29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8"/>
      <c r="N61" s="7"/>
      <c r="O61" s="6"/>
      <c r="P61" s="14"/>
      <c r="Q61" s="7"/>
      <c r="R61" s="7"/>
      <c r="S61" s="30"/>
      <c r="T61" s="31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2"/>
      <c r="C63" s="32"/>
      <c r="D63" s="32"/>
      <c r="E63" s="32"/>
      <c r="F63" s="32"/>
      <c r="G63" s="32"/>
      <c r="H63" s="32"/>
      <c r="I63" s="32"/>
      <c r="J63" s="7"/>
      <c r="K63" s="7"/>
      <c r="L63" s="7"/>
      <c r="M63" s="7"/>
      <c r="N63" s="7"/>
      <c r="O63" s="7"/>
      <c r="P63" s="7"/>
      <c r="Q63" s="7"/>
      <c r="R63" s="7"/>
      <c r="S63" s="32"/>
      <c r="T63" s="33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8"/>
      <c r="Q64" s="7"/>
      <c r="R64" s="7"/>
      <c r="S64" s="6"/>
      <c r="T64" s="29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8"/>
      <c r="Q65" s="7"/>
      <c r="R65" s="7"/>
      <c r="S65" s="6"/>
      <c r="T65" s="29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8"/>
      <c r="Q66" s="7"/>
      <c r="R66" s="7"/>
      <c r="S66" s="6"/>
      <c r="T66" s="29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8"/>
      <c r="Q67" s="7"/>
      <c r="R67" s="7"/>
      <c r="S67" s="6"/>
      <c r="T67" s="29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8"/>
      <c r="Q68" s="7"/>
      <c r="R68" s="7"/>
      <c r="S68" s="6"/>
      <c r="T68" s="29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8"/>
      <c r="Q69" s="7"/>
      <c r="R69" s="7"/>
      <c r="S69" s="6"/>
      <c r="T69" s="29"/>
    </row>
    <row r="70" spans="1:20" ht="15">
      <c r="A70" s="7"/>
      <c r="B70" s="30"/>
      <c r="C70" s="30"/>
      <c r="D70" s="30"/>
      <c r="E70" s="30"/>
      <c r="F70" s="30"/>
      <c r="G70" s="30"/>
      <c r="H70" s="30"/>
      <c r="I70" s="30"/>
      <c r="J70" s="7"/>
      <c r="K70" s="7"/>
      <c r="L70" s="7"/>
      <c r="M70" s="7"/>
      <c r="N70" s="7"/>
      <c r="O70" s="30"/>
      <c r="P70" s="34"/>
      <c r="Q70" s="7"/>
      <c r="R70" s="35"/>
      <c r="S70" s="30"/>
      <c r="T70" s="34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 enableFormatConditionsCalculation="0"/>
  <dimension ref="A1:AU70"/>
  <sheetViews>
    <sheetView zoomScale="125" zoomScaleNormal="125" zoomScalePageLayoutView="125" workbookViewId="0">
      <selection activeCell="A22" sqref="A22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66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843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33999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34843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66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33006</v>
      </c>
      <c r="C18" s="9">
        <v>2328</v>
      </c>
      <c r="D18" s="40">
        <v>0</v>
      </c>
      <c r="E18" s="9">
        <v>0</v>
      </c>
      <c r="F18" s="9">
        <v>0</v>
      </c>
      <c r="G18" s="9">
        <v>10885</v>
      </c>
      <c r="H18" s="9">
        <v>0</v>
      </c>
      <c r="I18" s="9"/>
      <c r="J18" s="40">
        <v>20848</v>
      </c>
      <c r="K18" s="9"/>
      <c r="L18" s="9"/>
      <c r="M18" s="9"/>
      <c r="N18" s="9">
        <v>34061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42" t="s">
        <v>77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33006</v>
      </c>
      <c r="C23" s="9">
        <v>2328</v>
      </c>
      <c r="D23" s="40">
        <v>0</v>
      </c>
      <c r="E23" s="9">
        <v>0</v>
      </c>
      <c r="F23" s="9">
        <v>0</v>
      </c>
      <c r="G23" s="9">
        <v>10885</v>
      </c>
      <c r="H23" s="9">
        <v>0</v>
      </c>
      <c r="I23" s="9"/>
      <c r="J23" s="40">
        <v>20848</v>
      </c>
      <c r="K23" s="9"/>
      <c r="L23" s="9"/>
      <c r="M23" s="9"/>
      <c r="N23" s="9">
        <v>34061</v>
      </c>
      <c r="O23" s="3"/>
      <c r="P23" s="3"/>
      <c r="Q23" s="3"/>
      <c r="R23" s="3" t="s">
        <v>26</v>
      </c>
      <c r="S23" s="12">
        <f>N42/1000</f>
        <v>106.40852000000001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12.440520000000001</v>
      </c>
      <c r="T26" s="14">
        <f>M43</f>
        <v>0.11691281863519951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32</v>
      </c>
      <c r="S27" s="13">
        <f>G42/1000</f>
        <v>27.893000000000001</v>
      </c>
      <c r="T27" s="15">
        <f>G43</f>
        <v>0.26213126542874571</v>
      </c>
    </row>
    <row r="28" spans="1:20" ht="15">
      <c r="A28" s="4" t="s">
        <v>66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20.847999999999999</v>
      </c>
      <c r="T28" s="14">
        <f>J43</f>
        <v>0.19592416096004342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3.42</v>
      </c>
      <c r="T29" s="14">
        <f>F43</f>
        <v>3.2140283503614184E-2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34</v>
      </c>
      <c r="S30" s="12">
        <f>E42/1000</f>
        <v>0</v>
      </c>
      <c r="T30" s="14">
        <f>E43</f>
        <v>0</v>
      </c>
    </row>
    <row r="31" spans="1:20" ht="15">
      <c r="A31" s="5" t="s">
        <v>35</v>
      </c>
      <c r="B31" s="9">
        <v>0</v>
      </c>
      <c r="C31" s="45">
        <v>3172</v>
      </c>
      <c r="D31" s="9">
        <v>0</v>
      </c>
      <c r="E31" s="9">
        <v>0</v>
      </c>
      <c r="F31" s="45">
        <v>314</v>
      </c>
      <c r="G31" s="9">
        <v>0</v>
      </c>
      <c r="H31" s="9">
        <v>0</v>
      </c>
      <c r="I31" s="9"/>
      <c r="J31" s="9"/>
      <c r="K31" s="9"/>
      <c r="L31" s="9"/>
      <c r="M31" s="9">
        <v>867</v>
      </c>
      <c r="N31" s="9">
        <v>4353</v>
      </c>
      <c r="O31" s="16">
        <f>N31/N$39</f>
        <v>4.5118159203980102E-2</v>
      </c>
      <c r="P31" s="17" t="s">
        <v>36</v>
      </c>
      <c r="Q31" s="3"/>
      <c r="R31" s="3" t="s">
        <v>37</v>
      </c>
      <c r="S31" s="13">
        <f>C42/1000</f>
        <v>41.807000000000002</v>
      </c>
      <c r="T31" s="15">
        <f>C43</f>
        <v>0.39289147147239711</v>
      </c>
    </row>
    <row r="32" spans="1:20" ht="15">
      <c r="A32" s="5" t="s">
        <v>38</v>
      </c>
      <c r="B32" s="9">
        <v>1230</v>
      </c>
      <c r="C32" s="9">
        <v>1142</v>
      </c>
      <c r="D32" s="9">
        <v>0</v>
      </c>
      <c r="E32" s="9">
        <v>0</v>
      </c>
      <c r="F32" s="45">
        <v>127</v>
      </c>
      <c r="G32" s="45">
        <v>1013</v>
      </c>
      <c r="H32" s="9">
        <v>0</v>
      </c>
      <c r="I32" s="9"/>
      <c r="J32" s="9"/>
      <c r="K32" s="9"/>
      <c r="L32" s="9"/>
      <c r="M32" s="9">
        <v>1150</v>
      </c>
      <c r="N32" s="9">
        <v>4661</v>
      </c>
      <c r="O32" s="16">
        <f>N32/N$39</f>
        <v>4.8310530679933662E-2</v>
      </c>
      <c r="P32" s="17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9">
        <v>6937</v>
      </c>
      <c r="C33" s="9">
        <v>25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706</v>
      </c>
      <c r="N33" s="9">
        <v>7668</v>
      </c>
      <c r="O33" s="16">
        <f>N33/N$39</f>
        <v>7.9477611940298509E-2</v>
      </c>
      <c r="P33" s="17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34742</v>
      </c>
      <c r="D34" s="9">
        <v>0</v>
      </c>
      <c r="E34" s="9">
        <v>0</v>
      </c>
      <c r="F34" s="9">
        <v>2979</v>
      </c>
      <c r="G34" s="9">
        <v>0</v>
      </c>
      <c r="H34" s="9">
        <v>0</v>
      </c>
      <c r="I34" s="9"/>
      <c r="J34" s="9"/>
      <c r="K34" s="9"/>
      <c r="L34" s="9"/>
      <c r="M34" s="9">
        <v>0</v>
      </c>
      <c r="N34" s="9">
        <v>37721</v>
      </c>
      <c r="O34" s="16">
        <f>N34/N$39</f>
        <v>0.39097222222222222</v>
      </c>
      <c r="P34" s="17" t="s">
        <v>44</v>
      </c>
      <c r="Q34" s="3"/>
      <c r="R34" s="3"/>
      <c r="S34" s="13">
        <f>SUM(S26:S33)</f>
        <v>106.40852</v>
      </c>
      <c r="T34" s="14">
        <f>SUM(T26:T33)</f>
        <v>0.99999999999999989</v>
      </c>
    </row>
    <row r="35" spans="1:47" ht="15">
      <c r="A35" s="5" t="s">
        <v>45</v>
      </c>
      <c r="B35" s="9">
        <v>3668</v>
      </c>
      <c r="C35" s="9">
        <v>100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1336</v>
      </c>
      <c r="N35" s="9">
        <v>5104</v>
      </c>
      <c r="O35" s="16">
        <f>N35/N$39</f>
        <v>5.2902155887230518E-2</v>
      </c>
      <c r="P35" s="17" t="s">
        <v>46</v>
      </c>
      <c r="Q35" s="17"/>
    </row>
    <row r="36" spans="1:47" ht="15">
      <c r="A36" s="5" t="s">
        <v>47</v>
      </c>
      <c r="B36" s="9">
        <v>9007</v>
      </c>
      <c r="C36" s="45">
        <v>100</v>
      </c>
      <c r="D36" s="9">
        <v>0</v>
      </c>
      <c r="E36" s="9">
        <v>0</v>
      </c>
      <c r="F36" s="9">
        <v>0</v>
      </c>
      <c r="G36" s="45">
        <v>15995</v>
      </c>
      <c r="H36" s="9">
        <v>0</v>
      </c>
      <c r="I36" s="9"/>
      <c r="J36" s="9"/>
      <c r="K36" s="9"/>
      <c r="L36" s="9"/>
      <c r="M36" s="9">
        <v>5781</v>
      </c>
      <c r="N36" s="9">
        <v>30883</v>
      </c>
      <c r="O36" s="17"/>
      <c r="P36" s="17"/>
      <c r="Q36" s="3"/>
      <c r="R36" s="7"/>
      <c r="S36" s="7"/>
      <c r="T36" s="7"/>
    </row>
    <row r="37" spans="1:47" ht="15">
      <c r="A37" s="5" t="s">
        <v>48</v>
      </c>
      <c r="B37" s="9">
        <v>4212</v>
      </c>
      <c r="C37" s="9">
        <v>199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125</v>
      </c>
      <c r="N37" s="9">
        <v>4536</v>
      </c>
      <c r="O37" s="17"/>
      <c r="P37" s="17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1553</v>
      </c>
      <c r="N38" s="9">
        <v>1553</v>
      </c>
      <c r="O38" s="17">
        <f>SUM(O31:O35)</f>
        <v>0.61678067993366503</v>
      </c>
      <c r="P38" s="17"/>
      <c r="Q38" s="3"/>
      <c r="R38" s="7" t="s">
        <v>50</v>
      </c>
      <c r="S38" s="18">
        <f>N45/1000</f>
        <v>8.873520000000001</v>
      </c>
      <c r="T38" s="7"/>
    </row>
    <row r="39" spans="1:47" ht="15">
      <c r="A39" s="5" t="s">
        <v>17</v>
      </c>
      <c r="B39" s="9">
        <v>25054</v>
      </c>
      <c r="C39" s="9">
        <v>39479</v>
      </c>
      <c r="D39" s="9">
        <v>0</v>
      </c>
      <c r="E39" s="9">
        <v>0</v>
      </c>
      <c r="F39" s="9">
        <v>3420</v>
      </c>
      <c r="G39" s="9">
        <v>17008</v>
      </c>
      <c r="H39" s="9">
        <v>0</v>
      </c>
      <c r="I39" s="9"/>
      <c r="J39" s="9"/>
      <c r="K39" s="9"/>
      <c r="L39" s="9"/>
      <c r="M39" s="9">
        <v>11519</v>
      </c>
      <c r="N39" s="9">
        <v>96480</v>
      </c>
      <c r="O39" s="3"/>
      <c r="P39" s="3"/>
      <c r="Q39" s="3"/>
      <c r="R39" s="7" t="s">
        <v>51</v>
      </c>
      <c r="S39" s="19">
        <f>N41/1000</f>
        <v>36.972000000000001</v>
      </c>
      <c r="T39" s="14">
        <f>O41</f>
        <v>0.3832089552238806</v>
      </c>
    </row>
    <row r="40" spans="1:47">
      <c r="R40" s="7" t="s">
        <v>52</v>
      </c>
      <c r="S40" s="19">
        <f>N35/1000</f>
        <v>5.1040000000000001</v>
      </c>
      <c r="T40" s="15">
        <f>O35</f>
        <v>5.2902155887230518E-2</v>
      </c>
    </row>
    <row r="41" spans="1:47" ht="15">
      <c r="A41" s="20" t="s">
        <v>53</v>
      </c>
      <c r="B41" s="21">
        <f>B38+B37+B36</f>
        <v>13219</v>
      </c>
      <c r="C41" s="21">
        <f t="shared" ref="C41:N41" si="0">C38+C37+C36</f>
        <v>299</v>
      </c>
      <c r="D41" s="21">
        <f t="shared" si="0"/>
        <v>0</v>
      </c>
      <c r="E41" s="21">
        <f t="shared" si="0"/>
        <v>0</v>
      </c>
      <c r="F41" s="21">
        <f t="shared" si="0"/>
        <v>0</v>
      </c>
      <c r="G41" s="21">
        <f t="shared" si="0"/>
        <v>15995</v>
      </c>
      <c r="H41" s="21">
        <f t="shared" si="0"/>
        <v>0</v>
      </c>
      <c r="I41" s="21">
        <f t="shared" si="0"/>
        <v>0</v>
      </c>
      <c r="J41" s="21">
        <f t="shared" si="0"/>
        <v>0</v>
      </c>
      <c r="K41" s="21">
        <f t="shared" si="0"/>
        <v>0</v>
      </c>
      <c r="L41" s="21">
        <f t="shared" si="0"/>
        <v>0</v>
      </c>
      <c r="M41" s="21">
        <f t="shared" si="0"/>
        <v>7459</v>
      </c>
      <c r="N41" s="21">
        <f t="shared" si="0"/>
        <v>36972</v>
      </c>
      <c r="O41" s="16">
        <f>N41/N$39</f>
        <v>0.3832089552238806</v>
      </c>
      <c r="P41" s="16" t="s">
        <v>54</v>
      </c>
      <c r="Q41" s="7"/>
      <c r="R41" s="7" t="s">
        <v>55</v>
      </c>
      <c r="S41" s="19">
        <f>N33/1000</f>
        <v>7.6680000000000001</v>
      </c>
      <c r="T41" s="14">
        <f>O33</f>
        <v>7.9477611940298509E-2</v>
      </c>
    </row>
    <row r="42" spans="1:47" ht="15">
      <c r="A42" s="22" t="s">
        <v>56</v>
      </c>
      <c r="B42" s="21"/>
      <c r="C42" s="23">
        <f>C39+C23+C10</f>
        <v>41807</v>
      </c>
      <c r="D42" s="23">
        <f t="shared" ref="D42:L42" si="1">D39+D23+D10</f>
        <v>0</v>
      </c>
      <c r="E42" s="23">
        <f t="shared" si="1"/>
        <v>0</v>
      </c>
      <c r="F42" s="23">
        <f t="shared" si="1"/>
        <v>3420</v>
      </c>
      <c r="G42" s="23">
        <f t="shared" si="1"/>
        <v>27893</v>
      </c>
      <c r="H42" s="23">
        <f t="shared" si="1"/>
        <v>0</v>
      </c>
      <c r="I42" s="23">
        <f t="shared" si="1"/>
        <v>0</v>
      </c>
      <c r="J42" s="23">
        <f t="shared" si="1"/>
        <v>20848</v>
      </c>
      <c r="K42" s="23">
        <f t="shared" si="1"/>
        <v>0</v>
      </c>
      <c r="L42" s="23">
        <f t="shared" si="1"/>
        <v>0</v>
      </c>
      <c r="M42" s="23">
        <f>M39+M23-B6+M45</f>
        <v>12440.52</v>
      </c>
      <c r="N42" s="24">
        <f>SUM(C42:M42)</f>
        <v>106408.52</v>
      </c>
      <c r="O42" s="7"/>
      <c r="P42" s="7"/>
      <c r="Q42" s="7"/>
      <c r="R42" s="7" t="s">
        <v>36</v>
      </c>
      <c r="S42" s="19">
        <f>N31/1000</f>
        <v>4.3529999999999998</v>
      </c>
      <c r="T42" s="14">
        <f>O31</f>
        <v>4.5118159203980102E-2</v>
      </c>
    </row>
    <row r="43" spans="1:47" ht="15">
      <c r="A43" s="22" t="s">
        <v>57</v>
      </c>
      <c r="B43" s="21"/>
      <c r="C43" s="16">
        <f t="shared" ref="C43:M43" si="2">C42/$N42</f>
        <v>0.39289147147239711</v>
      </c>
      <c r="D43" s="16">
        <f t="shared" si="2"/>
        <v>0</v>
      </c>
      <c r="E43" s="16">
        <f t="shared" si="2"/>
        <v>0</v>
      </c>
      <c r="F43" s="16">
        <f t="shared" si="2"/>
        <v>3.2140283503614184E-2</v>
      </c>
      <c r="G43" s="16">
        <f t="shared" si="2"/>
        <v>0.26213126542874571</v>
      </c>
      <c r="H43" s="16">
        <f t="shared" si="2"/>
        <v>0</v>
      </c>
      <c r="I43" s="16">
        <f t="shared" si="2"/>
        <v>0</v>
      </c>
      <c r="J43" s="16">
        <f t="shared" si="2"/>
        <v>0.19592416096004342</v>
      </c>
      <c r="K43" s="16">
        <f t="shared" si="2"/>
        <v>0</v>
      </c>
      <c r="L43" s="16">
        <f t="shared" si="2"/>
        <v>0</v>
      </c>
      <c r="M43" s="16">
        <f t="shared" si="2"/>
        <v>0.11691281863519951</v>
      </c>
      <c r="N43" s="16">
        <f>SUM(C43:M43)</f>
        <v>0.99999999999999989</v>
      </c>
      <c r="O43" s="7"/>
      <c r="P43" s="7"/>
      <c r="Q43" s="7"/>
      <c r="R43" s="7" t="s">
        <v>58</v>
      </c>
      <c r="S43" s="19">
        <f>N32/1000</f>
        <v>4.6609999999999996</v>
      </c>
      <c r="T43" s="15">
        <f>O32</f>
        <v>4.8310530679933662E-2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19">
        <f>N34/1000</f>
        <v>37.720999999999997</v>
      </c>
      <c r="T44" s="15">
        <f>O34</f>
        <v>0.39097222222222222</v>
      </c>
    </row>
    <row r="45" spans="1:47" ht="15">
      <c r="A45" s="6" t="s">
        <v>60</v>
      </c>
      <c r="B45" s="6">
        <f>B23-B39</f>
        <v>7952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5">
        <f>M39*0.08</f>
        <v>921.52</v>
      </c>
      <c r="N45" s="24">
        <f>B45+M45</f>
        <v>8873.52</v>
      </c>
      <c r="O45" s="7"/>
      <c r="P45" s="7"/>
      <c r="Q45" s="7"/>
      <c r="R45" s="7" t="s">
        <v>61</v>
      </c>
      <c r="S45" s="19">
        <f>SUM(S39:S44)</f>
        <v>96.478999999999999</v>
      </c>
      <c r="T45" s="14">
        <f>SUM(T39:T44)</f>
        <v>0.99998963515754546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75</v>
      </c>
      <c r="B47" s="38">
        <f>(B23-B39)/B23</f>
        <v>0.24092589226201297</v>
      </c>
      <c r="C47" s="26"/>
      <c r="D47" s="37"/>
      <c r="E47" s="26"/>
      <c r="F47" s="26"/>
      <c r="G47" s="37"/>
      <c r="H47" s="26"/>
      <c r="I47" s="26"/>
      <c r="J47" s="26"/>
      <c r="K47" s="26"/>
      <c r="L47" s="26"/>
      <c r="M47" s="26"/>
      <c r="N47" s="26"/>
      <c r="O47" s="26"/>
      <c r="P47" s="26"/>
      <c r="Q47" s="4"/>
      <c r="R47" s="4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"/>
      <c r="AH47" s="4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>
      <c r="A48" s="26"/>
      <c r="B48" s="4"/>
      <c r="C48" s="26"/>
      <c r="D48" s="26"/>
      <c r="E48" s="26"/>
      <c r="F48" s="26"/>
      <c r="G48" s="37"/>
      <c r="H48" s="37"/>
      <c r="I48" s="26"/>
      <c r="J48" s="26"/>
      <c r="K48" s="26"/>
      <c r="L48" s="26"/>
      <c r="M48" s="26"/>
      <c r="N48" s="26"/>
      <c r="O48" s="26"/>
      <c r="P48" s="26"/>
      <c r="Q48" s="26"/>
      <c r="R48" s="4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4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4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4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>
      <c r="A50" s="26"/>
      <c r="B50" s="4"/>
      <c r="C50" s="26"/>
      <c r="D50" s="26"/>
      <c r="E50" s="26"/>
      <c r="F50" s="26"/>
      <c r="G50" s="26"/>
      <c r="H50" s="9"/>
      <c r="I50" s="26"/>
      <c r="J50" s="26"/>
      <c r="K50" s="26"/>
      <c r="L50" s="26"/>
      <c r="M50" s="26"/>
      <c r="N50" s="26"/>
      <c r="O50" s="26"/>
      <c r="P50" s="26"/>
      <c r="Q50" s="26"/>
      <c r="R50" s="4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4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4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4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>
      <c r="A52" s="26"/>
      <c r="B52" s="4"/>
      <c r="C52" s="26"/>
      <c r="D52" s="37"/>
      <c r="E52" s="26"/>
      <c r="F52" s="26"/>
      <c r="G52" s="26"/>
      <c r="H52" s="37"/>
      <c r="I52" s="26"/>
      <c r="J52" s="26"/>
      <c r="K52" s="26"/>
      <c r="L52" s="26"/>
      <c r="M52" s="26"/>
      <c r="N52" s="26"/>
      <c r="O52" s="26"/>
      <c r="P52" s="26"/>
      <c r="Q52" s="26"/>
      <c r="R52" s="4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4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4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4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4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4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>
      <c r="A55" s="26"/>
      <c r="B55" s="4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4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4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>
      <c r="A56" s="26"/>
      <c r="B56" s="4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4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4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ht="15">
      <c r="A57" s="7"/>
      <c r="B57" s="7"/>
      <c r="C57" s="27"/>
      <c r="D57" s="27"/>
      <c r="E57" s="27"/>
      <c r="F57" s="27"/>
      <c r="G57" s="27"/>
      <c r="H57" s="27"/>
      <c r="I57" s="27"/>
      <c r="J57" s="27"/>
      <c r="K57" s="27"/>
      <c r="L57" s="6"/>
      <c r="M57" s="28"/>
      <c r="N57" s="7"/>
      <c r="O57" s="6"/>
      <c r="P57" s="14"/>
      <c r="Q57" s="7"/>
      <c r="R57" s="7"/>
      <c r="S57" s="6"/>
      <c r="T57" s="29"/>
    </row>
    <row r="58" spans="1:47" ht="15">
      <c r="A58" s="7"/>
      <c r="B58" s="7"/>
      <c r="C58" s="27"/>
      <c r="D58" s="27"/>
      <c r="E58" s="27"/>
      <c r="F58" s="27"/>
      <c r="G58" s="27"/>
      <c r="H58" s="27"/>
      <c r="I58" s="27"/>
      <c r="J58" s="27"/>
      <c r="K58" s="27"/>
      <c r="L58" s="6"/>
      <c r="M58" s="28"/>
      <c r="N58" s="7"/>
      <c r="O58" s="6"/>
      <c r="P58" s="14"/>
      <c r="Q58" s="7"/>
      <c r="R58" s="7"/>
      <c r="S58" s="6"/>
      <c r="T58" s="29"/>
    </row>
    <row r="59" spans="1:47" ht="15">
      <c r="A59" s="7"/>
      <c r="B59" s="7"/>
      <c r="C59" s="27"/>
      <c r="D59" s="27"/>
      <c r="E59" s="27"/>
      <c r="F59" s="27"/>
      <c r="G59" s="27"/>
      <c r="H59" s="27"/>
      <c r="I59" s="27"/>
      <c r="J59" s="27"/>
      <c r="K59" s="27"/>
      <c r="L59" s="6"/>
      <c r="M59" s="28"/>
      <c r="N59" s="7"/>
      <c r="O59" s="6"/>
      <c r="P59" s="14"/>
      <c r="Q59" s="7"/>
      <c r="R59" s="7"/>
      <c r="S59" s="6"/>
      <c r="T59" s="29"/>
    </row>
    <row r="60" spans="1:47" ht="15">
      <c r="A60" s="22"/>
      <c r="B60" s="7"/>
      <c r="C60" s="27"/>
      <c r="D60" s="27"/>
      <c r="E60" s="27"/>
      <c r="F60" s="27"/>
      <c r="G60" s="27"/>
      <c r="H60" s="27"/>
      <c r="I60" s="27"/>
      <c r="J60" s="27"/>
      <c r="K60" s="27"/>
      <c r="L60" s="6"/>
      <c r="M60" s="28"/>
      <c r="N60" s="7"/>
      <c r="O60" s="6"/>
      <c r="P60" s="14"/>
      <c r="Q60" s="7"/>
      <c r="R60" s="7"/>
      <c r="S60" s="6"/>
      <c r="T60" s="29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8"/>
      <c r="N61" s="7"/>
      <c r="O61" s="6"/>
      <c r="P61" s="14"/>
      <c r="Q61" s="7"/>
      <c r="R61" s="7"/>
      <c r="S61" s="30"/>
      <c r="T61" s="31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2"/>
      <c r="C63" s="32"/>
      <c r="D63" s="32"/>
      <c r="E63" s="32"/>
      <c r="F63" s="32"/>
      <c r="G63" s="32"/>
      <c r="H63" s="32"/>
      <c r="I63" s="32"/>
      <c r="J63" s="7"/>
      <c r="K63" s="7"/>
      <c r="L63" s="7"/>
      <c r="M63" s="7"/>
      <c r="N63" s="7"/>
      <c r="O63" s="7"/>
      <c r="P63" s="7"/>
      <c r="Q63" s="7"/>
      <c r="R63" s="7"/>
      <c r="S63" s="32"/>
      <c r="T63" s="33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8"/>
      <c r="Q64" s="7"/>
      <c r="R64" s="7"/>
      <c r="S64" s="6"/>
      <c r="T64" s="29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8"/>
      <c r="Q65" s="7"/>
      <c r="R65" s="7"/>
      <c r="S65" s="6"/>
      <c r="T65" s="29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8"/>
      <c r="Q66" s="7"/>
      <c r="R66" s="7"/>
      <c r="S66" s="6"/>
      <c r="T66" s="29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8"/>
      <c r="Q67" s="7"/>
      <c r="R67" s="7"/>
      <c r="S67" s="6"/>
      <c r="T67" s="29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8"/>
      <c r="Q68" s="7"/>
      <c r="R68" s="7"/>
      <c r="S68" s="6"/>
      <c r="T68" s="29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8"/>
      <c r="Q69" s="7"/>
      <c r="R69" s="7"/>
      <c r="S69" s="6"/>
      <c r="T69" s="29"/>
    </row>
    <row r="70" spans="1:20" ht="15">
      <c r="A70" s="7"/>
      <c r="B70" s="30"/>
      <c r="C70" s="30"/>
      <c r="D70" s="30"/>
      <c r="E70" s="30"/>
      <c r="F70" s="30"/>
      <c r="G70" s="30"/>
      <c r="H70" s="30"/>
      <c r="I70" s="30"/>
      <c r="J70" s="7"/>
      <c r="K70" s="7"/>
      <c r="L70" s="7"/>
      <c r="M70" s="7"/>
      <c r="N70" s="7"/>
      <c r="O70" s="30"/>
      <c r="P70" s="34"/>
      <c r="Q70" s="7"/>
      <c r="R70" s="35"/>
      <c r="S70" s="30"/>
      <c r="T70" s="34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 enableFormatConditionsCalculation="0"/>
  <dimension ref="A1:AU70"/>
  <sheetViews>
    <sheetView zoomScale="125" zoomScaleNormal="125" zoomScalePageLayoutView="125" workbookViewId="0">
      <selection activeCell="B11" sqref="B11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67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45">
        <v>1822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45">
        <f>SUM(B6:B9)</f>
        <v>1822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67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26790</v>
      </c>
      <c r="C18" s="9">
        <v>905</v>
      </c>
      <c r="D18" s="9">
        <v>0</v>
      </c>
      <c r="E18" s="9">
        <v>0</v>
      </c>
      <c r="F18" s="9">
        <v>0</v>
      </c>
      <c r="G18" s="9">
        <v>32701</v>
      </c>
      <c r="H18" s="9">
        <v>0</v>
      </c>
      <c r="I18" s="9"/>
      <c r="J18" s="9"/>
      <c r="K18" s="9"/>
      <c r="L18" s="9"/>
      <c r="M18" s="9"/>
      <c r="N18" s="9">
        <v>33607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42" t="s">
        <v>77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26790</v>
      </c>
      <c r="C23" s="9">
        <v>905</v>
      </c>
      <c r="D23" s="9">
        <v>0</v>
      </c>
      <c r="E23" s="9">
        <v>0</v>
      </c>
      <c r="F23" s="9">
        <v>0</v>
      </c>
      <c r="G23" s="9">
        <v>32701</v>
      </c>
      <c r="H23" s="9">
        <v>0</v>
      </c>
      <c r="I23" s="9"/>
      <c r="J23" s="9"/>
      <c r="K23" s="9"/>
      <c r="L23" s="9"/>
      <c r="M23" s="9"/>
      <c r="N23" s="9">
        <v>33607</v>
      </c>
      <c r="O23" s="3"/>
      <c r="P23" s="3"/>
      <c r="Q23" s="3"/>
      <c r="R23" s="3" t="s">
        <v>26</v>
      </c>
      <c r="S23" s="12">
        <f>N42/1000</f>
        <v>523.66444000000001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236.53944000000001</v>
      </c>
      <c r="T26" s="14">
        <f>M43</f>
        <v>0.4517004057025526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32</v>
      </c>
      <c r="S27" s="13">
        <f>G42/1000</f>
        <v>102.556</v>
      </c>
      <c r="T27" s="15">
        <f>G43</f>
        <v>0.19584297150289601</v>
      </c>
    </row>
    <row r="28" spans="1:20" ht="15">
      <c r="A28" s="4" t="s">
        <v>67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13.537000000000001</v>
      </c>
      <c r="T29" s="14">
        <f>F43</f>
        <v>2.5850523667408084E-2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34</v>
      </c>
      <c r="S30" s="12">
        <f>E42/1000</f>
        <v>0</v>
      </c>
      <c r="T30" s="14">
        <f>E43</f>
        <v>0</v>
      </c>
    </row>
    <row r="31" spans="1:20" ht="15">
      <c r="A31" s="5" t="s">
        <v>35</v>
      </c>
      <c r="B31" s="9">
        <v>0</v>
      </c>
      <c r="C31" s="9">
        <v>2588</v>
      </c>
      <c r="D31" s="9">
        <v>0</v>
      </c>
      <c r="E31" s="9">
        <v>0</v>
      </c>
      <c r="F31" s="9">
        <v>273</v>
      </c>
      <c r="G31" s="9">
        <v>0</v>
      </c>
      <c r="H31" s="9">
        <v>0</v>
      </c>
      <c r="I31" s="9"/>
      <c r="J31" s="9"/>
      <c r="K31" s="9"/>
      <c r="L31" s="9"/>
      <c r="M31" s="9">
        <v>3191</v>
      </c>
      <c r="N31" s="9">
        <v>6051</v>
      </c>
      <c r="O31" s="16">
        <f>N31/N$39</f>
        <v>1.2203681070680913E-2</v>
      </c>
      <c r="P31" s="17" t="s">
        <v>36</v>
      </c>
      <c r="Q31" s="3"/>
      <c r="R31" s="3" t="s">
        <v>37</v>
      </c>
      <c r="S31" s="13">
        <f>C42/1000</f>
        <v>171.03200000000001</v>
      </c>
      <c r="T31" s="15">
        <f>C43</f>
        <v>0.32660609912714333</v>
      </c>
    </row>
    <row r="32" spans="1:20" ht="15">
      <c r="A32" s="5" t="s">
        <v>38</v>
      </c>
      <c r="B32" s="9">
        <v>0</v>
      </c>
      <c r="C32" s="45">
        <f>218883-145137-45000</f>
        <v>28746</v>
      </c>
      <c r="D32" s="9">
        <v>0</v>
      </c>
      <c r="E32" s="9">
        <v>0</v>
      </c>
      <c r="F32" s="45">
        <v>0</v>
      </c>
      <c r="G32" s="45">
        <v>45000</v>
      </c>
      <c r="H32" s="9">
        <v>0</v>
      </c>
      <c r="I32" s="9"/>
      <c r="J32" s="9"/>
      <c r="K32" s="9"/>
      <c r="L32" s="9"/>
      <c r="M32" s="9">
        <v>145137</v>
      </c>
      <c r="N32" s="9">
        <v>218883</v>
      </c>
      <c r="O32" s="16">
        <f>N32/N$39</f>
        <v>0.44144411234405062</v>
      </c>
      <c r="P32" s="17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9">
        <v>4402</v>
      </c>
      <c r="C33" s="9">
        <v>274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10505</v>
      </c>
      <c r="N33" s="9">
        <v>15181</v>
      </c>
      <c r="O33" s="16">
        <f>N33/N$39</f>
        <v>3.0617101691291844E-2</v>
      </c>
      <c r="P33" s="17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138154</v>
      </c>
      <c r="D34" s="9">
        <v>0</v>
      </c>
      <c r="E34" s="9">
        <v>0</v>
      </c>
      <c r="F34" s="9">
        <v>13264</v>
      </c>
      <c r="G34" s="9">
        <v>0</v>
      </c>
      <c r="H34" s="9">
        <v>0</v>
      </c>
      <c r="I34" s="9"/>
      <c r="J34" s="9"/>
      <c r="K34" s="9"/>
      <c r="L34" s="9"/>
      <c r="M34" s="9">
        <v>51</v>
      </c>
      <c r="N34" s="9">
        <v>151469</v>
      </c>
      <c r="O34" s="16">
        <f>N34/N$39</f>
        <v>0.30548328674516068</v>
      </c>
      <c r="P34" s="17" t="s">
        <v>44</v>
      </c>
      <c r="Q34" s="3"/>
      <c r="R34" s="3"/>
      <c r="S34" s="13">
        <f>SUM(S26:S33)</f>
        <v>523.66444000000001</v>
      </c>
      <c r="T34" s="14">
        <f>SUM(T26:T33)</f>
        <v>1</v>
      </c>
    </row>
    <row r="35" spans="1:47" ht="15">
      <c r="A35" s="5" t="s">
        <v>45</v>
      </c>
      <c r="B35" s="9">
        <v>0</v>
      </c>
      <c r="C35" s="9">
        <v>80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10931</v>
      </c>
      <c r="N35" s="9">
        <v>11011</v>
      </c>
      <c r="O35" s="16">
        <f>N35/N$39</f>
        <v>2.2207028965339205E-2</v>
      </c>
      <c r="P35" s="17" t="s">
        <v>46</v>
      </c>
      <c r="Q35" s="17"/>
    </row>
    <row r="36" spans="1:47" ht="15">
      <c r="A36" s="5" t="s">
        <v>47</v>
      </c>
      <c r="B36" s="9">
        <v>10484</v>
      </c>
      <c r="C36" s="9">
        <v>126</v>
      </c>
      <c r="D36" s="9">
        <v>0</v>
      </c>
      <c r="E36" s="9">
        <v>0</v>
      </c>
      <c r="F36" s="9">
        <v>0</v>
      </c>
      <c r="G36" s="9">
        <v>24855</v>
      </c>
      <c r="H36" s="9">
        <v>0</v>
      </c>
      <c r="I36" s="9"/>
      <c r="J36" s="9"/>
      <c r="K36" s="9"/>
      <c r="L36" s="9"/>
      <c r="M36" s="9">
        <v>39716</v>
      </c>
      <c r="N36" s="9">
        <v>75182</v>
      </c>
      <c r="O36" s="17"/>
      <c r="P36" s="17"/>
      <c r="Q36" s="3"/>
      <c r="R36" s="7"/>
      <c r="S36" s="7"/>
      <c r="T36" s="7"/>
    </row>
    <row r="37" spans="1:47" ht="15">
      <c r="A37" s="5" t="s">
        <v>48</v>
      </c>
      <c r="B37" s="9">
        <v>8410</v>
      </c>
      <c r="C37" s="9">
        <v>159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2409</v>
      </c>
      <c r="N37" s="9">
        <v>10978</v>
      </c>
      <c r="O37" s="17"/>
      <c r="P37" s="17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7078</v>
      </c>
      <c r="N38" s="9">
        <v>7078</v>
      </c>
      <c r="O38" s="17">
        <f>SUM(O31:O35)</f>
        <v>0.81195521081652322</v>
      </c>
      <c r="P38" s="17"/>
      <c r="Q38" s="3"/>
      <c r="R38" s="7" t="s">
        <v>50</v>
      </c>
      <c r="S38" s="18">
        <f>N45/1000</f>
        <v>21.015439999999998</v>
      </c>
      <c r="T38" s="7"/>
    </row>
    <row r="39" spans="1:47" ht="15">
      <c r="A39" s="5" t="s">
        <v>17</v>
      </c>
      <c r="B39" s="9">
        <v>23296</v>
      </c>
      <c r="C39" s="45">
        <f>SUM(C31:C38)</f>
        <v>170127</v>
      </c>
      <c r="D39" s="9">
        <v>0</v>
      </c>
      <c r="E39" s="9">
        <v>0</v>
      </c>
      <c r="F39" s="45">
        <f>F34+F31</f>
        <v>13537</v>
      </c>
      <c r="G39" s="45">
        <f>G36+G32</f>
        <v>69855</v>
      </c>
      <c r="H39" s="9">
        <v>0</v>
      </c>
      <c r="I39" s="9"/>
      <c r="J39" s="9"/>
      <c r="K39" s="9"/>
      <c r="L39" s="9"/>
      <c r="M39" s="9">
        <v>219018</v>
      </c>
      <c r="N39" s="9">
        <v>495834</v>
      </c>
      <c r="O39" s="3"/>
      <c r="P39" s="3"/>
      <c r="Q39" s="3"/>
      <c r="R39" s="7" t="s">
        <v>51</v>
      </c>
      <c r="S39" s="19">
        <f>N41/1000</f>
        <v>93.238</v>
      </c>
      <c r="T39" s="14">
        <f>O41</f>
        <v>0.18804277237946571</v>
      </c>
    </row>
    <row r="40" spans="1:47">
      <c r="R40" s="7" t="s">
        <v>52</v>
      </c>
      <c r="S40" s="19">
        <f>N35/1000</f>
        <v>11.010999999999999</v>
      </c>
      <c r="T40" s="15">
        <f>O35</f>
        <v>2.2207028965339205E-2</v>
      </c>
    </row>
    <row r="41" spans="1:47" ht="15">
      <c r="A41" s="20" t="s">
        <v>53</v>
      </c>
      <c r="B41" s="21">
        <f>B38+B37+B36</f>
        <v>18894</v>
      </c>
      <c r="C41" s="21">
        <f t="shared" ref="C41:N41" si="0">C38+C37+C36</f>
        <v>285</v>
      </c>
      <c r="D41" s="21">
        <f t="shared" si="0"/>
        <v>0</v>
      </c>
      <c r="E41" s="21">
        <f t="shared" si="0"/>
        <v>0</v>
      </c>
      <c r="F41" s="21">
        <f t="shared" si="0"/>
        <v>0</v>
      </c>
      <c r="G41" s="21">
        <f t="shared" si="0"/>
        <v>24855</v>
      </c>
      <c r="H41" s="21">
        <f t="shared" si="0"/>
        <v>0</v>
      </c>
      <c r="I41" s="21">
        <f t="shared" si="0"/>
        <v>0</v>
      </c>
      <c r="J41" s="21">
        <f t="shared" si="0"/>
        <v>0</v>
      </c>
      <c r="K41" s="21">
        <f t="shared" si="0"/>
        <v>0</v>
      </c>
      <c r="L41" s="21">
        <f t="shared" si="0"/>
        <v>0</v>
      </c>
      <c r="M41" s="21">
        <f t="shared" si="0"/>
        <v>49203</v>
      </c>
      <c r="N41" s="21">
        <f t="shared" si="0"/>
        <v>93238</v>
      </c>
      <c r="O41" s="16">
        <f>N41/N$39</f>
        <v>0.18804277237946571</v>
      </c>
      <c r="P41" s="16" t="s">
        <v>54</v>
      </c>
      <c r="Q41" s="7"/>
      <c r="R41" s="7" t="s">
        <v>55</v>
      </c>
      <c r="S41" s="19">
        <f>N33/1000</f>
        <v>15.180999999999999</v>
      </c>
      <c r="T41" s="14">
        <f>O33</f>
        <v>3.0617101691291844E-2</v>
      </c>
    </row>
    <row r="42" spans="1:47" ht="15">
      <c r="A42" s="22" t="s">
        <v>56</v>
      </c>
      <c r="B42" s="21"/>
      <c r="C42" s="23">
        <f>C39+C23+C10</f>
        <v>171032</v>
      </c>
      <c r="D42" s="23">
        <f t="shared" ref="D42:L42" si="1">D39+D23+D10</f>
        <v>0</v>
      </c>
      <c r="E42" s="23">
        <f t="shared" si="1"/>
        <v>0</v>
      </c>
      <c r="F42" s="23">
        <f t="shared" si="1"/>
        <v>13537</v>
      </c>
      <c r="G42" s="23">
        <f t="shared" si="1"/>
        <v>102556</v>
      </c>
      <c r="H42" s="23">
        <f t="shared" si="1"/>
        <v>0</v>
      </c>
      <c r="I42" s="23">
        <f t="shared" si="1"/>
        <v>0</v>
      </c>
      <c r="J42" s="23">
        <f t="shared" si="1"/>
        <v>0</v>
      </c>
      <c r="K42" s="23">
        <f t="shared" si="1"/>
        <v>0</v>
      </c>
      <c r="L42" s="23">
        <f t="shared" si="1"/>
        <v>0</v>
      </c>
      <c r="M42" s="23">
        <f>M39+M23-B6+M45</f>
        <v>236539.44</v>
      </c>
      <c r="N42" s="24">
        <f>SUM(C42:M42)</f>
        <v>523664.44</v>
      </c>
      <c r="O42" s="7"/>
      <c r="P42" s="7"/>
      <c r="Q42" s="7"/>
      <c r="R42" s="7" t="s">
        <v>36</v>
      </c>
      <c r="S42" s="19">
        <f>N31/1000</f>
        <v>6.0510000000000002</v>
      </c>
      <c r="T42" s="14">
        <f>O31</f>
        <v>1.2203681070680913E-2</v>
      </c>
    </row>
    <row r="43" spans="1:47" ht="15">
      <c r="A43" s="22" t="s">
        <v>57</v>
      </c>
      <c r="B43" s="21"/>
      <c r="C43" s="16">
        <f t="shared" ref="C43:M43" si="2">C42/$N42</f>
        <v>0.32660609912714333</v>
      </c>
      <c r="D43" s="16">
        <f t="shared" si="2"/>
        <v>0</v>
      </c>
      <c r="E43" s="16">
        <f t="shared" si="2"/>
        <v>0</v>
      </c>
      <c r="F43" s="16">
        <f t="shared" si="2"/>
        <v>2.5850523667408084E-2</v>
      </c>
      <c r="G43" s="16">
        <f t="shared" si="2"/>
        <v>0.19584297150289601</v>
      </c>
      <c r="H43" s="16">
        <f t="shared" si="2"/>
        <v>0</v>
      </c>
      <c r="I43" s="16">
        <f t="shared" si="2"/>
        <v>0</v>
      </c>
      <c r="J43" s="16">
        <f t="shared" si="2"/>
        <v>0</v>
      </c>
      <c r="K43" s="16">
        <f t="shared" si="2"/>
        <v>0</v>
      </c>
      <c r="L43" s="16">
        <f t="shared" si="2"/>
        <v>0</v>
      </c>
      <c r="M43" s="16">
        <f t="shared" si="2"/>
        <v>0.4517004057025526</v>
      </c>
      <c r="N43" s="16">
        <f>SUM(C43:M43)</f>
        <v>1</v>
      </c>
      <c r="O43" s="7"/>
      <c r="P43" s="7"/>
      <c r="Q43" s="7"/>
      <c r="R43" s="7" t="s">
        <v>58</v>
      </c>
      <c r="S43" s="19">
        <f>N32/1000</f>
        <v>218.88300000000001</v>
      </c>
      <c r="T43" s="15">
        <f>O32</f>
        <v>0.44144411234405062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19">
        <f>N34/1000</f>
        <v>151.46899999999999</v>
      </c>
      <c r="T44" s="15">
        <f>O34</f>
        <v>0.30548328674516068</v>
      </c>
    </row>
    <row r="45" spans="1:47" ht="15">
      <c r="A45" s="6" t="s">
        <v>60</v>
      </c>
      <c r="B45" s="6">
        <f>B23-B39</f>
        <v>3494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5">
        <f>M39*0.08</f>
        <v>17521.439999999999</v>
      </c>
      <c r="N45" s="24">
        <f>B45+M45</f>
        <v>21015.439999999999</v>
      </c>
      <c r="O45" s="7"/>
      <c r="P45" s="7"/>
      <c r="Q45" s="7"/>
      <c r="R45" s="7" t="s">
        <v>61</v>
      </c>
      <c r="S45" s="19">
        <f>SUM(S39:S44)</f>
        <v>495.83300000000003</v>
      </c>
      <c r="T45" s="14">
        <f>SUM(T39:T44)</f>
        <v>0.99999798319598898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75</v>
      </c>
      <c r="B47" s="38">
        <f>(B23-B39)/B23</f>
        <v>0.13042179917879806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4"/>
      <c r="R47" s="4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"/>
      <c r="AH47" s="4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>
      <c r="A48" s="26"/>
      <c r="B48" s="4"/>
      <c r="C48" s="26"/>
      <c r="D48" s="37"/>
      <c r="E48" s="26"/>
      <c r="F48" s="26"/>
      <c r="G48" s="37"/>
      <c r="H48" s="37"/>
      <c r="I48" s="26"/>
      <c r="J48" s="26"/>
      <c r="K48" s="26"/>
      <c r="L48" s="26"/>
      <c r="M48" s="26"/>
      <c r="N48" s="26"/>
      <c r="O48" s="26"/>
      <c r="P48" s="26"/>
      <c r="Q48" s="26"/>
      <c r="R48" s="4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4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4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4"/>
      <c r="AI49" s="37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>
      <c r="A50" s="26"/>
      <c r="B50" s="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4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4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4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4"/>
      <c r="AI51" s="37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>
      <c r="A52" s="26"/>
      <c r="B52" s="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4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4"/>
      <c r="AI52" s="37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4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4"/>
      <c r="AI53" s="37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4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4"/>
      <c r="AI54" s="37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>
      <c r="A55" s="26"/>
      <c r="B55" s="4"/>
      <c r="C55" s="26"/>
      <c r="D55" s="37"/>
      <c r="E55" s="26"/>
      <c r="F55" s="26"/>
      <c r="G55" s="37"/>
      <c r="H55" s="37"/>
      <c r="I55" s="26"/>
      <c r="J55" s="26"/>
      <c r="K55" s="26"/>
      <c r="L55" s="26"/>
      <c r="M55" s="26"/>
      <c r="N55" s="26"/>
      <c r="O55" s="26"/>
      <c r="P55" s="26"/>
      <c r="Q55" s="26"/>
      <c r="R55" s="4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4"/>
      <c r="AI55" s="37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>
      <c r="A56" s="26"/>
      <c r="B56" s="4"/>
      <c r="C56" s="26"/>
      <c r="D56" s="37"/>
      <c r="E56" s="26"/>
      <c r="F56" s="26"/>
      <c r="G56" s="37"/>
      <c r="H56" s="37"/>
      <c r="I56" s="26"/>
      <c r="J56" s="26"/>
      <c r="K56" s="26"/>
      <c r="L56" s="26"/>
      <c r="M56" s="26"/>
      <c r="N56" s="26"/>
      <c r="O56" s="26"/>
      <c r="P56" s="26"/>
      <c r="Q56" s="26"/>
      <c r="R56" s="4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4"/>
      <c r="AI56" s="37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ht="15">
      <c r="A57" s="7"/>
      <c r="B57" s="7"/>
      <c r="C57" s="27"/>
      <c r="D57" s="27"/>
      <c r="E57" s="27"/>
      <c r="F57" s="27"/>
      <c r="G57" s="27"/>
      <c r="H57" s="27"/>
      <c r="I57" s="27"/>
      <c r="J57" s="27"/>
      <c r="K57" s="27"/>
      <c r="L57" s="6"/>
      <c r="M57" s="28"/>
      <c r="N57" s="7"/>
      <c r="O57" s="6"/>
      <c r="P57" s="14"/>
      <c r="Q57" s="7"/>
      <c r="R57" s="7"/>
      <c r="S57" s="6"/>
      <c r="T57" s="29"/>
    </row>
    <row r="58" spans="1:47" ht="15">
      <c r="A58" s="7"/>
      <c r="B58" s="7"/>
      <c r="C58" s="27"/>
      <c r="D58" s="27"/>
      <c r="E58" s="27"/>
      <c r="F58" s="27"/>
      <c r="G58" s="27"/>
      <c r="H58" s="27"/>
      <c r="I58" s="27"/>
      <c r="J58" s="27"/>
      <c r="K58" s="27"/>
      <c r="L58" s="6"/>
      <c r="M58" s="28"/>
      <c r="N58" s="7"/>
      <c r="O58" s="6"/>
      <c r="P58" s="14"/>
      <c r="Q58" s="7"/>
      <c r="R58" s="7"/>
      <c r="S58" s="6"/>
      <c r="T58" s="29"/>
    </row>
    <row r="59" spans="1:47" ht="15">
      <c r="A59" s="7"/>
      <c r="B59" s="7"/>
      <c r="C59" s="27"/>
      <c r="D59" s="27"/>
      <c r="E59" s="27"/>
      <c r="F59" s="27"/>
      <c r="G59" s="27"/>
      <c r="H59" s="27"/>
      <c r="I59" s="27"/>
      <c r="J59" s="27"/>
      <c r="K59" s="27"/>
      <c r="L59" s="6"/>
      <c r="M59" s="28"/>
      <c r="N59" s="7"/>
      <c r="O59" s="6"/>
      <c r="P59" s="14"/>
      <c r="Q59" s="7"/>
      <c r="R59" s="7"/>
      <c r="S59" s="6"/>
      <c r="T59" s="29"/>
    </row>
    <row r="60" spans="1:47" ht="15">
      <c r="A60" s="22"/>
      <c r="B60" s="7"/>
      <c r="C60" s="27"/>
      <c r="D60" s="27"/>
      <c r="E60" s="27"/>
      <c r="F60" s="27"/>
      <c r="G60" s="27"/>
      <c r="H60" s="27"/>
      <c r="I60" s="27"/>
      <c r="J60" s="27"/>
      <c r="K60" s="27"/>
      <c r="L60" s="6"/>
      <c r="M60" s="28"/>
      <c r="N60" s="7"/>
      <c r="O60" s="6"/>
      <c r="P60" s="14"/>
      <c r="Q60" s="7"/>
      <c r="R60" s="7"/>
      <c r="S60" s="6"/>
      <c r="T60" s="29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8"/>
      <c r="N61" s="7"/>
      <c r="O61" s="6"/>
      <c r="P61" s="14"/>
      <c r="Q61" s="7"/>
      <c r="R61" s="7"/>
      <c r="S61" s="30"/>
      <c r="T61" s="31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2"/>
      <c r="C63" s="32"/>
      <c r="D63" s="32"/>
      <c r="E63" s="32"/>
      <c r="F63" s="32"/>
      <c r="G63" s="32"/>
      <c r="H63" s="32"/>
      <c r="I63" s="32"/>
      <c r="J63" s="7"/>
      <c r="K63" s="7"/>
      <c r="L63" s="7"/>
      <c r="M63" s="7"/>
      <c r="N63" s="7"/>
      <c r="O63" s="7"/>
      <c r="P63" s="7"/>
      <c r="Q63" s="7"/>
      <c r="R63" s="7"/>
      <c r="S63" s="32"/>
      <c r="T63" s="33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8"/>
      <c r="Q64" s="7"/>
      <c r="R64" s="7"/>
      <c r="S64" s="6"/>
      <c r="T64" s="29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8"/>
      <c r="Q65" s="7"/>
      <c r="R65" s="7"/>
      <c r="S65" s="6"/>
      <c r="T65" s="29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8"/>
      <c r="Q66" s="7"/>
      <c r="R66" s="7"/>
      <c r="S66" s="6"/>
      <c r="T66" s="29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8"/>
      <c r="Q67" s="7"/>
      <c r="R67" s="7"/>
      <c r="S67" s="6"/>
      <c r="T67" s="29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8"/>
      <c r="Q68" s="7"/>
      <c r="R68" s="7"/>
      <c r="S68" s="6"/>
      <c r="T68" s="29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8"/>
      <c r="Q69" s="7"/>
      <c r="R69" s="7"/>
      <c r="S69" s="6"/>
      <c r="T69" s="29"/>
    </row>
    <row r="70" spans="1:20" ht="15">
      <c r="A70" s="7"/>
      <c r="B70" s="30"/>
      <c r="C70" s="30"/>
      <c r="D70" s="30"/>
      <c r="E70" s="30"/>
      <c r="F70" s="30"/>
      <c r="G70" s="30"/>
      <c r="H70" s="30"/>
      <c r="I70" s="30"/>
      <c r="J70" s="7"/>
      <c r="K70" s="7"/>
      <c r="L70" s="7"/>
      <c r="M70" s="7"/>
      <c r="N70" s="7"/>
      <c r="O70" s="30"/>
      <c r="P70" s="34"/>
      <c r="Q70" s="7"/>
      <c r="R70" s="35"/>
      <c r="S70" s="30"/>
      <c r="T70" s="34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 enableFormatConditionsCalculation="0"/>
  <dimension ref="A1:AU70"/>
  <sheetViews>
    <sheetView zoomScale="125" zoomScaleNormal="125" zoomScalePageLayoutView="125" workbookViewId="0">
      <selection activeCell="A22" sqref="A22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2" width="9.1640625" style="2" bestFit="1" customWidth="1"/>
    <col min="13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68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30733</v>
      </c>
      <c r="C6" s="9">
        <v>0</v>
      </c>
      <c r="D6" s="40">
        <v>0</v>
      </c>
      <c r="E6" s="9">
        <v>0</v>
      </c>
      <c r="F6" s="9">
        <v>0</v>
      </c>
      <c r="G6" s="41">
        <v>0</v>
      </c>
      <c r="H6" s="9">
        <v>0</v>
      </c>
      <c r="I6" s="9"/>
      <c r="J6" s="40"/>
      <c r="K6" s="9"/>
      <c r="L6" s="9"/>
      <c r="M6" s="9"/>
      <c r="N6" s="41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1752630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45">
        <v>177297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45">
        <f>30733+1752630+177297</f>
        <v>1960660</v>
      </c>
      <c r="C10" s="9">
        <v>0</v>
      </c>
      <c r="D10" s="40">
        <v>0</v>
      </c>
      <c r="E10" s="9">
        <v>0</v>
      </c>
      <c r="F10" s="9">
        <v>0</v>
      </c>
      <c r="G10" s="41">
        <v>0</v>
      </c>
      <c r="H10" s="9">
        <v>0</v>
      </c>
      <c r="I10" s="9"/>
      <c r="J10" s="40"/>
      <c r="K10" s="9"/>
      <c r="L10" s="9"/>
      <c r="M10" s="9"/>
      <c r="N10" s="41">
        <v>0</v>
      </c>
      <c r="O10" s="3"/>
      <c r="P10" s="3"/>
      <c r="Q10" s="3"/>
      <c r="R10" s="3"/>
      <c r="S10" s="3"/>
      <c r="T10" s="3"/>
    </row>
    <row r="11" spans="1:20" ht="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</row>
    <row r="12" spans="1:20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1"/>
      <c r="O13" s="3"/>
      <c r="P13" s="3"/>
      <c r="Q13" s="3"/>
      <c r="R13" s="3"/>
      <c r="S13" s="3"/>
      <c r="T13" s="3"/>
    </row>
    <row r="14" spans="1:20" ht="15">
      <c r="A14" s="4" t="s">
        <v>68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0" t="s">
        <v>12</v>
      </c>
      <c r="O15" s="3"/>
      <c r="P15" s="3"/>
      <c r="Q15" s="3"/>
      <c r="R15" s="3"/>
      <c r="S15" s="3"/>
      <c r="T15" s="3"/>
    </row>
    <row r="16" spans="1:20" ht="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f>25908+158923</f>
        <v>184831</v>
      </c>
      <c r="C17" s="9">
        <v>2989</v>
      </c>
      <c r="D17" s="40">
        <v>0</v>
      </c>
      <c r="E17" s="9">
        <v>0</v>
      </c>
      <c r="F17" s="9">
        <v>0</v>
      </c>
      <c r="G17" s="41">
        <v>106095</v>
      </c>
      <c r="H17" s="9">
        <v>0</v>
      </c>
      <c r="I17" s="9"/>
      <c r="J17" s="40">
        <v>128525</v>
      </c>
      <c r="K17" s="9"/>
      <c r="L17" s="9"/>
      <c r="M17" s="9"/>
      <c r="N17" s="41">
        <v>237609</v>
      </c>
      <c r="O17" s="3"/>
      <c r="P17" s="47"/>
      <c r="Q17" s="3"/>
      <c r="R17" s="3"/>
      <c r="S17" s="3"/>
      <c r="T17" s="3"/>
    </row>
    <row r="18" spans="1:20" ht="15">
      <c r="A18" s="8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0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219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0">
        <v>222</v>
      </c>
      <c r="N19" s="41">
        <v>222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42" t="s">
        <v>77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185050</v>
      </c>
      <c r="C23" s="9">
        <v>2989</v>
      </c>
      <c r="D23" s="40">
        <v>0</v>
      </c>
      <c r="E23" s="9">
        <v>0</v>
      </c>
      <c r="F23" s="9">
        <v>0</v>
      </c>
      <c r="G23" s="9">
        <v>106095</v>
      </c>
      <c r="H23" s="9">
        <v>0</v>
      </c>
      <c r="I23" s="9"/>
      <c r="J23" s="40">
        <v>128525</v>
      </c>
      <c r="K23" s="9"/>
      <c r="L23" s="9"/>
      <c r="M23" s="41">
        <v>222</v>
      </c>
      <c r="N23" s="41">
        <v>237831</v>
      </c>
      <c r="O23" s="3"/>
      <c r="P23" s="3"/>
      <c r="Q23" s="3"/>
      <c r="R23" s="3" t="s">
        <v>26</v>
      </c>
      <c r="S23" s="12">
        <f>N42/1000</f>
        <v>3347.6885600000001</v>
      </c>
      <c r="T23" s="3"/>
    </row>
    <row r="24" spans="1:20" ht="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</row>
    <row r="25" spans="1:20" ht="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"/>
      <c r="P26" s="3"/>
      <c r="Q26" s="3"/>
      <c r="R26" s="3" t="s">
        <v>11</v>
      </c>
      <c r="S26" s="13">
        <f>M42/1000</f>
        <v>1865.92256</v>
      </c>
      <c r="T26" s="14">
        <f>M43</f>
        <v>0.55737638868055273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3"/>
      <c r="P27" s="3"/>
      <c r="Q27" s="3"/>
      <c r="R27" s="3" t="s">
        <v>32</v>
      </c>
      <c r="S27" s="13">
        <f>G42/1000</f>
        <v>120.246</v>
      </c>
      <c r="T27" s="15">
        <f>G43</f>
        <v>3.5919111902094021E-2</v>
      </c>
    </row>
    <row r="28" spans="1:20" ht="15">
      <c r="A28" s="4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"/>
      <c r="P28" s="3"/>
      <c r="Q28" s="3"/>
      <c r="R28" s="3" t="s">
        <v>8</v>
      </c>
      <c r="S28" s="13">
        <f>J42/1000</f>
        <v>128.52500000000001</v>
      </c>
      <c r="T28" s="14">
        <f>J43</f>
        <v>3.8392161545636731E-2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42.848999999999997</v>
      </c>
      <c r="T29" s="14">
        <f>F43</f>
        <v>1.2799577748056706E-2</v>
      </c>
    </row>
    <row r="30" spans="1:20" ht="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"/>
      <c r="P30" s="3"/>
      <c r="Q30" s="3"/>
      <c r="R30" s="3" t="s">
        <v>34</v>
      </c>
      <c r="S30" s="12">
        <f>E42/1000</f>
        <v>0</v>
      </c>
      <c r="T30" s="14">
        <f>E43</f>
        <v>0</v>
      </c>
    </row>
    <row r="31" spans="1:20" ht="15">
      <c r="A31" s="5" t="s">
        <v>35</v>
      </c>
      <c r="B31" s="9">
        <v>0</v>
      </c>
      <c r="C31" s="9">
        <v>1767</v>
      </c>
      <c r="D31" s="9">
        <v>0</v>
      </c>
      <c r="E31" s="9">
        <v>0</v>
      </c>
      <c r="F31" s="9">
        <v>133</v>
      </c>
      <c r="G31" s="9">
        <v>0</v>
      </c>
      <c r="H31" s="9">
        <v>0</v>
      </c>
      <c r="I31" s="9"/>
      <c r="J31" s="9"/>
      <c r="K31" s="9"/>
      <c r="L31" s="9"/>
      <c r="M31" s="9">
        <v>1061</v>
      </c>
      <c r="N31" s="9">
        <v>2961</v>
      </c>
      <c r="O31" s="16">
        <f>N31/N$39</f>
        <v>9.3871292028485393E-4</v>
      </c>
      <c r="P31" s="17" t="s">
        <v>36</v>
      </c>
      <c r="Q31" s="3"/>
      <c r="R31" s="3" t="s">
        <v>37</v>
      </c>
      <c r="S31" s="13">
        <f>C42/1000</f>
        <v>1190.146</v>
      </c>
      <c r="T31" s="15">
        <f>C43</f>
        <v>0.35551276012365979</v>
      </c>
    </row>
    <row r="32" spans="1:20" ht="15">
      <c r="A32" s="5" t="s">
        <v>38</v>
      </c>
      <c r="B32" s="9">
        <v>3211</v>
      </c>
      <c r="C32" s="45">
        <f>758246-3211</f>
        <v>755035</v>
      </c>
      <c r="D32" s="9">
        <v>0</v>
      </c>
      <c r="E32" s="45">
        <v>0</v>
      </c>
      <c r="F32" s="36">
        <v>0</v>
      </c>
      <c r="G32" s="45">
        <v>0</v>
      </c>
      <c r="H32" s="9">
        <v>0</v>
      </c>
      <c r="I32" s="9"/>
      <c r="J32" s="9"/>
      <c r="K32" s="9"/>
      <c r="L32" s="9"/>
      <c r="M32" s="9">
        <v>1559480</v>
      </c>
      <c r="N32" s="45">
        <f>M32+C32+B32</f>
        <v>2317726</v>
      </c>
      <c r="O32" s="16">
        <f>N32/N$39</f>
        <v>0.73477856868629965</v>
      </c>
      <c r="P32" s="17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9">
        <v>32233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35904</v>
      </c>
      <c r="N33" s="9">
        <v>68137</v>
      </c>
      <c r="O33" s="16">
        <f>N33/N$39</f>
        <v>2.1601176038314452E-2</v>
      </c>
      <c r="P33" s="17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429055</v>
      </c>
      <c r="D34" s="9">
        <v>0</v>
      </c>
      <c r="E34" s="9">
        <v>0</v>
      </c>
      <c r="F34" s="9">
        <v>42716</v>
      </c>
      <c r="G34" s="9">
        <v>0</v>
      </c>
      <c r="H34" s="9">
        <v>0</v>
      </c>
      <c r="I34" s="9"/>
      <c r="J34" s="9"/>
      <c r="K34" s="9"/>
      <c r="L34" s="9"/>
      <c r="M34" s="9">
        <v>19864</v>
      </c>
      <c r="N34" s="9">
        <v>491635</v>
      </c>
      <c r="O34" s="16">
        <f>N34/N$39</f>
        <v>0.15586090056205476</v>
      </c>
      <c r="P34" s="17" t="s">
        <v>44</v>
      </c>
      <c r="Q34" s="3"/>
      <c r="R34" s="3"/>
      <c r="S34" s="13">
        <f>SUM(S26:S33)</f>
        <v>3347.6885600000005</v>
      </c>
      <c r="T34" s="14">
        <f>SUM(T26:T33)</f>
        <v>1</v>
      </c>
    </row>
    <row r="35" spans="1:47" ht="15">
      <c r="A35" s="5" t="s">
        <v>45</v>
      </c>
      <c r="B35" s="9">
        <v>19872</v>
      </c>
      <c r="C35" s="9">
        <v>589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44037</v>
      </c>
      <c r="N35" s="9">
        <v>64498</v>
      </c>
      <c r="O35" s="16">
        <f>N35/N$39</f>
        <v>2.0447519734053531E-2</v>
      </c>
      <c r="P35" s="17" t="s">
        <v>46</v>
      </c>
      <c r="Q35" s="17"/>
    </row>
    <row r="36" spans="1:47" ht="15">
      <c r="A36" s="5" t="s">
        <v>47</v>
      </c>
      <c r="B36" s="9">
        <v>35324</v>
      </c>
      <c r="C36" s="9">
        <v>273</v>
      </c>
      <c r="D36" s="9">
        <v>0</v>
      </c>
      <c r="E36" s="9">
        <v>0</v>
      </c>
      <c r="F36" s="9">
        <v>0</v>
      </c>
      <c r="G36" s="45">
        <v>14151</v>
      </c>
      <c r="H36" s="9">
        <v>0</v>
      </c>
      <c r="I36" s="9"/>
      <c r="J36" s="9"/>
      <c r="K36" s="9"/>
      <c r="L36" s="9"/>
      <c r="M36" s="9">
        <v>79231</v>
      </c>
      <c r="N36" s="45">
        <f>SUM(B36:M36)</f>
        <v>128979</v>
      </c>
      <c r="O36" s="17"/>
      <c r="P36" s="17"/>
      <c r="Q36" s="3"/>
      <c r="R36" s="7"/>
      <c r="S36" s="7"/>
      <c r="T36" s="7"/>
    </row>
    <row r="37" spans="1:47" ht="15">
      <c r="A37" s="5" t="s">
        <v>48</v>
      </c>
      <c r="B37" s="9">
        <v>63565</v>
      </c>
      <c r="C37" s="9">
        <v>438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6982</v>
      </c>
      <c r="N37" s="9">
        <v>70984</v>
      </c>
      <c r="O37" s="17"/>
      <c r="P37" s="17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9399</v>
      </c>
      <c r="N38" s="9">
        <v>9399</v>
      </c>
      <c r="O38" s="17">
        <f>SUM(O31:O35)</f>
        <v>0.93362687794100718</v>
      </c>
      <c r="P38" s="17"/>
      <c r="Q38" s="3"/>
      <c r="R38" s="7" t="s">
        <v>50</v>
      </c>
      <c r="S38" s="18">
        <f>N45/1000</f>
        <v>171.32156000000001</v>
      </c>
      <c r="T38" s="7"/>
    </row>
    <row r="39" spans="1:47" ht="15">
      <c r="A39" s="5" t="s">
        <v>17</v>
      </c>
      <c r="B39" s="9">
        <v>154205</v>
      </c>
      <c r="C39" s="45">
        <f>C31+C32+C34+C35+C36+C37</f>
        <v>1187157</v>
      </c>
      <c r="D39" s="9">
        <v>0</v>
      </c>
      <c r="E39" s="45">
        <v>0</v>
      </c>
      <c r="F39" s="45">
        <f>42716+133</f>
        <v>42849</v>
      </c>
      <c r="G39" s="45">
        <f>14151</f>
        <v>14151</v>
      </c>
      <c r="H39" s="9">
        <v>0</v>
      </c>
      <c r="I39" s="9"/>
      <c r="J39" s="9"/>
      <c r="K39" s="9"/>
      <c r="L39" s="9"/>
      <c r="M39" s="9">
        <v>1755957</v>
      </c>
      <c r="N39" s="9">
        <v>3154319</v>
      </c>
      <c r="O39" s="3"/>
      <c r="P39" s="3"/>
      <c r="Q39" s="3"/>
      <c r="R39" s="7" t="s">
        <v>51</v>
      </c>
      <c r="S39" s="19">
        <f>N41/1000</f>
        <v>209.36199999999999</v>
      </c>
      <c r="T39" s="14">
        <f>O41</f>
        <v>6.6373122058992762E-2</v>
      </c>
    </row>
    <row r="40" spans="1:47">
      <c r="R40" s="7" t="s">
        <v>52</v>
      </c>
      <c r="S40" s="19">
        <f>N35/1000</f>
        <v>64.498000000000005</v>
      </c>
      <c r="T40" s="15">
        <f>O35</f>
        <v>2.0447519734053531E-2</v>
      </c>
    </row>
    <row r="41" spans="1:47" ht="15">
      <c r="A41" s="20" t="s">
        <v>53</v>
      </c>
      <c r="B41" s="21">
        <f>B38+B37+B36</f>
        <v>98889</v>
      </c>
      <c r="C41" s="21">
        <f t="shared" ref="C41:N41" si="0">C38+C37+C36</f>
        <v>711</v>
      </c>
      <c r="D41" s="21">
        <f t="shared" si="0"/>
        <v>0</v>
      </c>
      <c r="E41" s="21">
        <f t="shared" si="0"/>
        <v>0</v>
      </c>
      <c r="F41" s="21">
        <f t="shared" si="0"/>
        <v>0</v>
      </c>
      <c r="G41" s="21">
        <f t="shared" si="0"/>
        <v>14151</v>
      </c>
      <c r="H41" s="21">
        <f t="shared" si="0"/>
        <v>0</v>
      </c>
      <c r="I41" s="21">
        <f t="shared" si="0"/>
        <v>0</v>
      </c>
      <c r="J41" s="21">
        <f t="shared" si="0"/>
        <v>0</v>
      </c>
      <c r="K41" s="21">
        <f t="shared" si="0"/>
        <v>0</v>
      </c>
      <c r="L41" s="21">
        <f t="shared" si="0"/>
        <v>0</v>
      </c>
      <c r="M41" s="21">
        <f t="shared" si="0"/>
        <v>95612</v>
      </c>
      <c r="N41" s="21">
        <f t="shared" si="0"/>
        <v>209362</v>
      </c>
      <c r="O41" s="16">
        <f>N41/N$39</f>
        <v>6.6373122058992762E-2</v>
      </c>
      <c r="P41" s="16" t="s">
        <v>54</v>
      </c>
      <c r="Q41" s="7"/>
      <c r="R41" s="7" t="s">
        <v>55</v>
      </c>
      <c r="S41" s="19">
        <f>N33/1000</f>
        <v>68.137</v>
      </c>
      <c r="T41" s="14">
        <f>O33</f>
        <v>2.1601176038314452E-2</v>
      </c>
    </row>
    <row r="42" spans="1:47" ht="15">
      <c r="A42" s="22" t="s">
        <v>56</v>
      </c>
      <c r="B42" s="21"/>
      <c r="C42" s="23">
        <f>C39+C23+C10</f>
        <v>1190146</v>
      </c>
      <c r="D42" s="23">
        <f t="shared" ref="D42:L42" si="1">D39+D23+D10</f>
        <v>0</v>
      </c>
      <c r="E42" s="23">
        <f t="shared" si="1"/>
        <v>0</v>
      </c>
      <c r="F42" s="23">
        <f t="shared" si="1"/>
        <v>42849</v>
      </c>
      <c r="G42" s="23">
        <f t="shared" si="1"/>
        <v>120246</v>
      </c>
      <c r="H42" s="23">
        <f t="shared" si="1"/>
        <v>0</v>
      </c>
      <c r="I42" s="23">
        <f t="shared" si="1"/>
        <v>0</v>
      </c>
      <c r="J42" s="23">
        <f t="shared" si="1"/>
        <v>128525</v>
      </c>
      <c r="K42" s="23">
        <f t="shared" si="1"/>
        <v>0</v>
      </c>
      <c r="L42" s="23">
        <f t="shared" si="1"/>
        <v>0</v>
      </c>
      <c r="M42" s="23">
        <f>M39+M23-B6+M45</f>
        <v>1865922.5600000001</v>
      </c>
      <c r="N42" s="24">
        <f>SUM(C42:M42)</f>
        <v>3347688.56</v>
      </c>
      <c r="O42" s="7"/>
      <c r="P42" s="7"/>
      <c r="Q42" s="7"/>
      <c r="R42" s="7" t="s">
        <v>36</v>
      </c>
      <c r="S42" s="19">
        <f>N31/1000</f>
        <v>2.9609999999999999</v>
      </c>
      <c r="T42" s="14">
        <f>O31</f>
        <v>9.3871292028485393E-4</v>
      </c>
    </row>
    <row r="43" spans="1:47" ht="15">
      <c r="A43" s="22" t="s">
        <v>57</v>
      </c>
      <c r="B43" s="21"/>
      <c r="C43" s="16">
        <f t="shared" ref="C43:M43" si="2">C42/$N42</f>
        <v>0.35551276012365979</v>
      </c>
      <c r="D43" s="16">
        <f t="shared" si="2"/>
        <v>0</v>
      </c>
      <c r="E43" s="16">
        <f t="shared" si="2"/>
        <v>0</v>
      </c>
      <c r="F43" s="16">
        <f t="shared" si="2"/>
        <v>1.2799577748056706E-2</v>
      </c>
      <c r="G43" s="16">
        <f t="shared" si="2"/>
        <v>3.5919111902094021E-2</v>
      </c>
      <c r="H43" s="16">
        <f t="shared" si="2"/>
        <v>0</v>
      </c>
      <c r="I43" s="16">
        <f t="shared" si="2"/>
        <v>0</v>
      </c>
      <c r="J43" s="16">
        <f t="shared" si="2"/>
        <v>3.8392161545636731E-2</v>
      </c>
      <c r="K43" s="16">
        <f t="shared" si="2"/>
        <v>0</v>
      </c>
      <c r="L43" s="16">
        <f t="shared" si="2"/>
        <v>0</v>
      </c>
      <c r="M43" s="16">
        <f t="shared" si="2"/>
        <v>0.55737638868055273</v>
      </c>
      <c r="N43" s="16">
        <f>SUM(C43:M43)</f>
        <v>1</v>
      </c>
      <c r="O43" s="7"/>
      <c r="P43" s="7"/>
      <c r="Q43" s="7"/>
      <c r="R43" s="7" t="s">
        <v>58</v>
      </c>
      <c r="S43" s="19">
        <f>N32/1000</f>
        <v>2317.7260000000001</v>
      </c>
      <c r="T43" s="15">
        <f>O32</f>
        <v>0.73477856868629965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19">
        <f>N34/1000</f>
        <v>491.63499999999999</v>
      </c>
      <c r="T44" s="15">
        <f>O34</f>
        <v>0.15586090056205476</v>
      </c>
    </row>
    <row r="45" spans="1:47" ht="15">
      <c r="A45" s="6" t="s">
        <v>60</v>
      </c>
      <c r="B45" s="6">
        <f>B23-B39</f>
        <v>30845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5">
        <f>M39*0.08</f>
        <v>140476.56</v>
      </c>
      <c r="N45" s="24">
        <f>B45+M45</f>
        <v>171321.56</v>
      </c>
      <c r="O45" s="7"/>
      <c r="P45" s="7"/>
      <c r="Q45" s="7"/>
      <c r="R45" s="7" t="s">
        <v>61</v>
      </c>
      <c r="S45" s="19">
        <f>SUM(S39:S44)</f>
        <v>3154.3190000000004</v>
      </c>
      <c r="T45" s="14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75</v>
      </c>
      <c r="B47" s="38">
        <f>(B23-B39)/B23</f>
        <v>0.16668467981626586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4"/>
      <c r="R47" s="4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"/>
      <c r="AH47" s="4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>
      <c r="A48" s="26"/>
      <c r="B48" s="4"/>
      <c r="C48" s="26"/>
      <c r="D48" s="37"/>
      <c r="E48" s="26"/>
      <c r="F48" s="37"/>
      <c r="G48" s="37"/>
      <c r="H48" s="37"/>
      <c r="I48" s="26"/>
      <c r="J48" s="26"/>
      <c r="K48" s="26"/>
      <c r="L48" s="26"/>
      <c r="M48" s="26"/>
      <c r="N48" s="26"/>
      <c r="O48" s="37"/>
      <c r="P48" s="26"/>
      <c r="Q48" s="26"/>
      <c r="R48" s="4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4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4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4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>
      <c r="A50" s="26"/>
      <c r="B50" s="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4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4"/>
      <c r="AI50" s="37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9"/>
      <c r="N51" s="26"/>
      <c r="O51" s="26"/>
      <c r="P51" s="26"/>
      <c r="Q51" s="26"/>
      <c r="R51" s="4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4"/>
      <c r="AI51" s="37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>
      <c r="A52" s="26"/>
      <c r="B52" s="4"/>
      <c r="C52" s="26"/>
      <c r="D52" s="26"/>
      <c r="E52" s="26"/>
      <c r="F52" s="26"/>
      <c r="G52" s="26"/>
      <c r="H52" s="37"/>
      <c r="I52" s="46"/>
      <c r="J52" s="26"/>
      <c r="K52" s="26"/>
      <c r="L52" s="26"/>
      <c r="M52" s="26"/>
      <c r="N52" s="26"/>
      <c r="O52" s="37"/>
      <c r="P52" s="26"/>
      <c r="Q52" s="26"/>
      <c r="R52" s="4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4"/>
      <c r="AI52" s="37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9"/>
      <c r="M53" s="26"/>
      <c r="N53" s="26"/>
      <c r="O53" s="26"/>
      <c r="P53" s="26"/>
      <c r="Q53" s="26"/>
      <c r="R53" s="4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4"/>
      <c r="AI53" s="37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4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4"/>
      <c r="AI54" s="37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>
      <c r="A55" s="26"/>
      <c r="B55" s="4"/>
      <c r="C55" s="26"/>
      <c r="D55" s="37"/>
      <c r="E55" s="26"/>
      <c r="F55" s="37"/>
      <c r="G55" s="37"/>
      <c r="H55" s="37"/>
      <c r="I55" s="26"/>
      <c r="J55" s="26"/>
      <c r="K55" s="26"/>
      <c r="L55" s="26"/>
      <c r="M55" s="26"/>
      <c r="N55" s="26"/>
      <c r="O55" s="26"/>
      <c r="P55" s="26"/>
      <c r="Q55" s="26"/>
      <c r="R55" s="4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4"/>
      <c r="AI55" s="37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>
      <c r="A56" s="26"/>
      <c r="B56" s="4"/>
      <c r="C56" s="26"/>
      <c r="D56" s="37"/>
      <c r="E56" s="26"/>
      <c r="F56" s="37"/>
      <c r="G56" s="37"/>
      <c r="H56" s="37"/>
      <c r="I56" s="26"/>
      <c r="J56" s="26"/>
      <c r="K56" s="26"/>
      <c r="L56" s="26"/>
      <c r="M56" s="26"/>
      <c r="N56" s="26"/>
      <c r="O56" s="26"/>
      <c r="P56" s="26"/>
      <c r="Q56" s="26"/>
      <c r="R56" s="4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4"/>
      <c r="AI56" s="37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ht="15">
      <c r="A57" s="7"/>
      <c r="B57" s="7"/>
      <c r="C57" s="27"/>
      <c r="D57" s="27"/>
      <c r="E57" s="27"/>
      <c r="F57" s="27"/>
      <c r="G57" s="27"/>
      <c r="H57" s="27"/>
      <c r="I57" s="27"/>
      <c r="J57" s="27"/>
      <c r="K57" s="27"/>
      <c r="L57" s="6"/>
      <c r="M57" s="28"/>
      <c r="N57" s="7"/>
      <c r="O57" s="6"/>
      <c r="P57" s="14"/>
      <c r="Q57" s="7"/>
      <c r="R57" s="7"/>
      <c r="S57" s="6"/>
      <c r="T57" s="29"/>
    </row>
    <row r="58" spans="1:47" ht="15">
      <c r="A58" s="7"/>
      <c r="B58" s="7"/>
      <c r="C58" s="27"/>
      <c r="D58" s="27"/>
      <c r="E58" s="27"/>
      <c r="F58" s="27"/>
      <c r="G58" s="27"/>
      <c r="H58" s="27"/>
      <c r="I58" s="27"/>
      <c r="J58" s="27"/>
      <c r="K58" s="27"/>
      <c r="L58" s="6"/>
      <c r="M58" s="28"/>
      <c r="N58" s="7"/>
      <c r="O58" s="6"/>
      <c r="P58" s="14"/>
      <c r="Q58" s="7"/>
      <c r="R58" s="7"/>
      <c r="S58" s="6"/>
      <c r="T58" s="29"/>
    </row>
    <row r="59" spans="1:47" ht="15">
      <c r="A59" s="7"/>
      <c r="B59" s="7"/>
      <c r="C59" s="27"/>
      <c r="D59" s="27"/>
      <c r="E59" s="27"/>
      <c r="F59" s="27"/>
      <c r="G59" s="27"/>
      <c r="H59" s="27"/>
      <c r="I59" s="27"/>
      <c r="J59" s="27"/>
      <c r="K59" s="27"/>
      <c r="L59" s="6"/>
      <c r="M59" s="28"/>
      <c r="N59" s="7"/>
      <c r="O59" s="6"/>
      <c r="P59" s="14"/>
      <c r="Q59" s="7"/>
      <c r="R59" s="7"/>
      <c r="S59" s="6"/>
      <c r="T59" s="29"/>
    </row>
    <row r="60" spans="1:47" ht="15">
      <c r="A60" s="22"/>
      <c r="B60" s="7"/>
      <c r="C60" s="27"/>
      <c r="D60" s="27"/>
      <c r="E60" s="27"/>
      <c r="F60" s="27"/>
      <c r="G60" s="27"/>
      <c r="H60" s="27"/>
      <c r="I60" s="27"/>
      <c r="J60" s="27"/>
      <c r="K60" s="27"/>
      <c r="L60" s="6"/>
      <c r="M60" s="28"/>
      <c r="N60" s="7"/>
      <c r="O60" s="6"/>
      <c r="P60" s="14"/>
      <c r="Q60" s="7"/>
      <c r="R60" s="7"/>
      <c r="S60" s="6"/>
      <c r="T60" s="29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8"/>
      <c r="N61" s="7"/>
      <c r="O61" s="6"/>
      <c r="P61" s="14"/>
      <c r="Q61" s="7"/>
      <c r="R61" s="7"/>
      <c r="S61" s="30"/>
      <c r="T61" s="31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2"/>
      <c r="C63" s="32"/>
      <c r="D63" s="32"/>
      <c r="E63" s="32"/>
      <c r="F63" s="32"/>
      <c r="G63" s="32"/>
      <c r="H63" s="32"/>
      <c r="I63" s="32"/>
      <c r="J63" s="7"/>
      <c r="K63" s="7"/>
      <c r="L63" s="7"/>
      <c r="M63" s="7"/>
      <c r="N63" s="7"/>
      <c r="O63" s="7"/>
      <c r="P63" s="7"/>
      <c r="Q63" s="7"/>
      <c r="R63" s="7"/>
      <c r="S63" s="32"/>
      <c r="T63" s="33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8"/>
      <c r="Q64" s="7"/>
      <c r="R64" s="7"/>
      <c r="S64" s="6"/>
      <c r="T64" s="29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8"/>
      <c r="Q65" s="7"/>
      <c r="R65" s="7"/>
      <c r="S65" s="6"/>
      <c r="T65" s="29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8"/>
      <c r="Q66" s="7"/>
      <c r="R66" s="7"/>
      <c r="S66" s="6"/>
      <c r="T66" s="29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8"/>
      <c r="Q67" s="7"/>
      <c r="R67" s="7"/>
      <c r="S67" s="6"/>
      <c r="T67" s="29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8"/>
      <c r="Q68" s="7"/>
      <c r="R68" s="7"/>
      <c r="S68" s="6"/>
      <c r="T68" s="29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8"/>
      <c r="Q69" s="7"/>
      <c r="R69" s="7"/>
      <c r="S69" s="6"/>
      <c r="T69" s="29"/>
    </row>
    <row r="70" spans="1:20" ht="15">
      <c r="A70" s="7"/>
      <c r="B70" s="30"/>
      <c r="C70" s="30"/>
      <c r="D70" s="30"/>
      <c r="E70" s="30"/>
      <c r="F70" s="30"/>
      <c r="G70" s="30"/>
      <c r="H70" s="30"/>
      <c r="I70" s="30"/>
      <c r="J70" s="7"/>
      <c r="K70" s="7"/>
      <c r="L70" s="7"/>
      <c r="M70" s="7"/>
      <c r="N70" s="7"/>
      <c r="O70" s="30"/>
      <c r="P70" s="34"/>
      <c r="Q70" s="7"/>
      <c r="R70" s="35"/>
      <c r="S70" s="30"/>
      <c r="T70" s="34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_x00f6_rfattare xmlns="b5e531fa-67de-4c6f-b0e9-c95f80bf210e" xsi:nil="true"/>
    <Beskrivning xmlns="b5e531fa-67de-4c6f-b0e9-c95f80bf210e" xsi:nil="true"/>
    <PublishingExpirationDate xmlns="http://schemas.microsoft.com/sharepoint/v3" xsi:nil="true"/>
    <PublishingStartDate xmlns="http://schemas.microsoft.com/sharepoint/v3" xsi:nil="true"/>
    <Serienummer xmlns="b5e531fa-67de-4c6f-b0e9-c95f80bf210e" xsi:nil="true"/>
    <L_x00f6_pnummer xmlns="b5e531fa-67de-4c6f-b0e9-c95f80bf210e" xsi:nil="true"/>
    <Verksamhet xmlns="b5e531fa-67de-4c6f-b0e9-c95f80bf210e" xsi:nil="true"/>
    <_x00c5_rtal xmlns="b5e531fa-67de-4c6f-b0e9-c95f80bf210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1CA0758BFDE94287CDD3892FBF9AD3" ma:contentTypeVersion="7" ma:contentTypeDescription="Create a new document." ma:contentTypeScope="" ma:versionID="c2ce48790bf187f7a77713e12fb0dad6">
  <xsd:schema xmlns:xsd="http://www.w3.org/2001/XMLSchema" xmlns:xs="http://www.w3.org/2001/XMLSchema" xmlns:p="http://schemas.microsoft.com/office/2006/metadata/properties" xmlns:ns1="http://schemas.microsoft.com/sharepoint/v3" xmlns:ns2="b5e531fa-67de-4c6f-b0e9-c95f80bf210e" targetNamespace="http://schemas.microsoft.com/office/2006/metadata/properties" ma:root="true" ma:fieldsID="314d68ffa0513777a79096a356dfdc54" ns1:_="" ns2:_="">
    <xsd:import namespace="http://schemas.microsoft.com/sharepoint/v3"/>
    <xsd:import namespace="b5e531fa-67de-4c6f-b0e9-c95f80bf210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_x00f6_rfattare" minOccurs="0"/>
                <xsd:element ref="ns2:Serienummer" minOccurs="0"/>
                <xsd:element ref="ns2:L_x00f6_pnummer" minOccurs="0"/>
                <xsd:element ref="ns2:Verksamhet" minOccurs="0"/>
                <xsd:element ref="ns2:_x00c5_rtal" minOccurs="0"/>
                <xsd:element ref="ns2:Beskrivn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531fa-67de-4c6f-b0e9-c95f80bf210e" elementFormDefault="qualified">
    <xsd:import namespace="http://schemas.microsoft.com/office/2006/documentManagement/types"/>
    <xsd:import namespace="http://schemas.microsoft.com/office/infopath/2007/PartnerControls"/>
    <xsd:element name="F_x00f6_rfattare" ma:index="10" nillable="true" ma:displayName="Författare" ma:internalName="F_x00f6_rfattare">
      <xsd:simpleType>
        <xsd:restriction base="dms:Text"/>
      </xsd:simpleType>
    </xsd:element>
    <xsd:element name="Serienummer" ma:index="11" nillable="true" ma:displayName="Serienummer" ma:internalName="Serienummer">
      <xsd:simpleType>
        <xsd:restriction base="dms:Text"/>
      </xsd:simpleType>
    </xsd:element>
    <xsd:element name="L_x00f6_pnummer" ma:index="12" nillable="true" ma:displayName="Löpnummer" ma:internalName="L_x00f6_pnummer">
      <xsd:simpleType>
        <xsd:restriction base="dms:Text"/>
      </xsd:simpleType>
    </xsd:element>
    <xsd:element name="Verksamhet" ma:index="13" nillable="true" ma:displayName="Verksamhet" ma:internalName="Verksamhet">
      <xsd:simpleType>
        <xsd:restriction base="dms:Text"/>
      </xsd:simpleType>
    </xsd:element>
    <xsd:element name="_x00c5_rtal" ma:index="14" nillable="true" ma:displayName="Årtal" ma:internalName="_x00c5_rtal">
      <xsd:simpleType>
        <xsd:restriction base="dms:Text"/>
      </xsd:simpleType>
    </xsd:element>
    <xsd:element name="Beskrivning" ma:index="15" nillable="true" ma:displayName="Beskrivning" ma:internalName="Beskrivn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413F50-7CB5-45DF-9688-819B7908F53C}"/>
</file>

<file path=customXml/itemProps2.xml><?xml version="1.0" encoding="utf-8"?>
<ds:datastoreItem xmlns:ds="http://schemas.openxmlformats.org/officeDocument/2006/customXml" ds:itemID="{8382545D-23A1-4212-A4B2-6CB83170673A}"/>
</file>

<file path=customXml/itemProps3.xml><?xml version="1.0" encoding="utf-8"?>
<ds:datastoreItem xmlns:ds="http://schemas.openxmlformats.org/officeDocument/2006/customXml" ds:itemID="{1B37B466-6C29-4857-84CE-32FB9CCA59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Norrbotten</vt:lpstr>
      <vt:lpstr>Arvidsjaur</vt:lpstr>
      <vt:lpstr>Arjeplog</vt:lpstr>
      <vt:lpstr>Jokkmokk</vt:lpstr>
      <vt:lpstr>Överkalix</vt:lpstr>
      <vt:lpstr>Kalix</vt:lpstr>
      <vt:lpstr>Övertorneå</vt:lpstr>
      <vt:lpstr>Pajala</vt:lpstr>
      <vt:lpstr>Gällivare</vt:lpstr>
      <vt:lpstr>Älvsbyn</vt:lpstr>
      <vt:lpstr>Luleå</vt:lpstr>
      <vt:lpstr>Piteå</vt:lpstr>
      <vt:lpstr>Boden</vt:lpstr>
      <vt:lpstr>Haparanda</vt:lpstr>
      <vt:lpstr>Kiruna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lastModifiedBy>Kaj</cp:lastModifiedBy>
  <dcterms:created xsi:type="dcterms:W3CDTF">2016-02-06T14:14:20Z</dcterms:created>
  <dcterms:modified xsi:type="dcterms:W3CDTF">2016-05-13T21:22:09Z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0x010100FC1CA0758BFDE94287CDD3892FBF9AD3</vt:lpwstr>
  </property>
</Properties>
</file>