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15.xml" ContentType="application/vnd.openxmlformats-officedocument.spreadsheetml.comments+xml"/>
  <Override PartName="/xl/comments10.xml" ContentType="application/vnd.openxmlformats-officedocument.spreadsheetml.comments+xml"/>
  <Override PartName="/xl/comments9.xml" ContentType="application/vnd.openxmlformats-officedocument.spreadsheetml.comments+xml"/>
  <Override PartName="/xl/comments4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11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13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960" yWindow="920" windowWidth="26880" windowHeight="17000" tabRatio="809"/>
  </bookViews>
  <sheets>
    <sheet name="Norrbotten" sheetId="17" r:id="rId1"/>
    <sheet name="Arvidsjaur" sheetId="2" r:id="rId2"/>
    <sheet name="Arjeplog" sheetId="3" r:id="rId3"/>
    <sheet name="Jokkmokk" sheetId="4" r:id="rId4"/>
    <sheet name="Överkalix" sheetId="5" r:id="rId5"/>
    <sheet name="Kalix" sheetId="6" r:id="rId6"/>
    <sheet name="Övertorneå" sheetId="7" r:id="rId7"/>
    <sheet name="Pajala" sheetId="8" r:id="rId8"/>
    <sheet name="Gällivare" sheetId="9" r:id="rId9"/>
    <sheet name="Älvsbyn" sheetId="10" r:id="rId10"/>
    <sheet name="Luleå" sheetId="11" r:id="rId11"/>
    <sheet name="Piteå" sheetId="12" r:id="rId12"/>
    <sheet name="Boden" sheetId="13" r:id="rId13"/>
    <sheet name="Haparanda" sheetId="14" r:id="rId14"/>
    <sheet name="Kiruna" sheetId="15" r:id="rId15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1" l="1"/>
  <c r="B4" i="17"/>
  <c r="B6" i="17"/>
  <c r="B7" i="17"/>
  <c r="B8" i="17"/>
  <c r="B9" i="17"/>
  <c r="B10" i="17"/>
  <c r="N17" i="17"/>
  <c r="N18" i="6"/>
  <c r="N18" i="17"/>
  <c r="N19" i="17"/>
  <c r="N20" i="17"/>
  <c r="N23" i="17"/>
  <c r="N31" i="17"/>
  <c r="N32" i="6"/>
  <c r="N32" i="12"/>
  <c r="N32" i="15"/>
  <c r="N32" i="17"/>
  <c r="N33" i="15"/>
  <c r="N33" i="17"/>
  <c r="N34" i="17"/>
  <c r="B35" i="15"/>
  <c r="N35" i="15"/>
  <c r="N35" i="17"/>
  <c r="N36" i="15"/>
  <c r="N36" i="17"/>
  <c r="N37" i="17"/>
  <c r="N38" i="17"/>
  <c r="N39" i="17"/>
  <c r="N45" i="17"/>
  <c r="N47" i="17"/>
  <c r="M31" i="17"/>
  <c r="M32" i="17"/>
  <c r="M33" i="17"/>
  <c r="M34" i="17"/>
  <c r="M35" i="17"/>
  <c r="M36" i="17"/>
  <c r="M37" i="17"/>
  <c r="M38" i="17"/>
  <c r="M39" i="17"/>
  <c r="M17" i="17"/>
  <c r="M18" i="17"/>
  <c r="M23" i="17"/>
  <c r="M42" i="17"/>
  <c r="T32" i="17"/>
  <c r="L39" i="12"/>
  <c r="L42" i="12"/>
  <c r="X30" i="12"/>
  <c r="X31" i="12"/>
  <c r="X29" i="12"/>
  <c r="B25" i="17"/>
  <c r="B42" i="17"/>
  <c r="C31" i="17"/>
  <c r="C32" i="14"/>
  <c r="C32" i="17"/>
  <c r="O32" i="13"/>
  <c r="O33" i="13"/>
  <c r="C33" i="13"/>
  <c r="C33" i="17"/>
  <c r="C34" i="6"/>
  <c r="C34" i="17"/>
  <c r="C35" i="17"/>
  <c r="C36" i="17"/>
  <c r="C37" i="17"/>
  <c r="C38" i="17"/>
  <c r="C39" i="17"/>
  <c r="C17" i="13"/>
  <c r="C17" i="17"/>
  <c r="C18" i="17"/>
  <c r="C23" i="17"/>
  <c r="C6" i="17"/>
  <c r="C10" i="17"/>
  <c r="C42" i="17"/>
  <c r="D31" i="17"/>
  <c r="D32" i="17"/>
  <c r="D33" i="17"/>
  <c r="D34" i="17"/>
  <c r="D35" i="17"/>
  <c r="D36" i="17"/>
  <c r="D37" i="17"/>
  <c r="D38" i="17"/>
  <c r="D39" i="17"/>
  <c r="D17" i="17"/>
  <c r="D18" i="17"/>
  <c r="D23" i="17"/>
  <c r="D6" i="17"/>
  <c r="D10" i="17"/>
  <c r="D42" i="17"/>
  <c r="E31" i="17"/>
  <c r="E32" i="17"/>
  <c r="E33" i="17"/>
  <c r="E35" i="17"/>
  <c r="E36" i="17"/>
  <c r="E37" i="17"/>
  <c r="E38" i="17"/>
  <c r="E39" i="17"/>
  <c r="E17" i="17"/>
  <c r="E18" i="17"/>
  <c r="E23" i="17"/>
  <c r="E6" i="17"/>
  <c r="E10" i="17"/>
  <c r="E42" i="17"/>
  <c r="F31" i="17"/>
  <c r="F32" i="17"/>
  <c r="F33" i="17"/>
  <c r="F34" i="17"/>
  <c r="F35" i="17"/>
  <c r="F36" i="17"/>
  <c r="F37" i="17"/>
  <c r="F38" i="17"/>
  <c r="F39" i="17"/>
  <c r="F17" i="17"/>
  <c r="F18" i="17"/>
  <c r="F23" i="17"/>
  <c r="F6" i="17"/>
  <c r="F10" i="17"/>
  <c r="F42" i="17"/>
  <c r="G31" i="17"/>
  <c r="G32" i="17"/>
  <c r="G33" i="17"/>
  <c r="G34" i="17"/>
  <c r="G35" i="17"/>
  <c r="G36" i="17"/>
  <c r="G37" i="17"/>
  <c r="G38" i="17"/>
  <c r="G39" i="17"/>
  <c r="G17" i="10"/>
  <c r="G17" i="17"/>
  <c r="G18" i="17"/>
  <c r="G23" i="17"/>
  <c r="G6" i="17"/>
  <c r="G10" i="17"/>
  <c r="G42" i="17"/>
  <c r="H31" i="17"/>
  <c r="H32" i="17"/>
  <c r="H33" i="17"/>
  <c r="H35" i="17"/>
  <c r="H36" i="17"/>
  <c r="H37" i="17"/>
  <c r="H38" i="17"/>
  <c r="H39" i="17"/>
  <c r="H17" i="17"/>
  <c r="H18" i="17"/>
  <c r="H23" i="17"/>
  <c r="H6" i="17"/>
  <c r="H10" i="17"/>
  <c r="H42" i="17"/>
  <c r="I31" i="17"/>
  <c r="I32" i="17"/>
  <c r="I33" i="17"/>
  <c r="I34" i="17"/>
  <c r="I35" i="17"/>
  <c r="I36" i="17"/>
  <c r="I37" i="17"/>
  <c r="I38" i="17"/>
  <c r="I39" i="17"/>
  <c r="I17" i="17"/>
  <c r="I18" i="17"/>
  <c r="I23" i="17"/>
  <c r="I42" i="17"/>
  <c r="J31" i="17"/>
  <c r="J32" i="17"/>
  <c r="J33" i="17"/>
  <c r="J34" i="17"/>
  <c r="J35" i="17"/>
  <c r="J36" i="17"/>
  <c r="J37" i="17"/>
  <c r="J38" i="17"/>
  <c r="J39" i="17"/>
  <c r="J17" i="17"/>
  <c r="J18" i="17"/>
  <c r="J23" i="17"/>
  <c r="J42" i="17"/>
  <c r="K31" i="17"/>
  <c r="K32" i="17"/>
  <c r="K33" i="17"/>
  <c r="K34" i="17"/>
  <c r="K35" i="17"/>
  <c r="K36" i="17"/>
  <c r="K37" i="17"/>
  <c r="K38" i="17"/>
  <c r="K39" i="17"/>
  <c r="K17" i="15"/>
  <c r="K17" i="17"/>
  <c r="K18" i="17"/>
  <c r="K23" i="17"/>
  <c r="K42" i="17"/>
  <c r="L31" i="17"/>
  <c r="L32" i="17"/>
  <c r="L33" i="17"/>
  <c r="L34" i="17"/>
  <c r="L35" i="17"/>
  <c r="L36" i="17"/>
  <c r="L37" i="17"/>
  <c r="L38" i="17"/>
  <c r="L39" i="17"/>
  <c r="L42" i="17"/>
  <c r="N42" i="17"/>
  <c r="O42" i="17"/>
  <c r="B43" i="17"/>
  <c r="U31" i="17"/>
  <c r="T31" i="17"/>
  <c r="S31" i="17"/>
  <c r="C39" i="6"/>
  <c r="B42" i="14"/>
  <c r="C39" i="14"/>
  <c r="C42" i="14"/>
  <c r="D42" i="14"/>
  <c r="E39" i="14"/>
  <c r="E42" i="14"/>
  <c r="F42" i="14"/>
  <c r="G23" i="14"/>
  <c r="G42" i="14"/>
  <c r="H42" i="14"/>
  <c r="I42" i="14"/>
  <c r="J42" i="14"/>
  <c r="K42" i="14"/>
  <c r="L42" i="14"/>
  <c r="M42" i="14"/>
  <c r="N39" i="14"/>
  <c r="N45" i="14"/>
  <c r="N42" i="14"/>
  <c r="O42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U31" i="14"/>
  <c r="T31" i="14"/>
  <c r="S31" i="14"/>
  <c r="B32" i="17"/>
  <c r="O32" i="17"/>
  <c r="B33" i="3"/>
  <c r="B33" i="17"/>
  <c r="O33" i="17"/>
  <c r="B34" i="17"/>
  <c r="O34" i="17"/>
  <c r="B35" i="10"/>
  <c r="B35" i="17"/>
  <c r="O35" i="17"/>
  <c r="B36" i="10"/>
  <c r="B36" i="17"/>
  <c r="O36" i="17"/>
  <c r="B37" i="3"/>
  <c r="B37" i="17"/>
  <c r="O37" i="17"/>
  <c r="B38" i="17"/>
  <c r="O38" i="17"/>
  <c r="B31" i="17"/>
  <c r="O31" i="17"/>
  <c r="O39" i="17"/>
  <c r="B39" i="17"/>
  <c r="O18" i="8"/>
  <c r="O23" i="8"/>
  <c r="L18" i="17"/>
  <c r="O18" i="17"/>
  <c r="L17" i="17"/>
  <c r="O17" i="17"/>
  <c r="L23" i="17"/>
  <c r="O19" i="5"/>
  <c r="O19" i="11"/>
  <c r="O19" i="17"/>
  <c r="O20" i="5"/>
  <c r="O20" i="11"/>
  <c r="O20" i="17"/>
  <c r="O21" i="5"/>
  <c r="O21" i="11"/>
  <c r="O21" i="17"/>
  <c r="O22" i="5"/>
  <c r="O22" i="11"/>
  <c r="O22" i="17"/>
  <c r="O23" i="17"/>
  <c r="B18" i="2"/>
  <c r="B18" i="4"/>
  <c r="B18" i="6"/>
  <c r="B18" i="17"/>
  <c r="B17" i="9"/>
  <c r="B17" i="10"/>
  <c r="B17" i="17"/>
  <c r="B19" i="17"/>
  <c r="B20" i="17"/>
  <c r="B21" i="17"/>
  <c r="B22" i="17"/>
  <c r="B23" i="17"/>
  <c r="N39" i="2"/>
  <c r="N45" i="2"/>
  <c r="N42" i="2"/>
  <c r="C39" i="2"/>
  <c r="C42" i="2"/>
  <c r="D42" i="2"/>
  <c r="E42" i="2"/>
  <c r="F42" i="2"/>
  <c r="G39" i="2"/>
  <c r="G42" i="2"/>
  <c r="H42" i="2"/>
  <c r="I42" i="2"/>
  <c r="J42" i="2"/>
  <c r="K42" i="2"/>
  <c r="L42" i="2"/>
  <c r="M42" i="2"/>
  <c r="O42" i="2"/>
  <c r="N43" i="2"/>
  <c r="U22" i="2"/>
  <c r="G43" i="2"/>
  <c r="U23" i="2"/>
  <c r="J43" i="2"/>
  <c r="U24" i="2"/>
  <c r="F43" i="2"/>
  <c r="U25" i="2"/>
  <c r="E43" i="2"/>
  <c r="U26" i="2"/>
  <c r="D43" i="2"/>
  <c r="U27" i="2"/>
  <c r="K43" i="2"/>
  <c r="U28" i="2"/>
  <c r="I43" i="2"/>
  <c r="U29" i="2"/>
  <c r="H43" i="2"/>
  <c r="U30" i="2"/>
  <c r="L43" i="2"/>
  <c r="U31" i="2"/>
  <c r="M43" i="2"/>
  <c r="U32" i="2"/>
  <c r="C43" i="2"/>
  <c r="U33" i="2"/>
  <c r="U34" i="2"/>
  <c r="N39" i="3"/>
  <c r="N45" i="3"/>
  <c r="N42" i="3"/>
  <c r="C42" i="3"/>
  <c r="D42" i="3"/>
  <c r="E42" i="3"/>
  <c r="F42" i="3"/>
  <c r="G23" i="3"/>
  <c r="G42" i="3"/>
  <c r="H42" i="3"/>
  <c r="I42" i="3"/>
  <c r="J42" i="3"/>
  <c r="K42" i="3"/>
  <c r="L42" i="3"/>
  <c r="M42" i="3"/>
  <c r="O42" i="3"/>
  <c r="N43" i="3"/>
  <c r="U22" i="3"/>
  <c r="G43" i="3"/>
  <c r="U23" i="3"/>
  <c r="J43" i="3"/>
  <c r="U24" i="3"/>
  <c r="F43" i="3"/>
  <c r="U25" i="3"/>
  <c r="E43" i="3"/>
  <c r="U26" i="3"/>
  <c r="D43" i="3"/>
  <c r="U27" i="3"/>
  <c r="K43" i="3"/>
  <c r="U28" i="3"/>
  <c r="I43" i="3"/>
  <c r="U29" i="3"/>
  <c r="H43" i="3"/>
  <c r="U30" i="3"/>
  <c r="L43" i="3"/>
  <c r="U31" i="3"/>
  <c r="M43" i="3"/>
  <c r="U32" i="3"/>
  <c r="C43" i="3"/>
  <c r="U33" i="3"/>
  <c r="U34" i="3"/>
  <c r="N39" i="4"/>
  <c r="N23" i="4"/>
  <c r="N45" i="4"/>
  <c r="N42" i="4"/>
  <c r="C42" i="4"/>
  <c r="D42" i="4"/>
  <c r="E42" i="4"/>
  <c r="F42" i="4"/>
  <c r="G42" i="4"/>
  <c r="H42" i="4"/>
  <c r="I42" i="4"/>
  <c r="J42" i="4"/>
  <c r="K42" i="4"/>
  <c r="L42" i="4"/>
  <c r="M42" i="4"/>
  <c r="O42" i="4"/>
  <c r="N43" i="4"/>
  <c r="U22" i="4"/>
  <c r="G43" i="4"/>
  <c r="U23" i="4"/>
  <c r="J43" i="4"/>
  <c r="U24" i="4"/>
  <c r="F43" i="4"/>
  <c r="U25" i="4"/>
  <c r="E43" i="4"/>
  <c r="U26" i="4"/>
  <c r="D43" i="4"/>
  <c r="U27" i="4"/>
  <c r="K43" i="4"/>
  <c r="U28" i="4"/>
  <c r="I43" i="4"/>
  <c r="U29" i="4"/>
  <c r="H43" i="4"/>
  <c r="U30" i="4"/>
  <c r="L43" i="4"/>
  <c r="U31" i="4"/>
  <c r="M43" i="4"/>
  <c r="U32" i="4"/>
  <c r="C43" i="4"/>
  <c r="U33" i="4"/>
  <c r="U34" i="4"/>
  <c r="N39" i="5"/>
  <c r="N45" i="5"/>
  <c r="N42" i="5"/>
  <c r="C23" i="5"/>
  <c r="C42" i="5"/>
  <c r="D23" i="5"/>
  <c r="D42" i="5"/>
  <c r="E23" i="5"/>
  <c r="E42" i="5"/>
  <c r="F23" i="5"/>
  <c r="F42" i="5"/>
  <c r="G23" i="5"/>
  <c r="G42" i="5"/>
  <c r="H23" i="5"/>
  <c r="H42" i="5"/>
  <c r="I42" i="5"/>
  <c r="J23" i="5"/>
  <c r="J42" i="5"/>
  <c r="K42" i="5"/>
  <c r="L42" i="5"/>
  <c r="M42" i="5"/>
  <c r="O42" i="5"/>
  <c r="N43" i="5"/>
  <c r="U22" i="5"/>
  <c r="G43" i="5"/>
  <c r="U23" i="5"/>
  <c r="J43" i="5"/>
  <c r="U24" i="5"/>
  <c r="F43" i="5"/>
  <c r="U25" i="5"/>
  <c r="E43" i="5"/>
  <c r="U26" i="5"/>
  <c r="D43" i="5"/>
  <c r="U27" i="5"/>
  <c r="K43" i="5"/>
  <c r="U28" i="5"/>
  <c r="I43" i="5"/>
  <c r="U29" i="5"/>
  <c r="H43" i="5"/>
  <c r="U30" i="5"/>
  <c r="L43" i="5"/>
  <c r="U31" i="5"/>
  <c r="M43" i="5"/>
  <c r="U32" i="5"/>
  <c r="C43" i="5"/>
  <c r="U33" i="5"/>
  <c r="U34" i="5"/>
  <c r="N23" i="6"/>
  <c r="N45" i="6"/>
  <c r="N42" i="6"/>
  <c r="C10" i="6"/>
  <c r="C42" i="6"/>
  <c r="D10" i="6"/>
  <c r="D42" i="6"/>
  <c r="E10" i="6"/>
  <c r="E42" i="6"/>
  <c r="F39" i="6"/>
  <c r="F10" i="6"/>
  <c r="F42" i="6"/>
  <c r="G39" i="6"/>
  <c r="G10" i="6"/>
  <c r="G42" i="6"/>
  <c r="H10" i="6"/>
  <c r="H42" i="6"/>
  <c r="I39" i="6"/>
  <c r="I42" i="6"/>
  <c r="J42" i="6"/>
  <c r="K42" i="6"/>
  <c r="L39" i="6"/>
  <c r="L42" i="6"/>
  <c r="M39" i="6"/>
  <c r="M42" i="6"/>
  <c r="O42" i="6"/>
  <c r="N43" i="6"/>
  <c r="U22" i="6"/>
  <c r="G43" i="6"/>
  <c r="U23" i="6"/>
  <c r="J43" i="6"/>
  <c r="U24" i="6"/>
  <c r="F43" i="6"/>
  <c r="U25" i="6"/>
  <c r="E43" i="6"/>
  <c r="U26" i="6"/>
  <c r="D43" i="6"/>
  <c r="U27" i="6"/>
  <c r="K43" i="6"/>
  <c r="U28" i="6"/>
  <c r="I43" i="6"/>
  <c r="U29" i="6"/>
  <c r="H43" i="6"/>
  <c r="U30" i="6"/>
  <c r="L43" i="6"/>
  <c r="U31" i="6"/>
  <c r="M43" i="6"/>
  <c r="U32" i="6"/>
  <c r="C43" i="6"/>
  <c r="U33" i="6"/>
  <c r="U34" i="6"/>
  <c r="N45" i="7"/>
  <c r="N42" i="7"/>
  <c r="C23" i="7"/>
  <c r="C42" i="7"/>
  <c r="D42" i="7"/>
  <c r="E42" i="7"/>
  <c r="F42" i="7"/>
  <c r="G42" i="7"/>
  <c r="H42" i="7"/>
  <c r="I42" i="7"/>
  <c r="J23" i="7"/>
  <c r="J42" i="7"/>
  <c r="K42" i="7"/>
  <c r="L42" i="7"/>
  <c r="M42" i="7"/>
  <c r="O42" i="7"/>
  <c r="N43" i="7"/>
  <c r="U22" i="7"/>
  <c r="G43" i="7"/>
  <c r="U23" i="7"/>
  <c r="J43" i="7"/>
  <c r="U24" i="7"/>
  <c r="F43" i="7"/>
  <c r="U25" i="7"/>
  <c r="E43" i="7"/>
  <c r="U26" i="7"/>
  <c r="D43" i="7"/>
  <c r="U27" i="7"/>
  <c r="K43" i="7"/>
  <c r="U28" i="7"/>
  <c r="I43" i="7"/>
  <c r="U29" i="7"/>
  <c r="H43" i="7"/>
  <c r="U30" i="7"/>
  <c r="L43" i="7"/>
  <c r="U31" i="7"/>
  <c r="M43" i="7"/>
  <c r="U32" i="7"/>
  <c r="C43" i="7"/>
  <c r="U33" i="7"/>
  <c r="U34" i="7"/>
  <c r="N39" i="8"/>
  <c r="N45" i="8"/>
  <c r="N42" i="8"/>
  <c r="C39" i="8"/>
  <c r="C42" i="8"/>
  <c r="D42" i="8"/>
  <c r="E42" i="8"/>
  <c r="F42" i="8"/>
  <c r="G39" i="8"/>
  <c r="G42" i="8"/>
  <c r="H42" i="8"/>
  <c r="I42" i="8"/>
  <c r="J42" i="8"/>
  <c r="K42" i="8"/>
  <c r="L42" i="8"/>
  <c r="M42" i="8"/>
  <c r="O42" i="8"/>
  <c r="N43" i="8"/>
  <c r="U22" i="8"/>
  <c r="G43" i="8"/>
  <c r="U23" i="8"/>
  <c r="J43" i="8"/>
  <c r="U24" i="8"/>
  <c r="F43" i="8"/>
  <c r="U25" i="8"/>
  <c r="E43" i="8"/>
  <c r="U26" i="8"/>
  <c r="D43" i="8"/>
  <c r="U27" i="8"/>
  <c r="K43" i="8"/>
  <c r="U28" i="8"/>
  <c r="I43" i="8"/>
  <c r="U29" i="8"/>
  <c r="H43" i="8"/>
  <c r="U30" i="8"/>
  <c r="L43" i="8"/>
  <c r="U31" i="8"/>
  <c r="M43" i="8"/>
  <c r="U32" i="8"/>
  <c r="C43" i="8"/>
  <c r="U33" i="8"/>
  <c r="U34" i="8"/>
  <c r="N39" i="9"/>
  <c r="N45" i="9"/>
  <c r="N42" i="9"/>
  <c r="C42" i="9"/>
  <c r="D42" i="9"/>
  <c r="E42" i="9"/>
  <c r="F42" i="9"/>
  <c r="G42" i="9"/>
  <c r="H42" i="9"/>
  <c r="I42" i="9"/>
  <c r="J42" i="9"/>
  <c r="K42" i="9"/>
  <c r="L42" i="9"/>
  <c r="M42" i="9"/>
  <c r="O42" i="9"/>
  <c r="N43" i="9"/>
  <c r="U22" i="9"/>
  <c r="G43" i="9"/>
  <c r="U23" i="9"/>
  <c r="J43" i="9"/>
  <c r="U24" i="9"/>
  <c r="F43" i="9"/>
  <c r="U25" i="9"/>
  <c r="E43" i="9"/>
  <c r="U26" i="9"/>
  <c r="D43" i="9"/>
  <c r="U27" i="9"/>
  <c r="K43" i="9"/>
  <c r="U28" i="9"/>
  <c r="I43" i="9"/>
  <c r="U29" i="9"/>
  <c r="H43" i="9"/>
  <c r="U30" i="9"/>
  <c r="L43" i="9"/>
  <c r="U31" i="9"/>
  <c r="M43" i="9"/>
  <c r="U32" i="9"/>
  <c r="C43" i="9"/>
  <c r="U33" i="9"/>
  <c r="U34" i="9"/>
  <c r="N39" i="10"/>
  <c r="N45" i="10"/>
  <c r="N42" i="10"/>
  <c r="C39" i="10"/>
  <c r="C42" i="10"/>
  <c r="D42" i="10"/>
  <c r="E42" i="10"/>
  <c r="F42" i="10"/>
  <c r="O32" i="10"/>
  <c r="O33" i="10"/>
  <c r="O35" i="10"/>
  <c r="O37" i="10"/>
  <c r="O39" i="10"/>
  <c r="G39" i="10"/>
  <c r="G23" i="10"/>
  <c r="G42" i="10"/>
  <c r="H42" i="10"/>
  <c r="I42" i="10"/>
  <c r="J42" i="10"/>
  <c r="K42" i="10"/>
  <c r="L42" i="10"/>
  <c r="M42" i="10"/>
  <c r="O42" i="10"/>
  <c r="N43" i="10"/>
  <c r="U22" i="10"/>
  <c r="G43" i="10"/>
  <c r="U23" i="10"/>
  <c r="J43" i="10"/>
  <c r="U24" i="10"/>
  <c r="F43" i="10"/>
  <c r="U25" i="10"/>
  <c r="E43" i="10"/>
  <c r="U26" i="10"/>
  <c r="D43" i="10"/>
  <c r="U27" i="10"/>
  <c r="K43" i="10"/>
  <c r="U28" i="10"/>
  <c r="I43" i="10"/>
  <c r="U29" i="10"/>
  <c r="H43" i="10"/>
  <c r="U30" i="10"/>
  <c r="L43" i="10"/>
  <c r="U31" i="10"/>
  <c r="M43" i="10"/>
  <c r="U32" i="10"/>
  <c r="C43" i="10"/>
  <c r="U33" i="10"/>
  <c r="U34" i="10"/>
  <c r="N39" i="11"/>
  <c r="N23" i="11"/>
  <c r="N45" i="11"/>
  <c r="N42" i="11"/>
  <c r="C23" i="11"/>
  <c r="C42" i="11"/>
  <c r="D23" i="11"/>
  <c r="D42" i="11"/>
  <c r="E39" i="11"/>
  <c r="E23" i="11"/>
  <c r="E42" i="11"/>
  <c r="F23" i="11"/>
  <c r="F42" i="11"/>
  <c r="G39" i="11"/>
  <c r="G23" i="11"/>
  <c r="G42" i="11"/>
  <c r="H23" i="11"/>
  <c r="H42" i="11"/>
  <c r="I42" i="11"/>
  <c r="J42" i="11"/>
  <c r="K42" i="11"/>
  <c r="M42" i="11"/>
  <c r="O42" i="11"/>
  <c r="N43" i="11"/>
  <c r="U22" i="11"/>
  <c r="G43" i="11"/>
  <c r="U23" i="11"/>
  <c r="J43" i="11"/>
  <c r="U24" i="11"/>
  <c r="F43" i="11"/>
  <c r="U25" i="11"/>
  <c r="E43" i="11"/>
  <c r="U26" i="11"/>
  <c r="D43" i="11"/>
  <c r="U27" i="11"/>
  <c r="K43" i="11"/>
  <c r="U28" i="11"/>
  <c r="I43" i="11"/>
  <c r="U29" i="11"/>
  <c r="H43" i="11"/>
  <c r="U30" i="11"/>
  <c r="L43" i="11"/>
  <c r="U31" i="11"/>
  <c r="M43" i="11"/>
  <c r="U32" i="11"/>
  <c r="C43" i="11"/>
  <c r="U33" i="11"/>
  <c r="U34" i="11"/>
  <c r="N39" i="12"/>
  <c r="N23" i="12"/>
  <c r="N45" i="12"/>
  <c r="N42" i="12"/>
  <c r="C42" i="12"/>
  <c r="D42" i="12"/>
  <c r="E42" i="12"/>
  <c r="F39" i="12"/>
  <c r="F42" i="12"/>
  <c r="G39" i="12"/>
  <c r="G42" i="12"/>
  <c r="H42" i="12"/>
  <c r="I39" i="12"/>
  <c r="I42" i="12"/>
  <c r="J39" i="12"/>
  <c r="J42" i="12"/>
  <c r="K42" i="12"/>
  <c r="M39" i="12"/>
  <c r="M42" i="12"/>
  <c r="O42" i="12"/>
  <c r="N43" i="12"/>
  <c r="U22" i="12"/>
  <c r="G43" i="12"/>
  <c r="U23" i="12"/>
  <c r="J43" i="12"/>
  <c r="U24" i="12"/>
  <c r="F43" i="12"/>
  <c r="U25" i="12"/>
  <c r="E43" i="12"/>
  <c r="U26" i="12"/>
  <c r="D43" i="12"/>
  <c r="U27" i="12"/>
  <c r="K43" i="12"/>
  <c r="U28" i="12"/>
  <c r="I43" i="12"/>
  <c r="U29" i="12"/>
  <c r="H43" i="12"/>
  <c r="U30" i="12"/>
  <c r="L43" i="12"/>
  <c r="U31" i="12"/>
  <c r="M43" i="12"/>
  <c r="U32" i="12"/>
  <c r="C43" i="12"/>
  <c r="U33" i="12"/>
  <c r="U34" i="12"/>
  <c r="N45" i="13"/>
  <c r="N42" i="13"/>
  <c r="C23" i="13"/>
  <c r="E39" i="13"/>
  <c r="C39" i="13"/>
  <c r="C42" i="13"/>
  <c r="D23" i="13"/>
  <c r="D42" i="13"/>
  <c r="E23" i="13"/>
  <c r="E42" i="13"/>
  <c r="F23" i="13"/>
  <c r="F42" i="13"/>
  <c r="G23" i="13"/>
  <c r="G42" i="13"/>
  <c r="H23" i="13"/>
  <c r="H42" i="13"/>
  <c r="I42" i="13"/>
  <c r="J23" i="13"/>
  <c r="J42" i="13"/>
  <c r="K23" i="13"/>
  <c r="K42" i="13"/>
  <c r="L42" i="13"/>
  <c r="M42" i="13"/>
  <c r="O42" i="13"/>
  <c r="N43" i="13"/>
  <c r="U22" i="13"/>
  <c r="G43" i="13"/>
  <c r="U23" i="13"/>
  <c r="J43" i="13"/>
  <c r="U24" i="13"/>
  <c r="F43" i="13"/>
  <c r="U25" i="13"/>
  <c r="E43" i="13"/>
  <c r="U26" i="13"/>
  <c r="D43" i="13"/>
  <c r="U27" i="13"/>
  <c r="K43" i="13"/>
  <c r="U28" i="13"/>
  <c r="I43" i="13"/>
  <c r="U29" i="13"/>
  <c r="H43" i="13"/>
  <c r="U30" i="13"/>
  <c r="L43" i="13"/>
  <c r="U31" i="13"/>
  <c r="M43" i="13"/>
  <c r="U32" i="13"/>
  <c r="C43" i="13"/>
  <c r="U33" i="13"/>
  <c r="U34" i="13"/>
  <c r="U22" i="14"/>
  <c r="U23" i="14"/>
  <c r="U24" i="14"/>
  <c r="U25" i="14"/>
  <c r="U26" i="14"/>
  <c r="U27" i="14"/>
  <c r="U28" i="14"/>
  <c r="U29" i="14"/>
  <c r="U30" i="14"/>
  <c r="U32" i="14"/>
  <c r="U33" i="14"/>
  <c r="U34" i="14"/>
  <c r="N23" i="15"/>
  <c r="N45" i="15"/>
  <c r="N42" i="15"/>
  <c r="C23" i="15"/>
  <c r="C39" i="15"/>
  <c r="C42" i="15"/>
  <c r="D39" i="15"/>
  <c r="D23" i="15"/>
  <c r="D42" i="15"/>
  <c r="E23" i="15"/>
  <c r="E42" i="15"/>
  <c r="F23" i="15"/>
  <c r="F42" i="15"/>
  <c r="G23" i="15"/>
  <c r="G42" i="15"/>
  <c r="H23" i="15"/>
  <c r="H42" i="15"/>
  <c r="I42" i="15"/>
  <c r="J42" i="15"/>
  <c r="K23" i="15"/>
  <c r="K42" i="15"/>
  <c r="L42" i="15"/>
  <c r="M42" i="15"/>
  <c r="O42" i="15"/>
  <c r="N43" i="15"/>
  <c r="U22" i="15"/>
  <c r="G43" i="15"/>
  <c r="U23" i="15"/>
  <c r="J43" i="15"/>
  <c r="U24" i="15"/>
  <c r="F43" i="15"/>
  <c r="U25" i="15"/>
  <c r="E43" i="15"/>
  <c r="U26" i="15"/>
  <c r="D43" i="15"/>
  <c r="U27" i="15"/>
  <c r="K43" i="15"/>
  <c r="U28" i="15"/>
  <c r="I43" i="15"/>
  <c r="U29" i="15"/>
  <c r="H43" i="15"/>
  <c r="U30" i="15"/>
  <c r="L43" i="15"/>
  <c r="U31" i="15"/>
  <c r="M43" i="15"/>
  <c r="U32" i="15"/>
  <c r="C43" i="15"/>
  <c r="U33" i="15"/>
  <c r="U34" i="15"/>
  <c r="U21" i="17"/>
  <c r="U22" i="17"/>
  <c r="U23" i="17"/>
  <c r="U24" i="17"/>
  <c r="U25" i="17"/>
  <c r="U26" i="17"/>
  <c r="U27" i="17"/>
  <c r="U28" i="17"/>
  <c r="U29" i="17"/>
  <c r="U30" i="17"/>
  <c r="U32" i="17"/>
  <c r="U33" i="17"/>
  <c r="U34" i="17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22" i="14"/>
  <c r="T23" i="14"/>
  <c r="T24" i="14"/>
  <c r="T25" i="14"/>
  <c r="T26" i="14"/>
  <c r="T27" i="14"/>
  <c r="T28" i="14"/>
  <c r="T29" i="14"/>
  <c r="T30" i="14"/>
  <c r="T32" i="14"/>
  <c r="T33" i="14"/>
  <c r="T34" i="14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3" i="17"/>
  <c r="T22" i="17"/>
  <c r="T24" i="17"/>
  <c r="T25" i="17"/>
  <c r="T26" i="17"/>
  <c r="T29" i="17"/>
  <c r="T21" i="17"/>
  <c r="T23" i="17"/>
  <c r="T27" i="17"/>
  <c r="T28" i="17"/>
  <c r="T30" i="17"/>
  <c r="T34" i="17"/>
  <c r="B10" i="15"/>
  <c r="B10" i="14"/>
  <c r="B10" i="12"/>
  <c r="B10" i="11"/>
  <c r="B10" i="10"/>
  <c r="B10" i="8"/>
  <c r="B10" i="6"/>
  <c r="B10" i="4"/>
  <c r="O32" i="11"/>
  <c r="O39" i="11"/>
  <c r="O37" i="3"/>
  <c r="O33" i="3"/>
  <c r="O33" i="6"/>
  <c r="O18" i="11"/>
  <c r="O18" i="4"/>
  <c r="O23" i="4"/>
  <c r="O18" i="15"/>
  <c r="O18" i="14"/>
  <c r="O18" i="12"/>
  <c r="O18" i="6"/>
  <c r="O18" i="5"/>
  <c r="O18" i="3"/>
  <c r="O17" i="15"/>
  <c r="O23" i="15"/>
  <c r="O23" i="14"/>
  <c r="O17" i="13"/>
  <c r="O23" i="13"/>
  <c r="O23" i="12"/>
  <c r="O17" i="11"/>
  <c r="O23" i="11"/>
  <c r="O23" i="10"/>
  <c r="O23" i="6"/>
  <c r="O23" i="5"/>
  <c r="O23" i="3"/>
  <c r="O39" i="3"/>
  <c r="O37" i="6"/>
  <c r="O37" i="15"/>
  <c r="O36" i="15"/>
  <c r="O41" i="17"/>
  <c r="O35" i="7"/>
  <c r="N41" i="17"/>
  <c r="B41" i="17"/>
  <c r="O32" i="12"/>
  <c r="O39" i="12"/>
  <c r="B10" i="7"/>
  <c r="O32" i="6"/>
  <c r="O32" i="4"/>
  <c r="O32" i="5"/>
  <c r="O32" i="7"/>
  <c r="O32" i="9"/>
  <c r="O32" i="14"/>
  <c r="O32" i="15"/>
  <c r="L39" i="11"/>
  <c r="O39" i="15"/>
  <c r="B23" i="15"/>
  <c r="B23" i="14"/>
  <c r="B45" i="14"/>
  <c r="L23" i="11"/>
  <c r="B23" i="11"/>
  <c r="B45" i="11"/>
  <c r="O39" i="9"/>
  <c r="T19" i="6"/>
  <c r="T44" i="2"/>
  <c r="T44" i="3"/>
  <c r="T44" i="4"/>
  <c r="T44" i="5"/>
  <c r="T44" i="6"/>
  <c r="T44" i="7"/>
  <c r="T44" i="8"/>
  <c r="T44" i="9"/>
  <c r="T44" i="10"/>
  <c r="T44" i="11"/>
  <c r="T44" i="12"/>
  <c r="T44" i="13"/>
  <c r="T44" i="14"/>
  <c r="T44" i="15"/>
  <c r="T43" i="2"/>
  <c r="T43" i="3"/>
  <c r="T43" i="4"/>
  <c r="T43" i="5"/>
  <c r="T43" i="7"/>
  <c r="T43" i="8"/>
  <c r="T43" i="9"/>
  <c r="T43" i="10"/>
  <c r="T43" i="11"/>
  <c r="O41" i="11"/>
  <c r="T39" i="11"/>
  <c r="T40" i="11"/>
  <c r="T41" i="11"/>
  <c r="T42" i="11"/>
  <c r="T45" i="11"/>
  <c r="T43" i="12"/>
  <c r="T43" i="13"/>
  <c r="T43" i="14"/>
  <c r="T43" i="15"/>
  <c r="T42" i="2"/>
  <c r="T42" i="3"/>
  <c r="T42" i="4"/>
  <c r="T42" i="5"/>
  <c r="T42" i="6"/>
  <c r="T42" i="7"/>
  <c r="T42" i="8"/>
  <c r="T42" i="9"/>
  <c r="T42" i="10"/>
  <c r="T42" i="12"/>
  <c r="T42" i="13"/>
  <c r="T42" i="14"/>
  <c r="T42" i="15"/>
  <c r="T41" i="2"/>
  <c r="T41" i="3"/>
  <c r="T41" i="4"/>
  <c r="T41" i="5"/>
  <c r="T41" i="6"/>
  <c r="T41" i="7"/>
  <c r="T41" i="8"/>
  <c r="T41" i="9"/>
  <c r="T41" i="10"/>
  <c r="T41" i="12"/>
  <c r="T41" i="13"/>
  <c r="T41" i="14"/>
  <c r="T41" i="15"/>
  <c r="T40" i="2"/>
  <c r="T40" i="3"/>
  <c r="T40" i="4"/>
  <c r="T40" i="5"/>
  <c r="T40" i="6"/>
  <c r="T40" i="7"/>
  <c r="T40" i="8"/>
  <c r="T40" i="9"/>
  <c r="T40" i="10"/>
  <c r="T40" i="12"/>
  <c r="T40" i="13"/>
  <c r="T40" i="14"/>
  <c r="T40" i="15"/>
  <c r="O41" i="2"/>
  <c r="P41" i="2"/>
  <c r="O41" i="3"/>
  <c r="P41" i="3"/>
  <c r="O41" i="4"/>
  <c r="O39" i="4"/>
  <c r="P41" i="4"/>
  <c r="O41" i="5"/>
  <c r="O39" i="5"/>
  <c r="P41" i="5"/>
  <c r="O41" i="7"/>
  <c r="P41" i="7"/>
  <c r="O41" i="8"/>
  <c r="P41" i="8"/>
  <c r="O41" i="9"/>
  <c r="P41" i="9"/>
  <c r="O41" i="10"/>
  <c r="P41" i="10"/>
  <c r="O41" i="12"/>
  <c r="P41" i="12"/>
  <c r="O41" i="13"/>
  <c r="P41" i="13"/>
  <c r="O41" i="15"/>
  <c r="P41" i="15"/>
  <c r="O39" i="14"/>
  <c r="O41" i="14"/>
  <c r="P41" i="14"/>
  <c r="P32" i="3"/>
  <c r="P33" i="3"/>
  <c r="P34" i="3"/>
  <c r="P35" i="3"/>
  <c r="P32" i="4"/>
  <c r="P33" i="4"/>
  <c r="P34" i="4"/>
  <c r="P35" i="4"/>
  <c r="P32" i="5"/>
  <c r="P33" i="5"/>
  <c r="P34" i="5"/>
  <c r="P35" i="5"/>
  <c r="P32" i="7"/>
  <c r="P33" i="7"/>
  <c r="P34" i="7"/>
  <c r="P35" i="7"/>
  <c r="P32" i="8"/>
  <c r="P33" i="8"/>
  <c r="P34" i="8"/>
  <c r="P35" i="8"/>
  <c r="P32" i="9"/>
  <c r="P33" i="9"/>
  <c r="P34" i="9"/>
  <c r="P35" i="9"/>
  <c r="P32" i="10"/>
  <c r="P33" i="10"/>
  <c r="P34" i="10"/>
  <c r="P35" i="10"/>
  <c r="P32" i="12"/>
  <c r="P33" i="12"/>
  <c r="P34" i="12"/>
  <c r="P35" i="12"/>
  <c r="P32" i="13"/>
  <c r="P33" i="13"/>
  <c r="P34" i="13"/>
  <c r="P35" i="13"/>
  <c r="P32" i="14"/>
  <c r="P33" i="14"/>
  <c r="P34" i="14"/>
  <c r="P35" i="14"/>
  <c r="P32" i="15"/>
  <c r="P33" i="15"/>
  <c r="P34" i="15"/>
  <c r="P35" i="15"/>
  <c r="P32" i="2"/>
  <c r="P33" i="2"/>
  <c r="P34" i="2"/>
  <c r="P35" i="2"/>
  <c r="P31" i="3"/>
  <c r="P31" i="4"/>
  <c r="P31" i="5"/>
  <c r="P31" i="7"/>
  <c r="P31" i="8"/>
  <c r="P31" i="9"/>
  <c r="P31" i="10"/>
  <c r="P31" i="12"/>
  <c r="P31" i="13"/>
  <c r="P31" i="14"/>
  <c r="P31" i="15"/>
  <c r="P31" i="2"/>
  <c r="B10" i="9"/>
  <c r="B10" i="3"/>
  <c r="B23" i="5"/>
  <c r="B23" i="10"/>
  <c r="O17" i="10"/>
  <c r="O10" i="6"/>
  <c r="P39" i="15"/>
  <c r="O17" i="5"/>
  <c r="B45" i="3"/>
  <c r="B46" i="3"/>
  <c r="O45" i="3"/>
  <c r="T38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B45" i="4"/>
  <c r="B46" i="4"/>
  <c r="O45" i="4"/>
  <c r="T38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B45" i="5"/>
  <c r="B46" i="5"/>
  <c r="O45" i="5"/>
  <c r="T38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B45" i="6"/>
  <c r="B46" i="6"/>
  <c r="O45" i="6"/>
  <c r="T38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B45" i="7"/>
  <c r="B46" i="7"/>
  <c r="O45" i="7"/>
  <c r="O43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B45" i="8"/>
  <c r="B46" i="8"/>
  <c r="O45" i="8"/>
  <c r="T38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B45" i="9"/>
  <c r="B46" i="9"/>
  <c r="O45" i="9"/>
  <c r="O43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B46" i="11"/>
  <c r="O45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B45" i="12"/>
  <c r="B46" i="12"/>
  <c r="O45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B45" i="13"/>
  <c r="B46" i="13"/>
  <c r="O45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B46" i="14"/>
  <c r="O45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B45" i="15"/>
  <c r="B46" i="15"/>
  <c r="O45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B45" i="2"/>
  <c r="B46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S32" i="17"/>
  <c r="S30" i="17"/>
  <c r="S29" i="17"/>
  <c r="S28" i="17"/>
  <c r="S27" i="17"/>
  <c r="S26" i="17"/>
  <c r="S23" i="17"/>
  <c r="S32" i="3"/>
  <c r="S31" i="3"/>
  <c r="S30" i="3"/>
  <c r="S29" i="3"/>
  <c r="S28" i="3"/>
  <c r="S27" i="3"/>
  <c r="S24" i="3"/>
  <c r="S32" i="4"/>
  <c r="S31" i="4"/>
  <c r="S30" i="4"/>
  <c r="S29" i="4"/>
  <c r="S28" i="4"/>
  <c r="S27" i="4"/>
  <c r="S24" i="4"/>
  <c r="S32" i="5"/>
  <c r="S31" i="5"/>
  <c r="S30" i="5"/>
  <c r="S29" i="5"/>
  <c r="S28" i="5"/>
  <c r="S27" i="5"/>
  <c r="S24" i="5"/>
  <c r="S32" i="6"/>
  <c r="S31" i="6"/>
  <c r="S30" i="6"/>
  <c r="S29" i="6"/>
  <c r="S28" i="6"/>
  <c r="S27" i="6"/>
  <c r="S24" i="6"/>
  <c r="S32" i="7"/>
  <c r="S31" i="7"/>
  <c r="S30" i="7"/>
  <c r="S29" i="7"/>
  <c r="S28" i="7"/>
  <c r="S27" i="7"/>
  <c r="S24" i="7"/>
  <c r="T19" i="7"/>
  <c r="S32" i="8"/>
  <c r="S31" i="8"/>
  <c r="S30" i="8"/>
  <c r="S29" i="8"/>
  <c r="S28" i="8"/>
  <c r="S27" i="8"/>
  <c r="S24" i="8"/>
  <c r="S32" i="9"/>
  <c r="S31" i="9"/>
  <c r="S30" i="9"/>
  <c r="S29" i="9"/>
  <c r="S28" i="9"/>
  <c r="S27" i="9"/>
  <c r="S24" i="9"/>
  <c r="T19" i="9"/>
  <c r="S32" i="10"/>
  <c r="S31" i="10"/>
  <c r="S30" i="10"/>
  <c r="S29" i="10"/>
  <c r="S28" i="10"/>
  <c r="S27" i="10"/>
  <c r="S24" i="10"/>
  <c r="S32" i="11"/>
  <c r="S31" i="11"/>
  <c r="S30" i="11"/>
  <c r="S29" i="11"/>
  <c r="S28" i="11"/>
  <c r="S27" i="11"/>
  <c r="S24" i="11"/>
  <c r="S32" i="12"/>
  <c r="S31" i="12"/>
  <c r="S30" i="12"/>
  <c r="S29" i="12"/>
  <c r="S28" i="12"/>
  <c r="S27" i="12"/>
  <c r="S24" i="12"/>
  <c r="S32" i="13"/>
  <c r="S31" i="13"/>
  <c r="S30" i="13"/>
  <c r="S29" i="13"/>
  <c r="S28" i="13"/>
  <c r="S27" i="13"/>
  <c r="S24" i="13"/>
  <c r="S32" i="14"/>
  <c r="S30" i="14"/>
  <c r="S29" i="14"/>
  <c r="S28" i="14"/>
  <c r="S27" i="14"/>
  <c r="S24" i="14"/>
  <c r="S32" i="15"/>
  <c r="S31" i="15"/>
  <c r="S30" i="15"/>
  <c r="S29" i="15"/>
  <c r="S28" i="15"/>
  <c r="S27" i="15"/>
  <c r="S24" i="15"/>
  <c r="S32" i="2"/>
  <c r="S31" i="2"/>
  <c r="S30" i="2"/>
  <c r="S29" i="2"/>
  <c r="S28" i="2"/>
  <c r="S27" i="2"/>
  <c r="S24" i="2"/>
  <c r="M41" i="17"/>
  <c r="M6" i="17"/>
  <c r="B45" i="17"/>
  <c r="I6" i="17"/>
  <c r="J6" i="17"/>
  <c r="K6" i="17"/>
  <c r="L6" i="17"/>
  <c r="N6" i="17"/>
  <c r="D41" i="17"/>
  <c r="H41" i="17"/>
  <c r="I41" i="17"/>
  <c r="C41" i="17"/>
  <c r="T44" i="17"/>
  <c r="T41" i="17"/>
  <c r="T42" i="17"/>
  <c r="L41" i="17"/>
  <c r="K41" i="17"/>
  <c r="E41" i="17"/>
  <c r="U39" i="15"/>
  <c r="U43" i="15"/>
  <c r="U40" i="15"/>
  <c r="U41" i="15"/>
  <c r="U42" i="15"/>
  <c r="U44" i="15"/>
  <c r="U45" i="15"/>
  <c r="T39" i="15"/>
  <c r="T45" i="15"/>
  <c r="T38" i="15"/>
  <c r="P38" i="15"/>
  <c r="U39" i="14"/>
  <c r="U40" i="14"/>
  <c r="U41" i="14"/>
  <c r="U42" i="14"/>
  <c r="U43" i="14"/>
  <c r="U44" i="14"/>
  <c r="U45" i="14"/>
  <c r="T39" i="14"/>
  <c r="T45" i="14"/>
  <c r="T38" i="14"/>
  <c r="P38" i="14"/>
  <c r="U39" i="13"/>
  <c r="U40" i="13"/>
  <c r="U41" i="13"/>
  <c r="U42" i="13"/>
  <c r="U43" i="13"/>
  <c r="U44" i="13"/>
  <c r="U45" i="13"/>
  <c r="T39" i="13"/>
  <c r="T45" i="13"/>
  <c r="T38" i="13"/>
  <c r="P38" i="13"/>
  <c r="U39" i="12"/>
  <c r="U40" i="12"/>
  <c r="U41" i="12"/>
  <c r="U42" i="12"/>
  <c r="U43" i="12"/>
  <c r="U44" i="12"/>
  <c r="U45" i="12"/>
  <c r="T39" i="12"/>
  <c r="T45" i="12"/>
  <c r="T38" i="12"/>
  <c r="P38" i="12"/>
  <c r="T38" i="11"/>
  <c r="U39" i="10"/>
  <c r="U43" i="10"/>
  <c r="U40" i="10"/>
  <c r="U41" i="10"/>
  <c r="U42" i="10"/>
  <c r="U44" i="10"/>
  <c r="T39" i="10"/>
  <c r="T45" i="10"/>
  <c r="P38" i="10"/>
  <c r="U39" i="9"/>
  <c r="U40" i="9"/>
  <c r="U41" i="9"/>
  <c r="U42" i="9"/>
  <c r="U43" i="9"/>
  <c r="U44" i="9"/>
  <c r="U45" i="9"/>
  <c r="T39" i="9"/>
  <c r="T45" i="9"/>
  <c r="T38" i="9"/>
  <c r="P38" i="9"/>
  <c r="U39" i="8"/>
  <c r="U40" i="8"/>
  <c r="U41" i="8"/>
  <c r="U42" i="8"/>
  <c r="U43" i="8"/>
  <c r="U44" i="8"/>
  <c r="U45" i="8"/>
  <c r="T39" i="8"/>
  <c r="T45" i="8"/>
  <c r="P38" i="8"/>
  <c r="U39" i="7"/>
  <c r="U40" i="7"/>
  <c r="U41" i="7"/>
  <c r="U42" i="7"/>
  <c r="U43" i="7"/>
  <c r="U44" i="7"/>
  <c r="U45" i="7"/>
  <c r="T39" i="7"/>
  <c r="T45" i="7"/>
  <c r="T38" i="7"/>
  <c r="P38" i="7"/>
  <c r="T39" i="6"/>
  <c r="U39" i="5"/>
  <c r="U40" i="5"/>
  <c r="U41" i="5"/>
  <c r="U42" i="5"/>
  <c r="U43" i="5"/>
  <c r="U44" i="5"/>
  <c r="U45" i="5"/>
  <c r="T39" i="5"/>
  <c r="T45" i="5"/>
  <c r="P38" i="5"/>
  <c r="U39" i="4"/>
  <c r="U40" i="4"/>
  <c r="U41" i="4"/>
  <c r="U42" i="4"/>
  <c r="U43" i="4"/>
  <c r="U44" i="4"/>
  <c r="U45" i="4"/>
  <c r="T39" i="4"/>
  <c r="T45" i="4"/>
  <c r="P38" i="4"/>
  <c r="U39" i="3"/>
  <c r="U40" i="3"/>
  <c r="U41" i="3"/>
  <c r="U42" i="3"/>
  <c r="U43" i="3"/>
  <c r="U44" i="3"/>
  <c r="U45" i="3"/>
  <c r="T39" i="3"/>
  <c r="T45" i="3"/>
  <c r="P38" i="3"/>
  <c r="U39" i="2"/>
  <c r="U40" i="2"/>
  <c r="U41" i="2"/>
  <c r="U42" i="2"/>
  <c r="U43" i="2"/>
  <c r="U44" i="2"/>
  <c r="U45" i="2"/>
  <c r="T39" i="2"/>
  <c r="T45" i="2"/>
  <c r="P38" i="2"/>
  <c r="B45" i="10"/>
  <c r="B46" i="10"/>
  <c r="O45" i="10"/>
  <c r="T38" i="10"/>
  <c r="T19" i="13"/>
  <c r="F41" i="17"/>
  <c r="T40" i="17"/>
  <c r="T39" i="17"/>
  <c r="G41" i="17"/>
  <c r="J41" i="17"/>
  <c r="T19" i="15"/>
  <c r="T19" i="14"/>
  <c r="O43" i="13"/>
  <c r="T19" i="12"/>
  <c r="O43" i="15"/>
  <c r="T19" i="5"/>
  <c r="T19" i="4"/>
  <c r="T19" i="3"/>
  <c r="O43" i="12"/>
  <c r="O43" i="6"/>
  <c r="O43" i="5"/>
  <c r="O43" i="4"/>
  <c r="O43" i="3"/>
  <c r="U45" i="10"/>
  <c r="T43" i="6"/>
  <c r="T45" i="6"/>
  <c r="O39" i="6"/>
  <c r="P31" i="6"/>
  <c r="U42" i="6"/>
  <c r="P33" i="6"/>
  <c r="U41" i="6"/>
  <c r="P32" i="6"/>
  <c r="U43" i="6"/>
  <c r="T43" i="17"/>
  <c r="T45" i="17"/>
  <c r="P35" i="6"/>
  <c r="U40" i="6"/>
  <c r="P41" i="6"/>
  <c r="U39" i="6"/>
  <c r="R35" i="17"/>
  <c r="O45" i="17"/>
  <c r="T38" i="17"/>
  <c r="O45" i="2"/>
  <c r="T38" i="2"/>
  <c r="R32" i="17"/>
  <c r="R34" i="17"/>
  <c r="T19" i="11"/>
  <c r="P35" i="11"/>
  <c r="U40" i="11"/>
  <c r="P41" i="11"/>
  <c r="U39" i="11"/>
  <c r="P32" i="11"/>
  <c r="U43" i="11"/>
  <c r="P31" i="11"/>
  <c r="P33" i="11"/>
  <c r="U41" i="11"/>
  <c r="P34" i="11"/>
  <c r="U44" i="11"/>
  <c r="R38" i="17"/>
  <c r="R37" i="17"/>
  <c r="R33" i="17"/>
  <c r="R31" i="17"/>
  <c r="R36" i="17"/>
  <c r="P34" i="6"/>
  <c r="U44" i="6"/>
  <c r="U45" i="6"/>
  <c r="P38" i="6"/>
  <c r="P38" i="11"/>
  <c r="U42" i="11"/>
  <c r="U45" i="11"/>
  <c r="P31" i="17"/>
  <c r="P33" i="17"/>
  <c r="U41" i="17"/>
  <c r="P41" i="17"/>
  <c r="U39" i="17"/>
  <c r="P32" i="17"/>
  <c r="U43" i="17"/>
  <c r="P34" i="17"/>
  <c r="U44" i="17"/>
  <c r="P35" i="17"/>
  <c r="U40" i="17"/>
  <c r="O43" i="11"/>
  <c r="T19" i="10"/>
  <c r="T19" i="8"/>
  <c r="U42" i="17"/>
  <c r="P38" i="17"/>
  <c r="U45" i="17"/>
  <c r="O43" i="10"/>
  <c r="O43" i="8"/>
  <c r="T18" i="17"/>
  <c r="T19" i="2"/>
  <c r="O43" i="2"/>
</calcChain>
</file>

<file path=xl/comments1.xml><?xml version="1.0" encoding="utf-8"?>
<comments xmlns="http://schemas.openxmlformats.org/spreadsheetml/2006/main">
  <authors>
    <author>Kaj</author>
    <author>www.statistikdatabasen.scb.se</author>
    <author>Sofia Andersson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9" authorId="2">
      <text>
        <r>
          <rPr>
            <b/>
            <sz val="9"/>
            <color indexed="81"/>
            <rFont val="Tahoma"/>
            <family val="2"/>
          </rPr>
          <t>Sofia Andersson:</t>
        </r>
        <r>
          <rPr>
            <sz val="9"/>
            <color indexed="81"/>
            <rFont val="Tahoma"/>
            <family val="2"/>
          </rPr>
          <t xml:space="preserve">
icke organiskt returfiberrejekt samt fiber, bioslam och starkgas.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D32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Mängden beror på använt värmevärde. Använt värde är medianvärde från Naturvårdsverket 7,79 MWh/ton för koks och 7,56 MWh/ton för stenkol.</t>
        </r>
      </text>
    </comment>
    <comment ref="A64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  <author>Sofia Andersson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9" authorId="1">
      <text>
        <r>
          <rPr>
            <b/>
            <sz val="9"/>
            <color indexed="81"/>
            <rFont val="Tahoma"/>
            <family val="2"/>
          </rPr>
          <t>Sofia Andersson:</t>
        </r>
        <r>
          <rPr>
            <sz val="9"/>
            <color indexed="81"/>
            <rFont val="Tahoma"/>
            <family val="2"/>
          </rPr>
          <t xml:space="preserve">
icke organiskt returfiberrejekt samt fiber, bioslam och starkgas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<sst xmlns="http://schemas.openxmlformats.org/spreadsheetml/2006/main" count="1372" uniqueCount="84">
  <si>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</si>
  <si>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</si>
  <si>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</si>
  <si>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</si>
  <si>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</si>
  <si>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</si>
  <si>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</si>
  <si>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</si>
  <si>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</si>
  <si>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</si>
  <si>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</si>
  <si>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</si>
  <si>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</si>
  <si>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</si>
  <si>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</si>
  <si>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</si>
  <si>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</si>
  <si>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</si>
  <si>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</si>
  <si>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</si>
  <si>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</si>
  <si>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</si>
  <si>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</si>
  <si>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</si>
  <si>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</si>
  <si>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</si>
  <si>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</si>
  <si>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</si>
  <si>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</si>
  <si>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</si>
  <si>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</si>
  <si>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</si>
  <si>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</si>
  <si>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</si>
  <si>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</si>
  <si>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</si>
  <si>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</si>
  <si>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</si>
  <si>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</si>
  <si>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</si>
  <si>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</si>
  <si>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</si>
  <si>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</si>
  <si>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</si>
  <si>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</si>
  <si>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</si>
  <si>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</si>
  <si>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</si>
  <si>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</si>
  <si>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</si>
  <si>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</si>
  <si>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</si>
  <si>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</si>
  <si>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</si>
  <si>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</si>
  <si>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</si>
  <si>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</si>
  <si>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</si>
  <si>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Beckolja</t>
  </si>
  <si>
    <t>Biobränslen</t>
  </si>
  <si>
    <t>Gällivare</t>
  </si>
  <si>
    <t>Norrbottens län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</si>
  <si>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</si>
  <si>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</si>
  <si>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</si>
  <si>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</si>
  <si>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</si>
  <si>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</si>
  <si>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</si>
  <si>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</si>
  <si>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</si>
  <si>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</si>
  <si>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</si>
  <si>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</si>
  <si>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</si>
  <si>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</si>
  <si>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Koksgas</t>
  </si>
  <si>
    <t/>
  </si>
  <si>
    <t>Svartlut</t>
  </si>
  <si>
    <t>Starkgas</t>
  </si>
  <si>
    <t>IMPORT</t>
  </si>
  <si>
    <t>Solceller</t>
  </si>
  <si>
    <t>solceller</t>
  </si>
  <si>
    <t>El-export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</si>
</sst>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#,##0.0"/>
    <numFmt numFmtId="166" formatCode="0.0%"/>
    <numFmt numFmtId="167" formatCode="0.0"/>
    <numFmt numFmtId="168" formatCode="#,##0.000"/>
    <numFmt numFmtId="169" formatCode="#,##0.0000"/>
    <numFmt numFmtId="170" formatCode="_(* #,##0_);_(* \(#,##0\);_(* &quot;-&quot;??_);_(@_)"/>
    <numFmt numFmtId="171" formatCode="0.000"/>
  </numFmts>
  <fonts count="4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i/>
      <sz val="11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8"/>
      <color rgb="FF000000"/>
      <name val="Tahoma"/>
      <family val="2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</font>
    <font>
      <u/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  <font>
      <u/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84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/>
    <xf numFmtId="0" fontId="8" fillId="0" borderId="0" xfId="1" applyFont="1" applyFill="1" applyProtection="1"/>
    <xf numFmtId="3" fontId="4" fillId="0" borderId="0" xfId="1" applyNumberFormat="1"/>
    <xf numFmtId="0" fontId="4" fillId="0" borderId="0" xfId="1"/>
    <xf numFmtId="0" fontId="8" fillId="0" borderId="0" xfId="0" applyFont="1" applyFill="1" applyProtection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4" fillId="0" borderId="0" xfId="1" applyNumberFormat="1" applyFill="1" applyProtection="1"/>
    <xf numFmtId="3" fontId="10" fillId="0" borderId="0" xfId="1" applyNumberFormat="1" applyFont="1" applyFill="1" applyProtection="1"/>
    <xf numFmtId="165" fontId="4" fillId="0" borderId="0" xfId="1" applyNumberFormat="1"/>
    <xf numFmtId="166" fontId="4" fillId="0" borderId="0" xfId="1" applyNumberFormat="1"/>
    <xf numFmtId="10" fontId="4" fillId="0" borderId="0" xfId="1" applyNumberFormat="1"/>
    <xf numFmtId="166" fontId="11" fillId="0" borderId="0" xfId="1" applyNumberFormat="1" applyFont="1"/>
    <xf numFmtId="166" fontId="6" fillId="0" borderId="0" xfId="1" applyNumberFormat="1" applyFont="1"/>
    <xf numFmtId="167" fontId="4" fillId="0" borderId="0" xfId="1" applyNumberFormat="1"/>
    <xf numFmtId="2" fontId="4" fillId="0" borderId="0" xfId="1" applyNumberFormat="1"/>
    <xf numFmtId="0" fontId="12" fillId="0" borderId="0" xfId="1" applyFont="1"/>
    <xf numFmtId="3" fontId="12" fillId="0" borderId="0" xfId="1" applyNumberFormat="1" applyFont="1"/>
    <xf numFmtId="3" fontId="11" fillId="0" borderId="0" xfId="1" applyNumberFormat="1" applyFont="1"/>
    <xf numFmtId="3" fontId="11" fillId="2" borderId="0" xfId="1" applyNumberFormat="1" applyFont="1" applyFill="1"/>
    <xf numFmtId="3" fontId="13" fillId="2" borderId="0" xfId="1" applyNumberFormat="1" applyFont="1" applyFill="1"/>
    <xf numFmtId="3" fontId="4" fillId="2" borderId="0" xfId="1" applyNumberFormat="1" applyFill="1"/>
    <xf numFmtId="0" fontId="9" fillId="0" borderId="0" xfId="0" applyFont="1"/>
    <xf numFmtId="0" fontId="9" fillId="0" borderId="0" xfId="0" applyFont="1" applyAlignment="1">
      <alignment horizontal="right"/>
    </xf>
    <xf numFmtId="1" fontId="4" fillId="0" borderId="0" xfId="1" applyNumberFormat="1"/>
    <xf numFmtId="166" fontId="11" fillId="0" borderId="0" xfId="2" applyNumberFormat="1" applyFont="1"/>
    <xf numFmtId="166" fontId="3" fillId="0" borderId="0" xfId="2" applyNumberFormat="1" applyFont="1"/>
    <xf numFmtId="3" fontId="13" fillId="0" borderId="0" xfId="1" applyNumberFormat="1" applyFont="1"/>
    <xf numFmtId="9" fontId="13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3" fillId="0" borderId="0" xfId="2" applyNumberFormat="1" applyFont="1"/>
    <xf numFmtId="9" fontId="3" fillId="0" borderId="0" xfId="2" applyFont="1"/>
    <xf numFmtId="3" fontId="15" fillId="0" borderId="0" xfId="0" applyNumberFormat="1" applyFont="1"/>
    <xf numFmtId="168" fontId="4" fillId="0" borderId="0" xfId="1" applyNumberFormat="1" applyFill="1" applyProtection="1"/>
    <xf numFmtId="3" fontId="6" fillId="0" borderId="0" xfId="1" applyNumberFormat="1" applyFont="1"/>
    <xf numFmtId="0" fontId="0" fillId="0" borderId="0" xfId="0" applyFill="1" applyProtection="1"/>
    <xf numFmtId="0" fontId="4" fillId="0" borderId="0" xfId="1" applyFont="1" applyFill="1" applyProtection="1"/>
    <xf numFmtId="3" fontId="0" fillId="0" borderId="0" xfId="1" applyNumberFormat="1" applyFont="1"/>
    <xf numFmtId="0" fontId="9" fillId="0" borderId="0" xfId="35" applyFont="1"/>
    <xf numFmtId="0" fontId="4" fillId="0" borderId="0" xfId="1" applyFont="1"/>
    <xf numFmtId="0" fontId="20" fillId="0" borderId="0" xfId="1" applyFont="1" applyFill="1" applyProtection="1"/>
    <xf numFmtId="3" fontId="20" fillId="0" borderId="0" xfId="1" applyNumberFormat="1" applyFont="1" applyFill="1" applyProtection="1"/>
    <xf numFmtId="0" fontId="15" fillId="0" borderId="0" xfId="0" applyFont="1"/>
    <xf numFmtId="3" fontId="21" fillId="0" borderId="0" xfId="1" applyNumberFormat="1" applyFont="1"/>
    <xf numFmtId="3" fontId="0" fillId="0" borderId="0" xfId="0" applyNumberFormat="1" applyFill="1" applyProtection="1"/>
    <xf numFmtId="166" fontId="4" fillId="0" borderId="0" xfId="1" applyNumberFormat="1" applyFill="1" applyProtection="1"/>
    <xf numFmtId="169" fontId="4" fillId="0" borderId="0" xfId="1" applyNumberFormat="1" applyFill="1" applyProtection="1"/>
    <xf numFmtId="3" fontId="4" fillId="0" borderId="0" xfId="1" applyNumberFormat="1" applyFont="1"/>
    <xf numFmtId="3" fontId="4" fillId="0" borderId="0" xfId="1" applyNumberFormat="1" applyFont="1" applyFill="1" applyProtection="1"/>
    <xf numFmtId="165" fontId="4" fillId="0" borderId="0" xfId="1" applyNumberFormat="1" applyFill="1" applyProtection="1"/>
    <xf numFmtId="3" fontId="0" fillId="0" borderId="0" xfId="0" applyNumberFormat="1" applyFill="1" applyAlignment="1" applyProtection="1">
      <alignment horizontal="right"/>
    </xf>
    <xf numFmtId="9" fontId="4" fillId="0" borderId="0" xfId="82" applyFont="1"/>
    <xf numFmtId="3" fontId="23" fillId="0" borderId="0" xfId="0" applyNumberFormat="1" applyFont="1" applyFill="1" applyProtection="1"/>
    <xf numFmtId="3" fontId="0" fillId="0" borderId="0" xfId="0" applyNumberFormat="1" applyFont="1" applyFill="1" applyProtection="1"/>
    <xf numFmtId="3" fontId="23" fillId="0" borderId="0" xfId="0" applyNumberFormat="1" applyFont="1" applyFill="1" applyAlignment="1" applyProtection="1">
      <alignment horizontal="right"/>
    </xf>
    <xf numFmtId="3" fontId="24" fillId="0" borderId="0" xfId="0" applyNumberFormat="1" applyFont="1" applyFill="1" applyProtection="1"/>
    <xf numFmtId="3" fontId="24" fillId="0" borderId="0" xfId="0" applyNumberFormat="1" applyFont="1" applyFill="1" applyAlignment="1" applyProtection="1">
      <alignment horizontal="right"/>
    </xf>
    <xf numFmtId="3" fontId="25" fillId="0" borderId="0" xfId="1" applyNumberFormat="1" applyFont="1"/>
    <xf numFmtId="3" fontId="27" fillId="0" borderId="0" xfId="0" applyNumberFormat="1" applyFont="1" applyFill="1" applyProtection="1"/>
    <xf numFmtId="3" fontId="26" fillId="0" borderId="0" xfId="0" applyNumberFormat="1" applyFont="1" applyFill="1" applyAlignment="1" applyProtection="1">
      <alignment horizontal="right"/>
    </xf>
    <xf numFmtId="0" fontId="28" fillId="0" borderId="0" xfId="1" applyFont="1" applyFill="1" applyProtection="1"/>
    <xf numFmtId="3" fontId="28" fillId="0" borderId="0" xfId="1" applyNumberFormat="1" applyFont="1" applyFill="1" applyProtection="1"/>
    <xf numFmtId="3" fontId="4" fillId="0" borderId="0" xfId="1" quotePrefix="1" applyNumberFormat="1" applyFill="1" applyProtection="1"/>
    <xf numFmtId="3" fontId="29" fillId="0" borderId="0" xfId="0" applyNumberFormat="1" applyFont="1" applyFill="1" applyAlignment="1" applyProtection="1">
      <alignment horizontal="right"/>
    </xf>
    <xf numFmtId="3" fontId="31" fillId="0" borderId="0" xfId="0" applyNumberFormat="1" applyFont="1" applyFill="1" applyProtection="1"/>
    <xf numFmtId="3" fontId="29" fillId="0" borderId="0" xfId="0" applyNumberFormat="1" applyFont="1" applyFill="1" applyProtection="1"/>
    <xf numFmtId="0" fontId="6" fillId="0" borderId="0" xfId="1" applyFont="1" applyFill="1"/>
    <xf numFmtId="3" fontId="6" fillId="0" borderId="0" xfId="1" applyNumberFormat="1" applyFont="1" applyFill="1"/>
    <xf numFmtId="3" fontId="30" fillId="0" borderId="0" xfId="0" applyNumberFormat="1" applyFont="1" applyFill="1" applyProtection="1"/>
    <xf numFmtId="0" fontId="4" fillId="0" borderId="0" xfId="1" applyFill="1" applyProtection="1"/>
    <xf numFmtId="3" fontId="0" fillId="0" borderId="0" xfId="0" applyNumberFormat="1" applyFont="1" applyFill="1" applyAlignment="1" applyProtection="1">
      <alignment horizontal="right"/>
    </xf>
    <xf numFmtId="3" fontId="1" fillId="0" borderId="0" xfId="0" applyNumberFormat="1" applyFont="1" applyFill="1" applyProtection="1"/>
    <xf numFmtId="3" fontId="31" fillId="0" borderId="0" xfId="0" applyNumberFormat="1" applyFont="1" applyFill="1" applyAlignment="1" applyProtection="1">
      <alignment horizontal="right"/>
    </xf>
    <xf numFmtId="170" fontId="29" fillId="0" borderId="0" xfId="83" applyNumberFormat="1" applyFont="1" applyFill="1" applyProtection="1"/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27" fillId="0" borderId="0" xfId="0" applyNumberFormat="1" applyFont="1" applyFill="1" applyAlignment="1" applyProtection="1">
      <alignment horizontal="right"/>
    </xf>
    <xf numFmtId="3" fontId="32" fillId="0" borderId="0" xfId="0" applyNumberFormat="1" applyFont="1" applyFill="1" applyProtection="1"/>
    <xf numFmtId="3" fontId="33" fillId="0" borderId="0" xfId="0" applyNumberFormat="1" applyFont="1" applyAlignment="1">
      <alignment horizontal="right"/>
    </xf>
    <xf numFmtId="3" fontId="32" fillId="0" borderId="0" xfId="0" applyNumberFormat="1" applyFont="1" applyFill="1" applyAlignment="1" applyProtection="1">
      <alignment horizontal="right"/>
    </xf>
    <xf numFmtId="9" fontId="6" fillId="0" borderId="0" xfId="82" applyFont="1"/>
    <xf numFmtId="3" fontId="36" fillId="0" borderId="0" xfId="1" applyNumberFormat="1" applyFont="1"/>
    <xf numFmtId="0" fontId="6" fillId="0" borderId="0" xfId="1" applyNumberFormat="1" applyFont="1"/>
    <xf numFmtId="0" fontId="37" fillId="0" borderId="0" xfId="1" applyFont="1" applyFill="1" applyProtection="1"/>
    <xf numFmtId="3" fontId="38" fillId="0" borderId="0" xfId="0" applyNumberFormat="1" applyFont="1" applyAlignment="1">
      <alignment horizontal="right"/>
    </xf>
    <xf numFmtId="166" fontId="4" fillId="0" borderId="0" xfId="82" applyNumberFormat="1" applyFont="1"/>
    <xf numFmtId="171" fontId="4" fillId="0" borderId="0" xfId="1" applyNumberFormat="1" applyFill="1" applyProtection="1"/>
  </cellXfs>
  <cellStyles count="84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Komma" xfId="83" builtinId="3"/>
    <cellStyle name="Normal" xfId="0" builtinId="0"/>
    <cellStyle name="Normal 2" xfId="1"/>
    <cellStyle name="Normal 3" xfId="35"/>
    <cellStyle name="Percent 2" xfId="2"/>
    <cellStyle name="Procent" xfId="8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7" Type="http://schemas.openxmlformats.org/officeDocument/2006/relationships/worksheet" Target="worksheets/sheet7.xml"/><Relationship Id="rId16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19" Type="http://schemas.openxmlformats.org/officeDocument/2006/relationships/calcChain" Target="calcChain.xml"/><Relationship Id="rId10" Type="http://schemas.openxmlformats.org/officeDocument/2006/relationships/worksheet" Target="worksheets/sheet10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vmlDrawing" Target="../drawings/vmlDrawing12.vml"/><Relationship Id="rId3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vmlDrawing" Target="../drawings/vmlDrawing15.vml"/><Relationship Id="rId3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topLeftCell="A9" workbookViewId="0">
      <selection activeCell="L46" sqref="L46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1.5" style="2" customWidth="1"/>
    <col min="4" max="11" width="8.83203125" style="2"/>
    <col min="12" max="12" width="10.6640625" style="2" bestFit="1" customWidth="1"/>
    <col min="13" max="13" width="6.83203125" style="2" customWidth="1"/>
    <col min="14" max="14" width="9.5" style="2" customWidth="1"/>
    <col min="15" max="15" width="11.83203125" style="2" customWidth="1"/>
    <col min="16" max="16" width="10.1640625" style="2" customWidth="1"/>
    <col min="17" max="17" width="10.83203125" style="2" customWidth="1"/>
    <col min="18" max="20" width="8.83203125" style="2"/>
    <col min="21" max="21" width="10.1640625" style="2" bestFit="1" customWidth="1"/>
    <col min="22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61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 t="s">
        <v>8</v>
      </c>
      <c r="M3" s="6" t="s">
        <v>8</v>
      </c>
      <c r="N3" s="6"/>
      <c r="O3" s="7" t="s">
        <v>10</v>
      </c>
      <c r="P3" s="3"/>
      <c r="Q3" s="3"/>
      <c r="R3" s="3"/>
      <c r="S3" s="3"/>
      <c r="T3" s="3"/>
      <c r="U3" s="3"/>
    </row>
    <row r="4" spans="1:21" ht="15.75" x14ac:dyDescent="0.25">
      <c r="A4" s="8" t="s">
        <v>82</v>
      </c>
      <c r="B4" s="90">
        <f>SUM(Arvidsjaur:Kiruna!B4)</f>
        <v>635</v>
      </c>
      <c r="C4" s="9"/>
      <c r="D4" s="11"/>
      <c r="P4" s="3"/>
      <c r="Q4" s="3"/>
      <c r="R4" s="3"/>
      <c r="S4" s="3"/>
      <c r="T4" s="3"/>
      <c r="U4" s="3"/>
    </row>
    <row r="5" spans="1:21" ht="15.75" x14ac:dyDescent="0.25">
      <c r="A5" s="5"/>
      <c r="B5" s="10"/>
      <c r="C5" s="40"/>
      <c r="D5" s="40"/>
      <c r="E5" s="40"/>
      <c r="F5" s="40"/>
      <c r="G5" s="40"/>
      <c r="P5" s="3"/>
      <c r="Q5" s="47"/>
      <c r="R5" s="3"/>
      <c r="S5" s="3"/>
      <c r="T5" s="3"/>
      <c r="U5" s="3"/>
    </row>
    <row r="6" spans="1:21" ht="16" x14ac:dyDescent="0.2">
      <c r="A6" s="8" t="s">
        <v>11</v>
      </c>
      <c r="B6" s="10">
        <f>SUM(Arvidsjaur:Kiruna!B6)</f>
        <v>502792</v>
      </c>
      <c r="C6" s="10">
        <f>SUM(Arvidsjaur:Kiruna!C6)</f>
        <v>0</v>
      </c>
      <c r="D6" s="10">
        <f>SUM(Arvidsjaur:Kiruna!D6)</f>
        <v>0</v>
      </c>
      <c r="E6" s="10">
        <f>SUM(Arvidsjaur:Kiruna!E6)</f>
        <v>0</v>
      </c>
      <c r="F6" s="10">
        <f>SUM(Arvidsjaur:Kiruna!F6)</f>
        <v>0</v>
      </c>
      <c r="G6" s="10">
        <f>SUM(Arvidsjaur:Kiruna!G6)</f>
        <v>0</v>
      </c>
      <c r="H6" s="10">
        <f>SUM(Arvidsjaur:Kiruna!H6)</f>
        <v>0</v>
      </c>
      <c r="I6" s="10">
        <f>SUM(Arvidsjaur:Kiruna!I6)</f>
        <v>0</v>
      </c>
      <c r="J6" s="10">
        <f>SUM(Arvidsjaur:Kiruna!J6)</f>
        <v>0</v>
      </c>
      <c r="K6" s="10">
        <f>SUM(Arvidsjaur:Kiruna!K6)</f>
        <v>0</v>
      </c>
      <c r="L6" s="10">
        <f>SUM(Arvidsjaur:Kiruna!L6)</f>
        <v>0</v>
      </c>
      <c r="M6" s="10">
        <f>SUM(Arvidsjaur:Kiruna!M6)</f>
        <v>0</v>
      </c>
      <c r="N6" s="10">
        <f>SUM(Arvidsjaur:Kiruna!N6)</f>
        <v>0</v>
      </c>
      <c r="O6" s="9">
        <v>0</v>
      </c>
      <c r="P6" s="3"/>
      <c r="Q6" s="48"/>
      <c r="R6" s="46"/>
      <c r="S6" s="3"/>
      <c r="T6" s="3"/>
      <c r="U6" s="3"/>
    </row>
    <row r="7" spans="1:21" ht="16" x14ac:dyDescent="0.2">
      <c r="A7" s="8" t="s">
        <v>12</v>
      </c>
      <c r="B7" s="10">
        <f>SUM(Arvidsjaur:Kiruna!B7)</f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/>
      <c r="O7" s="9">
        <v>0</v>
      </c>
      <c r="P7" s="3"/>
      <c r="Q7" s="48"/>
      <c r="R7" s="46"/>
      <c r="S7" s="3"/>
      <c r="T7" s="3"/>
      <c r="U7" s="3"/>
    </row>
    <row r="8" spans="1:21" ht="15.75" x14ac:dyDescent="0.25">
      <c r="A8" s="8" t="s">
        <v>13</v>
      </c>
      <c r="B8" s="10">
        <f>SUM(Arvidsjaur:Kiruna!B8)</f>
        <v>15859638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/>
      <c r="O8" s="9">
        <v>0</v>
      </c>
      <c r="P8" s="3"/>
      <c r="Q8" s="3"/>
      <c r="R8" s="3"/>
      <c r="S8" s="3"/>
      <c r="T8" s="3"/>
      <c r="U8" s="3"/>
    </row>
    <row r="9" spans="1:21" ht="15.75" x14ac:dyDescent="0.25">
      <c r="A9" s="8" t="s">
        <v>14</v>
      </c>
      <c r="B9" s="10">
        <f>SUM(Arvidsjaur:Kiruna!B9)</f>
        <v>905385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/>
      <c r="O9" s="9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15</v>
      </c>
      <c r="B10" s="10">
        <f>SUM(B4:B9)</f>
        <v>17268450</v>
      </c>
      <c r="C10" s="9">
        <f>SUM(C6:C9)</f>
        <v>0</v>
      </c>
      <c r="D10" s="9">
        <f t="shared" ref="D10:H10" si="0">SUM(D6:D9)</f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/>
      <c r="J10" s="9"/>
      <c r="K10" s="9"/>
      <c r="L10" s="9"/>
      <c r="M10" s="9"/>
      <c r="N10" s="9"/>
      <c r="O10" s="9">
        <v>0</v>
      </c>
      <c r="P10" s="3"/>
      <c r="Q10" s="3"/>
      <c r="R10" s="3"/>
      <c r="S10" s="3"/>
      <c r="T10" s="3"/>
      <c r="U10" s="3"/>
    </row>
    <row r="11" spans="1:21" ht="15.75" x14ac:dyDescent="0.2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3"/>
      <c r="Q11" s="3"/>
      <c r="R11" s="3"/>
      <c r="S11" s="3"/>
      <c r="T11" s="3"/>
      <c r="U11" s="3"/>
    </row>
    <row r="12" spans="1:21" ht="15.75" x14ac:dyDescent="0.2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3"/>
      <c r="Q12" s="3"/>
      <c r="R12" s="3"/>
      <c r="S12" s="3"/>
      <c r="T12" s="3"/>
      <c r="U12" s="3"/>
    </row>
    <row r="13" spans="1:21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76</v>
      </c>
      <c r="M15" s="6" t="s">
        <v>8</v>
      </c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40"/>
      <c r="D16" s="40"/>
      <c r="E16" s="40"/>
      <c r="F16" s="40"/>
      <c r="G16" s="40"/>
      <c r="H16" s="11"/>
      <c r="I16" s="11"/>
      <c r="J16" s="11"/>
      <c r="K16" s="11"/>
      <c r="L16" s="11"/>
      <c r="M16" s="11"/>
      <c r="N16" s="11"/>
      <c r="O16" s="11"/>
      <c r="P16" s="3"/>
      <c r="Q16" s="47"/>
      <c r="R16" s="3"/>
      <c r="S16" s="3"/>
      <c r="T16" s="3"/>
      <c r="U16" s="3"/>
    </row>
    <row r="17" spans="1:24" ht="16" x14ac:dyDescent="0.2">
      <c r="A17" s="8" t="s">
        <v>19</v>
      </c>
      <c r="B17" s="10">
        <f>SUM(Arvidsjaur:Kiruna!B17)</f>
        <v>1482197</v>
      </c>
      <c r="C17" s="10">
        <f>SUM(Arvidsjaur:Kiruna!C17)</f>
        <v>63290</v>
      </c>
      <c r="D17" s="10">
        <f>SUM(Arvidsjaur:Kiruna!D17)</f>
        <v>0</v>
      </c>
      <c r="E17" s="10">
        <f>SUM(Arvidsjaur:Kiruna!E17)</f>
        <v>0</v>
      </c>
      <c r="F17" s="10">
        <f>SUM(Arvidsjaur:Kiruna!F17)</f>
        <v>2263</v>
      </c>
      <c r="G17" s="10">
        <f>SUM(Arvidsjaur:Kiruna!G17)</f>
        <v>272243</v>
      </c>
      <c r="H17" s="10">
        <f>SUM(Arvidsjaur:Kiruna!H17)</f>
        <v>0</v>
      </c>
      <c r="I17" s="10">
        <f>SUM(Arvidsjaur:Kiruna!I17)</f>
        <v>0</v>
      </c>
      <c r="J17" s="10">
        <f>SUM(Arvidsjaur:Kiruna!J17)</f>
        <v>109008</v>
      </c>
      <c r="K17" s="10">
        <f>SUM(Arvidsjaur:Kiruna!K17)</f>
        <v>464000</v>
      </c>
      <c r="L17" s="10">
        <f>SUM(Arvidsjaur:Kiruna!L17)</f>
        <v>1571000</v>
      </c>
      <c r="M17" s="10">
        <f>SUM(Arvidsjaur:Kiruna!M17)</f>
        <v>0</v>
      </c>
      <c r="N17" s="10">
        <f>SUM(Arvidsjaur:Kiruna!N17)</f>
        <v>12600</v>
      </c>
      <c r="O17" s="10">
        <f>SUM(C17:N17)</f>
        <v>2494404</v>
      </c>
      <c r="P17" s="3"/>
      <c r="Q17" s="48"/>
      <c r="R17" s="46"/>
      <c r="S17" s="3"/>
      <c r="T17" s="3"/>
      <c r="U17" s="3"/>
    </row>
    <row r="18" spans="1:24" ht="16" x14ac:dyDescent="0.2">
      <c r="A18" s="8" t="s">
        <v>20</v>
      </c>
      <c r="B18" s="10">
        <f>SUM(Arvidsjaur:Kiruna!B18)</f>
        <v>456279</v>
      </c>
      <c r="C18" s="10">
        <f>SUM(Arvidsjaur:Kiruna!C18)</f>
        <v>19554</v>
      </c>
      <c r="D18" s="10">
        <f>SUM(Arvidsjaur:Kiruna!D18)</f>
        <v>0</v>
      </c>
      <c r="E18" s="10">
        <f>SUM(Arvidsjaur:Kiruna!E18)</f>
        <v>73774</v>
      </c>
      <c r="F18" s="10">
        <f>SUM(Arvidsjaur:Kiruna!F18)</f>
        <v>1500</v>
      </c>
      <c r="G18" s="10">
        <f>SUM(Arvidsjaur:Kiruna!G18)</f>
        <v>362815</v>
      </c>
      <c r="H18" s="10">
        <f>SUM(Arvidsjaur:Kiruna!H18)</f>
        <v>0</v>
      </c>
      <c r="I18" s="10">
        <f>SUM(Arvidsjaur:Kiruna!I18)</f>
        <v>0</v>
      </c>
      <c r="J18" s="10">
        <f>SUM(Arvidsjaur:Kiruna!J18)</f>
        <v>26863</v>
      </c>
      <c r="K18" s="10">
        <f>SUM(Arvidsjaur:Kiruna!K18)</f>
        <v>0</v>
      </c>
      <c r="L18" s="10">
        <f>SUM(Arvidsjaur:Kiruna!L18)</f>
        <v>0</v>
      </c>
      <c r="M18" s="10">
        <f>SUM(Arvidsjaur:Kiruna!M18)</f>
        <v>0</v>
      </c>
      <c r="N18" s="10">
        <f>SUM(Arvidsjaur:Kiruna!N18)</f>
        <v>10589.2</v>
      </c>
      <c r="O18" s="10">
        <f>SUM(C18:N18)</f>
        <v>495095.2</v>
      </c>
      <c r="P18" s="3"/>
      <c r="Q18" s="48"/>
      <c r="R18" s="46"/>
      <c r="S18" s="3" t="s">
        <v>25</v>
      </c>
      <c r="T18" s="13">
        <f>O42/1000</f>
        <v>29698.503780000003</v>
      </c>
      <c r="U18" s="3"/>
    </row>
    <row r="19" spans="1:24" ht="16" x14ac:dyDescent="0.2">
      <c r="A19" s="8" t="s">
        <v>21</v>
      </c>
      <c r="B19" s="10">
        <f>SUM(Arvidsjaur:Kiruna!B19)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>SUM(Arvidsjaur:Kiruna!N19)</f>
        <v>0</v>
      </c>
      <c r="O19" s="10">
        <f>SUM(Arvidsjaur:Kiruna!O19)</f>
        <v>0</v>
      </c>
      <c r="P19" s="3"/>
      <c r="Q19" s="3"/>
      <c r="R19" s="3"/>
      <c r="S19" s="3"/>
      <c r="T19" s="3"/>
      <c r="U19" s="3"/>
    </row>
    <row r="20" spans="1:24" ht="16" x14ac:dyDescent="0.2">
      <c r="A20" s="8" t="s">
        <v>22</v>
      </c>
      <c r="B20" s="10">
        <f>SUM(Arvidsjaur:Kiruna!B20)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>
        <f>SUM(Arvidsjaur:Kiruna!N20)</f>
        <v>0</v>
      </c>
      <c r="O20" s="10">
        <f>SUM(Arvidsjaur:Kiruna!O20)</f>
        <v>0</v>
      </c>
      <c r="P20" s="3"/>
      <c r="Q20" s="3"/>
      <c r="R20" s="3"/>
      <c r="S20" s="3"/>
      <c r="T20" s="3" t="s">
        <v>26</v>
      </c>
      <c r="U20" s="3" t="s">
        <v>27</v>
      </c>
    </row>
    <row r="21" spans="1:24" ht="16" x14ac:dyDescent="0.2">
      <c r="A21" s="8" t="s">
        <v>23</v>
      </c>
      <c r="B21" s="10">
        <f>SUM(Arvidsjaur:Kiruna!B21)</f>
        <v>298932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>SUM(Arvidsjaur:Kiruna!O21)</f>
        <v>0</v>
      </c>
      <c r="P21" s="3"/>
      <c r="Q21" s="3"/>
      <c r="R21" s="3"/>
      <c r="S21" s="44" t="s">
        <v>9</v>
      </c>
      <c r="T21" s="13">
        <f>N42/1000</f>
        <v>7076.1052800000007</v>
      </c>
      <c r="U21" s="15">
        <f>N43</f>
        <v>0.23826470627672813</v>
      </c>
    </row>
    <row r="22" spans="1:24" ht="16" x14ac:dyDescent="0.2">
      <c r="A22" s="8" t="s">
        <v>24</v>
      </c>
      <c r="B22" s="10">
        <f>SUM(Arvidsjaur:Kiruna!B22)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SUM(Arvidsjaur:Kiruna!O22)</f>
        <v>0</v>
      </c>
      <c r="P22" s="3"/>
      <c r="Q22" s="3"/>
      <c r="R22" s="3"/>
      <c r="S22" s="44" t="s">
        <v>59</v>
      </c>
      <c r="T22" s="13">
        <f>G42/1000</f>
        <v>2722.1950000000002</v>
      </c>
      <c r="U22" s="15">
        <f>G43</f>
        <v>9.166101498464109E-2</v>
      </c>
    </row>
    <row r="23" spans="1:24" ht="16" x14ac:dyDescent="0.2">
      <c r="A23" s="8" t="s">
        <v>15</v>
      </c>
      <c r="B23" s="10">
        <f>SUM(B17:B22)</f>
        <v>2237408</v>
      </c>
      <c r="C23" s="10">
        <f t="shared" ref="C23:O23" si="1">SUM(C17:C22)</f>
        <v>82844</v>
      </c>
      <c r="D23" s="10">
        <f t="shared" si="1"/>
        <v>0</v>
      </c>
      <c r="E23" s="10">
        <f t="shared" si="1"/>
        <v>73774</v>
      </c>
      <c r="F23" s="10">
        <f t="shared" si="1"/>
        <v>3763</v>
      </c>
      <c r="G23" s="10">
        <f t="shared" si="1"/>
        <v>635058</v>
      </c>
      <c r="H23" s="10">
        <f t="shared" si="1"/>
        <v>0</v>
      </c>
      <c r="I23" s="10">
        <f t="shared" si="1"/>
        <v>0</v>
      </c>
      <c r="J23" s="10">
        <f t="shared" si="1"/>
        <v>135871</v>
      </c>
      <c r="K23" s="10">
        <f t="shared" si="1"/>
        <v>464000</v>
      </c>
      <c r="L23" s="10">
        <f t="shared" si="1"/>
        <v>1571000</v>
      </c>
      <c r="M23" s="10">
        <f t="shared" si="1"/>
        <v>0</v>
      </c>
      <c r="N23" s="10">
        <f t="shared" si="1"/>
        <v>23189.200000000001</v>
      </c>
      <c r="O23" s="10">
        <f t="shared" si="1"/>
        <v>2989499.2</v>
      </c>
      <c r="P23" s="3"/>
      <c r="Q23" s="3"/>
      <c r="R23" s="3"/>
      <c r="S23" s="52" t="str">
        <f>J29</f>
        <v>Torv</v>
      </c>
      <c r="T23" s="13">
        <f>J42/1000</f>
        <v>146.37100000000001</v>
      </c>
      <c r="U23" s="14">
        <f>J43</f>
        <v>4.9285647884581745E-3</v>
      </c>
    </row>
    <row r="24" spans="1:24" ht="16" x14ac:dyDescent="0.2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3"/>
      <c r="Q24" s="3"/>
      <c r="R24" s="3"/>
      <c r="S24" s="44" t="s">
        <v>30</v>
      </c>
      <c r="T24" s="13">
        <f>F42/1000</f>
        <v>285.14100000000002</v>
      </c>
      <c r="U24" s="14">
        <f>F43</f>
        <v>9.6011907573614469E-3</v>
      </c>
    </row>
    <row r="25" spans="1:24" ht="16" x14ac:dyDescent="0.2">
      <c r="A25" s="74" t="s">
        <v>80</v>
      </c>
      <c r="B25" s="10">
        <f>SUM(Arvidsjaur:Kiruna!B25)</f>
        <v>42900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3"/>
      <c r="Q25" s="3"/>
      <c r="R25" s="3"/>
      <c r="S25" s="44" t="s">
        <v>3</v>
      </c>
      <c r="T25" s="13">
        <f>E42/1000</f>
        <v>124.52200000000001</v>
      </c>
      <c r="U25" s="14">
        <f>E43</f>
        <v>4.1928711601914911E-3</v>
      </c>
    </row>
    <row r="26" spans="1:24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53" t="str">
        <f>D29</f>
        <v>Kol och koks</v>
      </c>
      <c r="T26" s="54">
        <f>D42/1000</f>
        <v>9486</v>
      </c>
      <c r="U26" s="50">
        <f>D43</f>
        <v>0.31941003056147899</v>
      </c>
    </row>
    <row r="27" spans="1:24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K29</f>
        <v>Avfall</v>
      </c>
      <c r="T27" s="54">
        <f>K42/1000</f>
        <v>464</v>
      </c>
      <c r="U27" s="50">
        <f>K43</f>
        <v>1.5623682709311222E-2</v>
      </c>
    </row>
    <row r="28" spans="1:24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2" t="str">
        <f>I29</f>
        <v>Avlutar</v>
      </c>
      <c r="T28" s="13">
        <f>I42/1000</f>
        <v>4791.1120000000001</v>
      </c>
      <c r="U28" s="14">
        <f>I43</f>
        <v>0.16132502955339117</v>
      </c>
    </row>
    <row r="29" spans="1:24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58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H29</f>
        <v>Biogas</v>
      </c>
      <c r="T29" s="13">
        <f>H42/1000</f>
        <v>2.9489999999999998</v>
      </c>
      <c r="U29" s="14">
        <f>H43</f>
        <v>9.9297931702066363E-5</v>
      </c>
    </row>
    <row r="30" spans="1:24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3" t="str">
        <f>L29</f>
        <v>Beckolja</v>
      </c>
      <c r="T30" s="13">
        <f>L42/1000</f>
        <v>208.76300000000001</v>
      </c>
      <c r="U30" s="50">
        <f>L43</f>
        <v>7.0294113651809022E-3</v>
      </c>
      <c r="W30" s="47"/>
    </row>
    <row r="31" spans="1:24" ht="16" x14ac:dyDescent="0.2">
      <c r="A31" s="5" t="s">
        <v>32</v>
      </c>
      <c r="B31" s="10">
        <f>SUM(Arvidsjaur:Kiruna!B31)</f>
        <v>0</v>
      </c>
      <c r="C31" s="10">
        <f>SUM(Arvidsjaur:Kiruna!C31)</f>
        <v>48767</v>
      </c>
      <c r="D31" s="10">
        <f>SUM(Arvidsjaur:Kiruna!D31)</f>
        <v>0</v>
      </c>
      <c r="E31" s="10">
        <f>SUM(Arvidsjaur:Kiruna!E31)</f>
        <v>0</v>
      </c>
      <c r="F31" s="10">
        <f>SUM(Arvidsjaur:Kiruna!F31)</f>
        <v>4858</v>
      </c>
      <c r="G31" s="10">
        <f>SUM(Arvidsjaur:Kiruna!G31)</f>
        <v>0</v>
      </c>
      <c r="H31" s="10">
        <f>SUM(Arvidsjaur:Kiruna!H31)</f>
        <v>0</v>
      </c>
      <c r="I31" s="10">
        <f>SUM(Arvidsjaur:Kiruna!I31)</f>
        <v>0</v>
      </c>
      <c r="J31" s="10">
        <f>SUM(Arvidsjaur:Kiruna!J31)</f>
        <v>0</v>
      </c>
      <c r="K31" s="10">
        <f>SUM(Arvidsjaur:Kiruna!K31)</f>
        <v>0</v>
      </c>
      <c r="L31" s="10">
        <f>SUM(Arvidsjaur:Kiruna!L31)</f>
        <v>0</v>
      </c>
      <c r="M31" s="10">
        <f>SUM(Arvidsjaur:Kiruna!M31)</f>
        <v>0</v>
      </c>
      <c r="N31" s="10">
        <f>SUM(Arvidsjaur:Kiruna!N31)</f>
        <v>62488</v>
      </c>
      <c r="O31" s="10">
        <f>SUM(B31:N31)</f>
        <v>116113</v>
      </c>
      <c r="P31" s="16">
        <f>O31/O$39</f>
        <v>3.8541533254507405E-3</v>
      </c>
      <c r="Q31" s="17" t="s">
        <v>33</v>
      </c>
      <c r="R31" s="86">
        <f t="shared" ref="R31:R38" si="2">N31/$N$39</f>
        <v>8.9319279259396697E-3</v>
      </c>
      <c r="S31" s="11" t="str">
        <f>B29</f>
        <v>Fjärrvärme</v>
      </c>
      <c r="T31" s="13">
        <f>B42/1000</f>
        <v>42.9</v>
      </c>
      <c r="U31" s="50">
        <f>B43</f>
        <v>1.4445172160117488E-3</v>
      </c>
      <c r="W31" s="46"/>
      <c r="X31" s="46"/>
    </row>
    <row r="32" spans="1:24" ht="16" x14ac:dyDescent="0.2">
      <c r="A32" s="5" t="s">
        <v>35</v>
      </c>
      <c r="B32" s="10">
        <f>SUM(Arvidsjaur:Kiruna!B32)</f>
        <v>153024</v>
      </c>
      <c r="C32" s="10">
        <f>SUM(Arvidsjaur:Kiruna!C32)</f>
        <v>730895.5</v>
      </c>
      <c r="D32" s="10">
        <f>SUM(Arvidsjaur:Kiruna!D32)</f>
        <v>9486000</v>
      </c>
      <c r="E32" s="10">
        <f>SUM(Arvidsjaur:Kiruna!E32)</f>
        <v>46683</v>
      </c>
      <c r="F32" s="10">
        <f>SUM(Arvidsjaur:Kiruna!F32)</f>
        <v>0</v>
      </c>
      <c r="G32" s="10">
        <f>SUM(Arvidsjaur:Kiruna!G32)</f>
        <v>1720633</v>
      </c>
      <c r="H32" s="10">
        <f>SUM(Arvidsjaur:Kiruna!H32)</f>
        <v>0</v>
      </c>
      <c r="I32" s="10">
        <f>SUM(Arvidsjaur:Kiruna!I32)</f>
        <v>4791112</v>
      </c>
      <c r="J32" s="10">
        <f>SUM(Arvidsjaur:Kiruna!J32)</f>
        <v>10500</v>
      </c>
      <c r="K32" s="10">
        <f>SUM(Arvidsjaur:Kiruna!K32)</f>
        <v>0</v>
      </c>
      <c r="L32" s="10">
        <f>SUM(Arvidsjaur:Kiruna!L32)</f>
        <v>208763</v>
      </c>
      <c r="M32" s="10">
        <f>SUM(Arvidsjaur:Kiruna!M32)</f>
        <v>48267</v>
      </c>
      <c r="N32" s="10">
        <f>SUM(Arvidsjaur:Kiruna!N32)</f>
        <v>4096939</v>
      </c>
      <c r="O32" s="10">
        <f t="shared" ref="O32:O38" si="3">SUM(B32:N32)</f>
        <v>21292816.5</v>
      </c>
      <c r="P32" s="16">
        <f>O32/O$39</f>
        <v>0.7067751201130571</v>
      </c>
      <c r="Q32" s="17" t="s">
        <v>36</v>
      </c>
      <c r="R32" s="86">
        <f t="shared" si="2"/>
        <v>0.58560945885564175</v>
      </c>
      <c r="S32" s="53" t="str">
        <f>M29</f>
        <v>Övrigt</v>
      </c>
      <c r="T32" s="54">
        <f>M42/1000</f>
        <v>48.267000000000003</v>
      </c>
      <c r="U32" s="50">
        <f>M43</f>
        <v>1.6252333907981137E-3</v>
      </c>
      <c r="W32" s="46"/>
      <c r="X32" s="46"/>
    </row>
    <row r="33" spans="1:48" ht="16" x14ac:dyDescent="0.2">
      <c r="A33" s="5" t="s">
        <v>37</v>
      </c>
      <c r="B33" s="10">
        <f>SUM(Arvidsjaur:Kiruna!B33)</f>
        <v>338706</v>
      </c>
      <c r="C33" s="10">
        <f>SUM(Arvidsjaur:Kiruna!C33)</f>
        <v>9822</v>
      </c>
      <c r="D33" s="10">
        <f>SUM(Arvidsjaur:Kiruna!D33)</f>
        <v>0</v>
      </c>
      <c r="E33" s="10">
        <f>SUM(Arvidsjaur:Kiruna!E33)</f>
        <v>0</v>
      </c>
      <c r="F33" s="10">
        <f>SUM(Arvidsjaur:Kiruna!F33)</f>
        <v>0</v>
      </c>
      <c r="G33" s="10">
        <f>SUM(Arvidsjaur:Kiruna!G33)</f>
        <v>0</v>
      </c>
      <c r="H33" s="10">
        <f>SUM(Arvidsjaur:Kiruna!H33)</f>
        <v>0</v>
      </c>
      <c r="I33" s="10">
        <f>SUM(Arvidsjaur:Kiruna!I33)</f>
        <v>0</v>
      </c>
      <c r="J33" s="10">
        <f>SUM(Arvidsjaur:Kiruna!J33)</f>
        <v>0</v>
      </c>
      <c r="K33" s="10">
        <f>SUM(Arvidsjaur:Kiruna!K33)</f>
        <v>0</v>
      </c>
      <c r="L33" s="10">
        <f>SUM(Arvidsjaur:Kiruna!L33)</f>
        <v>0</v>
      </c>
      <c r="M33" s="10">
        <f>SUM(Arvidsjaur:Kiruna!M33)</f>
        <v>0</v>
      </c>
      <c r="N33" s="10">
        <f>SUM(Arvidsjaur:Kiruna!N33)</f>
        <v>413708</v>
      </c>
      <c r="O33" s="10">
        <f t="shared" si="3"/>
        <v>762236</v>
      </c>
      <c r="P33" s="16">
        <f>O33/O$39</f>
        <v>2.5300994842767568E-2</v>
      </c>
      <c r="Q33" s="17" t="s">
        <v>38</v>
      </c>
      <c r="R33" s="86">
        <f t="shared" si="2"/>
        <v>5.913471447933441E-2</v>
      </c>
      <c r="S33" s="44" t="s">
        <v>34</v>
      </c>
      <c r="T33" s="13">
        <f>C42/1000</f>
        <v>4300.1785</v>
      </c>
      <c r="U33" s="15">
        <f>C43</f>
        <v>0.14479444930474542</v>
      </c>
      <c r="W33" s="46"/>
      <c r="X33" s="46"/>
    </row>
    <row r="34" spans="1:48" ht="16" x14ac:dyDescent="0.2">
      <c r="A34" s="5" t="s">
        <v>39</v>
      </c>
      <c r="B34" s="10">
        <f>SUM(Arvidsjaur:Kiruna!B34)</f>
        <v>0</v>
      </c>
      <c r="C34" s="10">
        <f>SUM(Arvidsjaur:Kiruna!C34)</f>
        <v>3211515</v>
      </c>
      <c r="D34" s="10">
        <f>SUM(Arvidsjaur:Kiruna!D34)</f>
        <v>0</v>
      </c>
      <c r="E34" s="84">
        <v>4065</v>
      </c>
      <c r="F34" s="10">
        <f>SUM(Arvidsjaur:Kiruna!F34)</f>
        <v>276520</v>
      </c>
      <c r="G34" s="10">
        <f>SUM(Arvidsjaur:Kiruna!G34)</f>
        <v>0</v>
      </c>
      <c r="H34" s="84">
        <v>2949</v>
      </c>
      <c r="I34" s="10">
        <f>SUM(Arvidsjaur:Kiruna!I34)</f>
        <v>0</v>
      </c>
      <c r="J34" s="10">
        <f>SUM(Arvidsjaur:Kiruna!J34)</f>
        <v>0</v>
      </c>
      <c r="K34" s="10">
        <f>SUM(Arvidsjaur:Kiruna!K34)</f>
        <v>0</v>
      </c>
      <c r="L34" s="10">
        <f>SUM(Arvidsjaur:Kiruna!L34)</f>
        <v>0</v>
      </c>
      <c r="M34" s="10">
        <f>SUM(Arvidsjaur:Kiruna!M34)</f>
        <v>0</v>
      </c>
      <c r="N34" s="10">
        <f>SUM(Arvidsjaur:Kiruna!N34)</f>
        <v>188077</v>
      </c>
      <c r="O34" s="10">
        <f t="shared" si="3"/>
        <v>3683126</v>
      </c>
      <c r="P34" s="16">
        <f>O34/O$39</f>
        <v>0.12225446178252293</v>
      </c>
      <c r="Q34" s="17" t="s">
        <v>40</v>
      </c>
      <c r="R34" s="86">
        <f t="shared" si="2"/>
        <v>2.6883404950181718E-2</v>
      </c>
      <c r="S34" s="3"/>
      <c r="T34" s="13">
        <f>SUM(T21:T33)</f>
        <v>29698.503780000006</v>
      </c>
      <c r="U34" s="14">
        <f>SUM(U21:U33)</f>
        <v>0.99999999999999989</v>
      </c>
      <c r="W34" s="46"/>
      <c r="X34" s="46"/>
    </row>
    <row r="35" spans="1:48" ht="16" x14ac:dyDescent="0.2">
      <c r="A35" s="5" t="s">
        <v>41</v>
      </c>
      <c r="B35" s="10">
        <f>SUM(Arvidsjaur:Kiruna!B35)</f>
        <v>315845</v>
      </c>
      <c r="C35" s="10">
        <f>SUM(Arvidsjaur:Kiruna!C35)</f>
        <v>212362</v>
      </c>
      <c r="D35" s="10">
        <f>SUM(Arvidsjaur:Kiruna!D35)</f>
        <v>0</v>
      </c>
      <c r="E35" s="10">
        <f>SUM(Arvidsjaur:Kiruna!E35)</f>
        <v>0</v>
      </c>
      <c r="F35" s="10">
        <f>SUM(Arvidsjaur:Kiruna!F35)</f>
        <v>0</v>
      </c>
      <c r="G35" s="10">
        <f>SUM(Arvidsjaur:Kiruna!G35)</f>
        <v>0</v>
      </c>
      <c r="H35" s="10">
        <f>SUM(Arvidsjaur:Kiruna!H35)</f>
        <v>0</v>
      </c>
      <c r="I35" s="10">
        <f>SUM(Arvidsjaur:Kiruna!I35)</f>
        <v>0</v>
      </c>
      <c r="J35" s="10">
        <f>SUM(Arvidsjaur:Kiruna!J35)</f>
        <v>0</v>
      </c>
      <c r="K35" s="10">
        <f>SUM(Arvidsjaur:Kiruna!K35)</f>
        <v>0</v>
      </c>
      <c r="L35" s="10">
        <f>SUM(Arvidsjaur:Kiruna!L35)</f>
        <v>0</v>
      </c>
      <c r="M35" s="10">
        <f>SUM(Arvidsjaur:Kiruna!M35)</f>
        <v>0</v>
      </c>
      <c r="N35" s="10">
        <f>SUM(Arvidsjaur:Kiruna!N35)</f>
        <v>1051739</v>
      </c>
      <c r="O35" s="10">
        <f t="shared" si="3"/>
        <v>1579946</v>
      </c>
      <c r="P35" s="16">
        <f>O35/O$39</f>
        <v>5.2443345102896284E-2</v>
      </c>
      <c r="Q35" s="17" t="s">
        <v>42</v>
      </c>
      <c r="R35" s="86">
        <f t="shared" si="2"/>
        <v>0.15033377520323682</v>
      </c>
      <c r="W35" s="46"/>
      <c r="X35" s="46"/>
    </row>
    <row r="36" spans="1:48" ht="16" x14ac:dyDescent="0.2">
      <c r="A36" s="5" t="s">
        <v>43</v>
      </c>
      <c r="B36" s="10">
        <f>SUM(Arvidsjaur:Kiruna!B36)</f>
        <v>509475</v>
      </c>
      <c r="C36" s="10">
        <f>SUM(Arvidsjaur:Kiruna!C36)</f>
        <v>1880</v>
      </c>
      <c r="D36" s="10">
        <f>SUM(Arvidsjaur:Kiruna!D36)</f>
        <v>0</v>
      </c>
      <c r="E36" s="10">
        <f>SUM(Arvidsjaur:Kiruna!E36)</f>
        <v>0</v>
      </c>
      <c r="F36" s="10">
        <f>SUM(Arvidsjaur:Kiruna!F36)</f>
        <v>0</v>
      </c>
      <c r="G36" s="10">
        <f>SUM(Arvidsjaur:Kiruna!G36)</f>
        <v>366504</v>
      </c>
      <c r="H36" s="10">
        <f>SUM(Arvidsjaur:Kiruna!H36)</f>
        <v>0</v>
      </c>
      <c r="I36" s="10">
        <f>SUM(Arvidsjaur:Kiruna!I36)</f>
        <v>0</v>
      </c>
      <c r="J36" s="10">
        <f>SUM(Arvidsjaur:Kiruna!J36)</f>
        <v>0</v>
      </c>
      <c r="K36" s="10">
        <f>SUM(Arvidsjaur:Kiruna!K36)</f>
        <v>0</v>
      </c>
      <c r="L36" s="10">
        <f>SUM(Arvidsjaur:Kiruna!L36)</f>
        <v>0</v>
      </c>
      <c r="M36" s="10">
        <f>SUM(Arvidsjaur:Kiruna!M36)</f>
        <v>0</v>
      </c>
      <c r="N36" s="10">
        <f>SUM(Arvidsjaur:Kiruna!N36)</f>
        <v>935368</v>
      </c>
      <c r="O36" s="10">
        <f t="shared" si="3"/>
        <v>1813227</v>
      </c>
      <c r="P36" s="17"/>
      <c r="Q36" s="17"/>
      <c r="R36" s="86">
        <f t="shared" si="2"/>
        <v>0.13369990334512766</v>
      </c>
      <c r="S36" s="7"/>
      <c r="T36" s="7"/>
      <c r="U36" s="7"/>
      <c r="W36" s="46"/>
      <c r="X36" s="46"/>
    </row>
    <row r="37" spans="1:48" ht="16" x14ac:dyDescent="0.2">
      <c r="A37" s="5" t="s">
        <v>44</v>
      </c>
      <c r="B37" s="10">
        <f>SUM(Arvidsjaur:Kiruna!B37)</f>
        <v>629456</v>
      </c>
      <c r="C37" s="10">
        <f>SUM(Arvidsjaur:Kiruna!C37)</f>
        <v>2093</v>
      </c>
      <c r="D37" s="10">
        <f>SUM(Arvidsjaur:Kiruna!D37)</f>
        <v>0</v>
      </c>
      <c r="E37" s="10">
        <f>SUM(Arvidsjaur:Kiruna!E37)</f>
        <v>0</v>
      </c>
      <c r="F37" s="10">
        <f>SUM(Arvidsjaur:Kiruna!F37)</f>
        <v>0</v>
      </c>
      <c r="G37" s="10">
        <f>SUM(Arvidsjaur:Kiruna!G37)</f>
        <v>0</v>
      </c>
      <c r="H37" s="10">
        <f>SUM(Arvidsjaur:Kiruna!H37)</f>
        <v>0</v>
      </c>
      <c r="I37" s="10">
        <f>SUM(Arvidsjaur:Kiruna!I37)</f>
        <v>0</v>
      </c>
      <c r="J37" s="10">
        <f>SUM(Arvidsjaur:Kiruna!J37)</f>
        <v>0</v>
      </c>
      <c r="K37" s="10">
        <f>SUM(Arvidsjaur:Kiruna!K37)</f>
        <v>0</v>
      </c>
      <c r="L37" s="10">
        <f>SUM(Arvidsjaur:Kiruna!L37)</f>
        <v>0</v>
      </c>
      <c r="M37" s="10">
        <f>SUM(Arvidsjaur:Kiruna!M37)</f>
        <v>0</v>
      </c>
      <c r="N37" s="10">
        <f>SUM(Arvidsjaur:Kiruna!N37)</f>
        <v>124186</v>
      </c>
      <c r="O37" s="10">
        <f t="shared" si="3"/>
        <v>755735</v>
      </c>
      <c r="P37" s="17"/>
      <c r="Q37" s="17"/>
      <c r="R37" s="86">
        <f t="shared" si="2"/>
        <v>1.7750934602015486E-2</v>
      </c>
      <c r="S37" s="7"/>
      <c r="T37" s="7" t="s">
        <v>26</v>
      </c>
      <c r="U37" s="7" t="s">
        <v>27</v>
      </c>
      <c r="W37" s="46"/>
      <c r="X37" s="46"/>
    </row>
    <row r="38" spans="1:48" ht="16" x14ac:dyDescent="0.2">
      <c r="A38" s="5" t="s">
        <v>45</v>
      </c>
      <c r="B38" s="10">
        <f>SUM(Arvidsjaur:Kiruna!B38)</f>
        <v>0</v>
      </c>
      <c r="C38" s="10">
        <f>SUM(Arvidsjaur:Kiruna!C38)</f>
        <v>0</v>
      </c>
      <c r="D38" s="10">
        <f>SUM(Arvidsjaur:Kiruna!D38)</f>
        <v>0</v>
      </c>
      <c r="E38" s="10">
        <f>SUM(Arvidsjaur:Kiruna!E38)</f>
        <v>0</v>
      </c>
      <c r="F38" s="10">
        <f>SUM(Arvidsjaur:Kiruna!F38)</f>
        <v>0</v>
      </c>
      <c r="G38" s="10">
        <f>SUM(Arvidsjaur:Kiruna!G38)</f>
        <v>0</v>
      </c>
      <c r="H38" s="10">
        <f>SUM(Arvidsjaur:Kiruna!H38)</f>
        <v>0</v>
      </c>
      <c r="I38" s="10">
        <f>SUM(Arvidsjaur:Kiruna!I38)</f>
        <v>0</v>
      </c>
      <c r="J38" s="10">
        <f>SUM(Arvidsjaur:Kiruna!J38)</f>
        <v>0</v>
      </c>
      <c r="K38" s="10">
        <f>SUM(Arvidsjaur:Kiruna!K38)</f>
        <v>0</v>
      </c>
      <c r="L38" s="10">
        <f>SUM(Arvidsjaur:Kiruna!L38)</f>
        <v>0</v>
      </c>
      <c r="M38" s="10">
        <f>SUM(Arvidsjaur:Kiruna!M38)</f>
        <v>0</v>
      </c>
      <c r="N38" s="10">
        <f>SUM(Arvidsjaur:Kiruna!N38)</f>
        <v>123521</v>
      </c>
      <c r="O38" s="10">
        <f t="shared" si="3"/>
        <v>123521</v>
      </c>
      <c r="P38" s="17">
        <f>SUM(P31:P35)</f>
        <v>0.91062807516669464</v>
      </c>
      <c r="Q38" s="88"/>
      <c r="R38" s="86">
        <f t="shared" si="2"/>
        <v>1.7655880638522498E-2</v>
      </c>
      <c r="S38" s="7" t="s">
        <v>46</v>
      </c>
      <c r="T38" s="18">
        <f>O45/1000</f>
        <v>850.58407999999997</v>
      </c>
      <c r="U38" s="7"/>
      <c r="W38" s="46"/>
      <c r="X38" s="46"/>
    </row>
    <row r="39" spans="1:48" ht="16" x14ac:dyDescent="0.2">
      <c r="A39" s="5" t="s">
        <v>15</v>
      </c>
      <c r="B39" s="10">
        <f>SUM(B31:B38)</f>
        <v>1946506</v>
      </c>
      <c r="C39" s="10">
        <f t="shared" ref="C39:O39" si="4">SUM(C31:C38)</f>
        <v>4217334.5</v>
      </c>
      <c r="D39" s="10">
        <f t="shared" si="4"/>
        <v>9486000</v>
      </c>
      <c r="E39" s="10">
        <f t="shared" si="4"/>
        <v>50748</v>
      </c>
      <c r="F39" s="10">
        <f t="shared" si="4"/>
        <v>281378</v>
      </c>
      <c r="G39" s="10">
        <f t="shared" si="4"/>
        <v>2087137</v>
      </c>
      <c r="H39" s="10">
        <f t="shared" si="4"/>
        <v>2949</v>
      </c>
      <c r="I39" s="10">
        <f t="shared" si="4"/>
        <v>4791112</v>
      </c>
      <c r="J39" s="10">
        <f t="shared" si="4"/>
        <v>10500</v>
      </c>
      <c r="K39" s="10">
        <f t="shared" si="4"/>
        <v>0</v>
      </c>
      <c r="L39" s="10">
        <f t="shared" si="4"/>
        <v>208763</v>
      </c>
      <c r="M39" s="10">
        <f t="shared" si="4"/>
        <v>48267</v>
      </c>
      <c r="N39" s="10">
        <f t="shared" si="4"/>
        <v>6996026</v>
      </c>
      <c r="O39" s="10">
        <f t="shared" si="4"/>
        <v>30126720.5</v>
      </c>
      <c r="P39" s="3"/>
      <c r="Q39" s="3"/>
      <c r="R39" s="3"/>
      <c r="S39" s="7" t="s">
        <v>47</v>
      </c>
      <c r="T39" s="19">
        <f>O41/1000</f>
        <v>2692.4830000000002</v>
      </c>
      <c r="U39" s="14">
        <f>P41</f>
        <v>8.9371924833305375E-2</v>
      </c>
    </row>
    <row r="40" spans="1:48" x14ac:dyDescent="0.2">
      <c r="S40" s="7" t="s">
        <v>48</v>
      </c>
      <c r="T40" s="19">
        <f>O35/1000</f>
        <v>1579.9459999999999</v>
      </c>
      <c r="U40" s="15">
        <f>P35</f>
        <v>5.2443345102896284E-2</v>
      </c>
    </row>
    <row r="41" spans="1:48" ht="16" x14ac:dyDescent="0.2">
      <c r="A41" s="20" t="s">
        <v>49</v>
      </c>
      <c r="B41" s="21">
        <f>B38+B37+B36</f>
        <v>1138931</v>
      </c>
      <c r="C41" s="21">
        <f t="shared" ref="C41:L41" si="5">C38+C37+C36</f>
        <v>3973</v>
      </c>
      <c r="D41" s="21">
        <f t="shared" si="5"/>
        <v>0</v>
      </c>
      <c r="E41" s="21">
        <f t="shared" si="5"/>
        <v>0</v>
      </c>
      <c r="F41" s="21">
        <f t="shared" si="5"/>
        <v>0</v>
      </c>
      <c r="G41" s="21">
        <f t="shared" si="5"/>
        <v>366504</v>
      </c>
      <c r="H41" s="21">
        <f t="shared" si="5"/>
        <v>0</v>
      </c>
      <c r="I41" s="21">
        <f t="shared" si="5"/>
        <v>0</v>
      </c>
      <c r="J41" s="21">
        <f t="shared" si="5"/>
        <v>0</v>
      </c>
      <c r="K41" s="21">
        <f t="shared" si="5"/>
        <v>0</v>
      </c>
      <c r="L41" s="21">
        <f t="shared" si="5"/>
        <v>0</v>
      </c>
      <c r="M41" s="21">
        <f t="shared" ref="M41" si="6">M38+M37+M36</f>
        <v>0</v>
      </c>
      <c r="N41" s="21">
        <f>N38+N37+N36</f>
        <v>1183075</v>
      </c>
      <c r="O41" s="21">
        <f>O38+O37+O36</f>
        <v>2692483</v>
      </c>
      <c r="P41" s="16">
        <f>O41/O$39</f>
        <v>8.9371924833305375E-2</v>
      </c>
      <c r="Q41" s="16" t="s">
        <v>50</v>
      </c>
      <c r="R41" s="7"/>
      <c r="S41" s="7" t="s">
        <v>51</v>
      </c>
      <c r="T41" s="19">
        <f>O33/1000</f>
        <v>762.23599999999999</v>
      </c>
      <c r="U41" s="14">
        <f>P33</f>
        <v>2.5300994842767568E-2</v>
      </c>
    </row>
    <row r="42" spans="1:48" ht="16" x14ac:dyDescent="0.2">
      <c r="A42" s="22" t="s">
        <v>52</v>
      </c>
      <c r="B42" s="23">
        <f>B25</f>
        <v>42900</v>
      </c>
      <c r="C42" s="23">
        <f>C39+C23+C10</f>
        <v>4300178.5</v>
      </c>
      <c r="D42" s="23">
        <f t="shared" ref="D42:K42" si="7">D39+D23+D10</f>
        <v>9486000</v>
      </c>
      <c r="E42" s="23">
        <f t="shared" si="7"/>
        <v>124522</v>
      </c>
      <c r="F42" s="23">
        <f t="shared" si="7"/>
        <v>285141</v>
      </c>
      <c r="G42" s="23">
        <f t="shared" si="7"/>
        <v>2722195</v>
      </c>
      <c r="H42" s="23">
        <f t="shared" si="7"/>
        <v>2949</v>
      </c>
      <c r="I42" s="23">
        <f t="shared" si="7"/>
        <v>4791112</v>
      </c>
      <c r="J42" s="23">
        <f t="shared" si="7"/>
        <v>146371</v>
      </c>
      <c r="K42" s="23">
        <f t="shared" si="7"/>
        <v>464000</v>
      </c>
      <c r="L42" s="23">
        <f>L39+L10</f>
        <v>208763</v>
      </c>
      <c r="M42" s="23">
        <f t="shared" ref="M42" si="8">M39+M23+M10</f>
        <v>48267</v>
      </c>
      <c r="N42" s="23">
        <f>N39+N23-B6+N45</f>
        <v>7076105.2800000003</v>
      </c>
      <c r="O42" s="24">
        <f>SUM(B42:N42)</f>
        <v>29698503.780000001</v>
      </c>
      <c r="P42" s="7"/>
      <c r="Q42" s="7"/>
      <c r="R42" s="7"/>
      <c r="S42" s="7" t="s">
        <v>33</v>
      </c>
      <c r="T42" s="19">
        <f>O31/1000</f>
        <v>116.113</v>
      </c>
      <c r="U42" s="14">
        <f>P31</f>
        <v>3.8541533254507405E-3</v>
      </c>
    </row>
    <row r="43" spans="1:48" ht="16" x14ac:dyDescent="0.2">
      <c r="A43" s="22" t="s">
        <v>53</v>
      </c>
      <c r="B43" s="16">
        <f t="shared" ref="B43:N43" si="9">B42/$O42</f>
        <v>1.4445172160117488E-3</v>
      </c>
      <c r="C43" s="16">
        <f t="shared" si="9"/>
        <v>0.14479444930474542</v>
      </c>
      <c r="D43" s="16">
        <f t="shared" si="9"/>
        <v>0.31941003056147899</v>
      </c>
      <c r="E43" s="16">
        <f t="shared" si="9"/>
        <v>4.1928711601914911E-3</v>
      </c>
      <c r="F43" s="16">
        <f t="shared" si="9"/>
        <v>9.6011907573614469E-3</v>
      </c>
      <c r="G43" s="16">
        <f t="shared" si="9"/>
        <v>9.166101498464109E-2</v>
      </c>
      <c r="H43" s="16">
        <f t="shared" si="9"/>
        <v>9.9297931702066363E-5</v>
      </c>
      <c r="I43" s="16">
        <f t="shared" si="9"/>
        <v>0.16132502955339117</v>
      </c>
      <c r="J43" s="16">
        <f t="shared" si="9"/>
        <v>4.9285647884581745E-3</v>
      </c>
      <c r="K43" s="16">
        <f t="shared" si="9"/>
        <v>1.5623682709311222E-2</v>
      </c>
      <c r="L43" s="16">
        <f t="shared" si="9"/>
        <v>7.0294113651809022E-3</v>
      </c>
      <c r="M43" s="16">
        <f t="shared" si="9"/>
        <v>1.6252333907981137E-3</v>
      </c>
      <c r="N43" s="16">
        <f t="shared" si="9"/>
        <v>0.23826470627672813</v>
      </c>
      <c r="O43" s="16">
        <f>SUM(B43:N43)</f>
        <v>1</v>
      </c>
      <c r="P43" s="7"/>
      <c r="Q43" s="7"/>
      <c r="R43" s="7"/>
      <c r="S43" s="7" t="s">
        <v>54</v>
      </c>
      <c r="T43" s="19">
        <f>O32/1000</f>
        <v>21292.816500000001</v>
      </c>
      <c r="U43" s="15">
        <f>P32</f>
        <v>0.7067751201130571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3683.1260000000002</v>
      </c>
      <c r="U44" s="15">
        <f>P34</f>
        <v>0.12225446178252293</v>
      </c>
    </row>
    <row r="45" spans="1:48" ht="16" x14ac:dyDescent="0.2">
      <c r="A45" s="6" t="s">
        <v>56</v>
      </c>
      <c r="B45" s="6">
        <f>B23-B39</f>
        <v>290902</v>
      </c>
      <c r="C45" s="6"/>
      <c r="D45" s="6"/>
      <c r="E45" s="6"/>
      <c r="F45" s="6"/>
      <c r="G45" s="6"/>
      <c r="H45" s="6"/>
      <c r="I45" s="6"/>
      <c r="J45" s="6"/>
      <c r="K45" s="6"/>
      <c r="L45" s="91"/>
      <c r="M45" s="6"/>
      <c r="N45" s="25">
        <f>N39*0.08</f>
        <v>559682.07999999996</v>
      </c>
      <c r="O45" s="24">
        <f>B45+N45</f>
        <v>850584.08</v>
      </c>
      <c r="P45" s="7"/>
      <c r="Q45" s="7"/>
      <c r="R45" s="7"/>
      <c r="S45" s="7" t="s">
        <v>57</v>
      </c>
      <c r="T45" s="19">
        <f>SUM(T39:T44)</f>
        <v>30126.720499999999</v>
      </c>
      <c r="U45" s="14">
        <f>SUM(U39:U44)</f>
        <v>1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9" t="s">
        <v>83</v>
      </c>
      <c r="N47" s="9">
        <f>B10-N23-N39-N45</f>
        <v>9689552.7200000007</v>
      </c>
      <c r="O47" s="37"/>
      <c r="P47" s="9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7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47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9"/>
      <c r="C49" s="27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9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9"/>
      <c r="C52" s="2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9"/>
      <c r="C53" s="27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26"/>
      <c r="C55" s="26"/>
      <c r="D55" s="26"/>
      <c r="E55" s="27"/>
      <c r="F55" s="27"/>
      <c r="G55" s="27"/>
      <c r="H55" s="27"/>
      <c r="I55" s="27"/>
      <c r="J55" s="27"/>
      <c r="K55" s="27"/>
      <c r="L55" s="27"/>
      <c r="M55" s="27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7"/>
      <c r="F56" s="27"/>
      <c r="G56" s="27"/>
      <c r="H56" s="27"/>
      <c r="I56" s="6"/>
      <c r="J56" s="27"/>
      <c r="K56" s="27"/>
      <c r="L56" s="27"/>
      <c r="M56" s="27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6"/>
      <c r="G57" s="26"/>
      <c r="H57" s="28"/>
      <c r="I57" s="9"/>
      <c r="J57" s="26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7"/>
      <c r="G58" s="26"/>
      <c r="H58" s="28"/>
      <c r="I58" s="9"/>
      <c r="J58" s="26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6"/>
      <c r="G59" s="26"/>
      <c r="H59" s="28"/>
      <c r="I59" s="9"/>
      <c r="J59" s="26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6"/>
      <c r="G60" s="26"/>
      <c r="H60" s="28"/>
      <c r="I60" s="9"/>
      <c r="J60" s="26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26"/>
      <c r="G61" s="26"/>
      <c r="H61" s="7"/>
      <c r="I61" s="9"/>
      <c r="J61" s="26"/>
      <c r="K61" s="6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26"/>
      <c r="G62" s="26"/>
      <c r="H62" s="7"/>
      <c r="I62" s="9"/>
      <c r="J62" s="26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7"/>
      <c r="D65" s="6"/>
      <c r="E65" s="42"/>
      <c r="F65" s="42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43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D68" s="11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22"/>
      <c r="D70" s="22"/>
      <c r="E70" s="6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  <row r="71" spans="1:21" x14ac:dyDescent="0.2">
      <c r="C71" s="41"/>
      <c r="D71" s="41"/>
      <c r="E71" s="6"/>
    </row>
    <row r="72" spans="1:21" x14ac:dyDescent="0.2">
      <c r="E72" s="6"/>
    </row>
    <row r="73" spans="1:21" x14ac:dyDescent="0.2">
      <c r="E73" s="6"/>
    </row>
    <row r="74" spans="1:21" x14ac:dyDescent="0.2">
      <c r="D74" s="11"/>
      <c r="E74" s="11"/>
      <c r="F74" s="11"/>
    </row>
  </sheetData>
  <conditionalFormatting sqref="B12:O12">
    <cfRule type="colorScale" priority="8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O25">
    <cfRule type="colorScale" priority="7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C25:N25">
    <cfRule type="colorScale" priority="6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48:O48">
    <cfRule type="colorScale" priority="5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6:R7">
    <cfRule type="colorScale" priority="2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51">
    <cfRule type="colorScale" priority="1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 enableFormatConditionsCalculation="0"/>
  <dimension ref="A1:AV70"/>
  <sheetViews>
    <sheetView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70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81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57">
        <v>10000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55"/>
      <c r="U9" s="55"/>
      <c r="V9" s="49"/>
      <c r="W9" s="49"/>
      <c r="X9" s="49"/>
      <c r="Y9" s="55"/>
      <c r="Z9" s="49"/>
      <c r="AA9" s="49"/>
      <c r="AB9" s="49"/>
      <c r="AC9" s="49"/>
      <c r="AD9" s="49"/>
      <c r="AE9" s="49"/>
      <c r="AF9" s="49"/>
      <c r="AG9" s="55"/>
      <c r="AH9" s="40"/>
      <c r="AI9" s="40"/>
    </row>
    <row r="10" spans="1:35" ht="16" x14ac:dyDescent="0.2">
      <c r="A10" s="8" t="s">
        <v>15</v>
      </c>
      <c r="B10" s="57">
        <f>B6+B4</f>
        <v>10081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55"/>
      <c r="U10" s="55"/>
      <c r="V10" s="49"/>
      <c r="W10" s="49"/>
      <c r="X10" s="49"/>
      <c r="Y10" s="55"/>
      <c r="Z10" s="49"/>
      <c r="AA10" s="49"/>
      <c r="AB10" s="49"/>
      <c r="AC10" s="49"/>
      <c r="AD10" s="49"/>
      <c r="AE10" s="49"/>
      <c r="AF10" s="49"/>
      <c r="AG10" s="55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57">
        <f>54300+14100</f>
        <v>68400</v>
      </c>
      <c r="C17" s="57">
        <v>900</v>
      </c>
      <c r="D17" s="49">
        <v>0</v>
      </c>
      <c r="E17" s="49">
        <v>0</v>
      </c>
      <c r="F17" s="49">
        <v>0</v>
      </c>
      <c r="G17" s="57">
        <f>72200+16100</f>
        <v>88300</v>
      </c>
      <c r="H17" s="49">
        <v>0</v>
      </c>
      <c r="I17" s="49"/>
      <c r="J17" s="49"/>
      <c r="K17" s="49"/>
      <c r="L17" s="49"/>
      <c r="M17" s="49"/>
      <c r="N17" s="49"/>
      <c r="O17" s="57">
        <f>SUM(C17:H17)</f>
        <v>89200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55">
        <v>0</v>
      </c>
      <c r="C18" s="55">
        <v>0</v>
      </c>
      <c r="D18" s="49">
        <v>0</v>
      </c>
      <c r="E18" s="49">
        <v>0</v>
      </c>
      <c r="F18" s="49">
        <v>0</v>
      </c>
      <c r="G18" s="55">
        <v>0</v>
      </c>
      <c r="H18" s="49">
        <v>0</v>
      </c>
      <c r="I18" s="49"/>
      <c r="J18" s="49"/>
      <c r="K18" s="49"/>
      <c r="L18" s="49"/>
      <c r="M18" s="49"/>
      <c r="N18" s="49"/>
      <c r="O18" s="55">
        <v>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345.66611999999998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106.22311999999999</v>
      </c>
      <c r="U22" s="14">
        <f>N43</f>
        <v>0.30729977239308265</v>
      </c>
    </row>
    <row r="23" spans="1:21" ht="16" x14ac:dyDescent="0.2">
      <c r="A23" s="8" t="s">
        <v>15</v>
      </c>
      <c r="B23" s="57">
        <f>54300+14100</f>
        <v>68400</v>
      </c>
      <c r="C23" s="57">
        <v>900</v>
      </c>
      <c r="D23" s="49">
        <v>0</v>
      </c>
      <c r="E23" s="49">
        <v>0</v>
      </c>
      <c r="F23" s="49">
        <v>0</v>
      </c>
      <c r="G23" s="57">
        <f>72200+16100</f>
        <v>88300</v>
      </c>
      <c r="H23" s="49">
        <v>0</v>
      </c>
      <c r="I23" s="49"/>
      <c r="J23" s="49"/>
      <c r="K23" s="49"/>
      <c r="L23" s="49"/>
      <c r="M23" s="49"/>
      <c r="N23" s="49"/>
      <c r="O23" s="57">
        <f>SUM(C23:H23)</f>
        <v>89200</v>
      </c>
      <c r="P23" s="39"/>
      <c r="Q23" s="3"/>
      <c r="R23" s="3"/>
      <c r="S23" s="44" t="s">
        <v>59</v>
      </c>
      <c r="T23" s="13">
        <f>G42/1000</f>
        <v>115.958</v>
      </c>
      <c r="U23" s="15">
        <f>G43</f>
        <v>0.33546243988274005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0</v>
      </c>
      <c r="U24" s="14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9.4920000000000009</v>
      </c>
      <c r="U25" s="14">
        <f>F43</f>
        <v>2.7460024141214651E-2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1901</v>
      </c>
      <c r="D31" s="49">
        <v>0</v>
      </c>
      <c r="E31" s="49">
        <v>0</v>
      </c>
      <c r="F31" s="49">
        <v>197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3452</v>
      </c>
      <c r="O31" s="49">
        <v>5550</v>
      </c>
      <c r="P31" s="16">
        <f>O31/$O$39</f>
        <v>1.7427784598862642E-2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0</v>
      </c>
      <c r="C32" s="61">
        <v>1158</v>
      </c>
      <c r="D32" s="49">
        <v>0</v>
      </c>
      <c r="E32" s="49">
        <v>0</v>
      </c>
      <c r="F32" s="49">
        <v>0</v>
      </c>
      <c r="G32" s="61">
        <v>1158</v>
      </c>
      <c r="H32" s="49">
        <v>0</v>
      </c>
      <c r="I32" s="49"/>
      <c r="J32" s="49"/>
      <c r="K32" s="49"/>
      <c r="L32" s="49"/>
      <c r="M32" s="40"/>
      <c r="N32" s="61">
        <v>23472</v>
      </c>
      <c r="O32" s="61">
        <f>25788</f>
        <v>25788</v>
      </c>
      <c r="P32" s="16">
        <f t="shared" ref="P32:P35" si="0">O32/$O$39</f>
        <v>8.0977965628012571E-2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61">
        <v>10921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10530</v>
      </c>
      <c r="O33" s="61">
        <f>SUM(B33:N33)</f>
        <v>21451</v>
      </c>
      <c r="P33" s="16">
        <f t="shared" si="0"/>
        <v>6.7359172509946399E-2</v>
      </c>
      <c r="Q33" s="17" t="s">
        <v>38</v>
      </c>
      <c r="R33" s="3"/>
      <c r="S33" s="44" t="s">
        <v>34</v>
      </c>
      <c r="T33" s="13">
        <f>C42/1000</f>
        <v>113.99299999999999</v>
      </c>
      <c r="U33" s="15">
        <f>C43</f>
        <v>0.32977776358296268</v>
      </c>
    </row>
    <row r="34" spans="1:48" ht="16" x14ac:dyDescent="0.2">
      <c r="A34" s="8" t="s">
        <v>39</v>
      </c>
      <c r="B34" s="49">
        <v>0</v>
      </c>
      <c r="C34" s="49">
        <v>105751</v>
      </c>
      <c r="D34" s="49">
        <v>0</v>
      </c>
      <c r="E34" s="49">
        <v>0</v>
      </c>
      <c r="F34" s="49">
        <v>9296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1261</v>
      </c>
      <c r="O34" s="49">
        <v>116307</v>
      </c>
      <c r="P34" s="16">
        <f t="shared" si="0"/>
        <v>0.3652204222234085</v>
      </c>
      <c r="Q34" s="17" t="s">
        <v>40</v>
      </c>
      <c r="R34" s="3"/>
      <c r="S34" s="3"/>
      <c r="T34" s="13">
        <f>SUM(T22:T33)</f>
        <v>345.66611999999998</v>
      </c>
      <c r="U34" s="14">
        <f>SUM(U22:U33)</f>
        <v>1</v>
      </c>
    </row>
    <row r="35" spans="1:48" ht="16" x14ac:dyDescent="0.2">
      <c r="A35" s="8" t="s">
        <v>41</v>
      </c>
      <c r="B35" s="87">
        <f>16979-754</f>
        <v>16225</v>
      </c>
      <c r="C35" s="49">
        <v>4249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22329</v>
      </c>
      <c r="O35" s="60">
        <f>SUM(B35:N35)</f>
        <v>42803</v>
      </c>
      <c r="P35" s="16">
        <f t="shared" si="0"/>
        <v>0.13440747102434553</v>
      </c>
      <c r="Q35" s="17" t="s">
        <v>42</v>
      </c>
      <c r="R35" s="17"/>
    </row>
    <row r="36" spans="1:48" ht="16" x14ac:dyDescent="0.2">
      <c r="A36" s="8" t="s">
        <v>43</v>
      </c>
      <c r="B36" s="64">
        <f>O36-N36-G36-C36</f>
        <v>19754</v>
      </c>
      <c r="C36" s="49">
        <v>34</v>
      </c>
      <c r="D36" s="49">
        <v>0</v>
      </c>
      <c r="E36" s="49">
        <v>0</v>
      </c>
      <c r="F36" s="49">
        <v>0</v>
      </c>
      <c r="G36" s="61">
        <v>26500</v>
      </c>
      <c r="H36" s="49">
        <v>0</v>
      </c>
      <c r="I36" s="49"/>
      <c r="J36" s="49"/>
      <c r="K36" s="49"/>
      <c r="L36" s="49"/>
      <c r="M36" s="40"/>
      <c r="N36" s="49">
        <v>39763</v>
      </c>
      <c r="O36" s="49">
        <v>86051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59">
        <v>13700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2980</v>
      </c>
      <c r="O37" s="82">
        <f>SUM(B37:N37)</f>
        <v>16680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3827</v>
      </c>
      <c r="O38" s="49">
        <v>3827</v>
      </c>
      <c r="P38" s="17">
        <f>SUM(P31:P35)</f>
        <v>0.66539281598457567</v>
      </c>
      <c r="Q38" s="17"/>
      <c r="R38" s="3"/>
      <c r="S38" s="7" t="s">
        <v>46</v>
      </c>
      <c r="T38" s="18">
        <f>O45/1000</f>
        <v>16.409120000000001</v>
      </c>
      <c r="U38" s="7"/>
    </row>
    <row r="39" spans="1:48" ht="16" x14ac:dyDescent="0.2">
      <c r="A39" s="8" t="s">
        <v>15</v>
      </c>
      <c r="B39" s="57">
        <v>60600</v>
      </c>
      <c r="C39" s="61">
        <f>SUM(C31:C38)</f>
        <v>113093</v>
      </c>
      <c r="D39" s="49">
        <v>0</v>
      </c>
      <c r="E39" s="49">
        <v>0</v>
      </c>
      <c r="F39" s="49">
        <v>9492</v>
      </c>
      <c r="G39" s="61">
        <f>O39-N39-C39-B39-F39</f>
        <v>27658</v>
      </c>
      <c r="H39" s="49">
        <v>0</v>
      </c>
      <c r="I39" s="49"/>
      <c r="J39" s="49"/>
      <c r="K39" s="49"/>
      <c r="L39" s="49"/>
      <c r="M39" s="40"/>
      <c r="N39" s="61">
        <f>SUM(N31:N38)</f>
        <v>107614</v>
      </c>
      <c r="O39" s="60">
        <f>SUM(O31:O38)</f>
        <v>318457</v>
      </c>
      <c r="P39" s="3"/>
      <c r="Q39" s="3"/>
      <c r="R39" s="3"/>
      <c r="S39" s="7" t="s">
        <v>47</v>
      </c>
      <c r="T39" s="19">
        <f>O41/1000</f>
        <v>106.55800000000001</v>
      </c>
      <c r="U39" s="14">
        <f>P41</f>
        <v>0.33460718401542439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86.051000000000002</v>
      </c>
      <c r="U40" s="15">
        <f>P35</f>
        <v>0.13440747102434553</v>
      </c>
    </row>
    <row r="41" spans="1:48" ht="16" x14ac:dyDescent="0.2">
      <c r="A41" s="20" t="s">
        <v>49</v>
      </c>
      <c r="B41" s="21">
        <f>B38+B37+B36</f>
        <v>33454</v>
      </c>
      <c r="C41" s="21">
        <f t="shared" ref="C41:O41" si="1">C38+C37+C36</f>
        <v>34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26500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46570</v>
      </c>
      <c r="O41" s="21">
        <f t="shared" si="1"/>
        <v>106558</v>
      </c>
      <c r="P41" s="16">
        <f>O41/$O$39</f>
        <v>0.33460718401542439</v>
      </c>
      <c r="Q41" s="16" t="s">
        <v>50</v>
      </c>
      <c r="R41" s="7"/>
      <c r="S41" s="7" t="s">
        <v>51</v>
      </c>
      <c r="T41" s="19">
        <f>O33/1000</f>
        <v>21.451000000000001</v>
      </c>
      <c r="U41" s="14">
        <f>P33</f>
        <v>6.7359172509946399E-2</v>
      </c>
    </row>
    <row r="42" spans="1:48" ht="16" x14ac:dyDescent="0.2">
      <c r="A42" s="22" t="s">
        <v>52</v>
      </c>
      <c r="B42" s="21"/>
      <c r="C42" s="23">
        <f>C10+C23+C39</f>
        <v>113993</v>
      </c>
      <c r="D42" s="23">
        <f t="shared" ref="D42:M42" si="2">D39+D23+D10</f>
        <v>0</v>
      </c>
      <c r="E42" s="23">
        <f t="shared" si="2"/>
        <v>0</v>
      </c>
      <c r="F42" s="23">
        <f t="shared" si="2"/>
        <v>9492</v>
      </c>
      <c r="G42" s="23">
        <f t="shared" si="2"/>
        <v>115958</v>
      </c>
      <c r="H42" s="23">
        <f t="shared" si="2"/>
        <v>0</v>
      </c>
      <c r="I42" s="23">
        <f t="shared" si="2"/>
        <v>0</v>
      </c>
      <c r="J42" s="23">
        <f t="shared" si="2"/>
        <v>0</v>
      </c>
      <c r="K42" s="23">
        <f t="shared" si="2"/>
        <v>0</v>
      </c>
      <c r="L42" s="23">
        <f t="shared" si="2"/>
        <v>0</v>
      </c>
      <c r="M42" s="23">
        <f t="shared" si="2"/>
        <v>0</v>
      </c>
      <c r="N42" s="23">
        <f>N39+N23-B6+N45</f>
        <v>106223.12</v>
      </c>
      <c r="O42" s="24">
        <f>SUM(C42:N42)</f>
        <v>345666.12</v>
      </c>
      <c r="P42" s="7"/>
      <c r="Q42" s="7"/>
      <c r="R42" s="7"/>
      <c r="S42" s="7" t="s">
        <v>33</v>
      </c>
      <c r="T42" s="19">
        <f>O31/1000</f>
        <v>5.55</v>
      </c>
      <c r="U42" s="14">
        <f>P31</f>
        <v>1.7427784598862642E-2</v>
      </c>
    </row>
    <row r="43" spans="1:48" ht="16" x14ac:dyDescent="0.2">
      <c r="A43" s="22" t="s">
        <v>53</v>
      </c>
      <c r="B43" s="21"/>
      <c r="C43" s="16">
        <f t="shared" ref="C43:N43" si="3">C42/$O42</f>
        <v>0.32977776358296268</v>
      </c>
      <c r="D43" s="16">
        <f t="shared" si="3"/>
        <v>0</v>
      </c>
      <c r="E43" s="16">
        <f t="shared" si="3"/>
        <v>0</v>
      </c>
      <c r="F43" s="16">
        <f t="shared" si="3"/>
        <v>2.7460024141214651E-2</v>
      </c>
      <c r="G43" s="16">
        <f t="shared" si="3"/>
        <v>0.33546243988274005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0.30729977239308265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25.788</v>
      </c>
      <c r="U43" s="15">
        <f>P32</f>
        <v>8.0977965628012571E-2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116.307</v>
      </c>
      <c r="U44" s="15">
        <f>P34</f>
        <v>0.3652204222234085</v>
      </c>
    </row>
    <row r="45" spans="1:48" ht="16" x14ac:dyDescent="0.2">
      <c r="A45" s="6" t="s">
        <v>56</v>
      </c>
      <c r="B45" s="6">
        <f>B23-B39</f>
        <v>7800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8609.1200000000008</v>
      </c>
      <c r="O45" s="24">
        <f>B45+N45</f>
        <v>16409.120000000003</v>
      </c>
      <c r="P45" s="7"/>
      <c r="Q45" s="7"/>
      <c r="R45" s="7"/>
      <c r="S45" s="7" t="s">
        <v>57</v>
      </c>
      <c r="T45" s="19">
        <f>SUM(T39:T44)</f>
        <v>361.70500000000004</v>
      </c>
      <c r="U45" s="14">
        <f>SUM(U39:U44)</f>
        <v>1</v>
      </c>
    </row>
    <row r="46" spans="1:48" ht="16" x14ac:dyDescent="0.2">
      <c r="A46" s="6"/>
      <c r="B46" s="56">
        <f>B45/B23</f>
        <v>0.11403508771929824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9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6"/>
      <c r="E48" s="26"/>
      <c r="F48" s="27"/>
      <c r="G48" s="27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7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7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7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7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6"/>
      <c r="E55" s="26"/>
      <c r="F55" s="27"/>
      <c r="G55" s="27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7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6"/>
      <c r="F56" s="27"/>
      <c r="G56" s="27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7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 enableFormatConditionsCalculation="0"/>
  <dimension ref="A1:AI68"/>
  <sheetViews>
    <sheetView topLeftCell="A16" workbookViewId="0">
      <selection activeCell="H48" sqref="H48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10.83203125" style="2" customWidth="1"/>
    <col min="13" max="13" width="10.33203125" style="2" customWidth="1"/>
    <col min="14" max="14" width="14.33203125" style="2" customWidth="1"/>
    <col min="15" max="16" width="10.6640625" style="2" customWidth="1"/>
    <col min="17" max="17" width="8.83203125" style="2"/>
    <col min="18" max="18" width="10.5" style="2" customWidth="1"/>
    <col min="19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71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162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57">
        <v>412000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57">
        <f>B6+B4</f>
        <v>412162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 t="s">
        <v>76</v>
      </c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57">
        <v>716000</v>
      </c>
      <c r="C17" s="57">
        <v>51000</v>
      </c>
      <c r="D17" s="49">
        <v>0</v>
      </c>
      <c r="E17" s="58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57">
        <v>1571000</v>
      </c>
      <c r="M17" s="49"/>
      <c r="N17" s="49"/>
      <c r="O17" s="57">
        <f>SUM(C17:N17)</f>
        <v>1622000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57">
        <v>123900</v>
      </c>
      <c r="C18" s="49">
        <v>10215</v>
      </c>
      <c r="D18" s="49">
        <v>0</v>
      </c>
      <c r="E18" s="49">
        <v>73569</v>
      </c>
      <c r="F18" s="49">
        <v>0</v>
      </c>
      <c r="G18" s="57">
        <v>44200</v>
      </c>
      <c r="H18" s="49">
        <v>0</v>
      </c>
      <c r="I18" s="49"/>
      <c r="J18" s="49"/>
      <c r="K18" s="49"/>
      <c r="L18" s="49"/>
      <c r="M18" s="49"/>
      <c r="N18" s="57">
        <v>8100</v>
      </c>
      <c r="O18" s="57">
        <f>SUM(C18:N18)</f>
        <v>136084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57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57"/>
      <c r="O19" s="49">
        <f t="shared" ref="O19:O22" si="0">SUM(C19:H19)</f>
        <v>0</v>
      </c>
      <c r="P19" s="3"/>
      <c r="Q19" s="3"/>
      <c r="R19" s="3"/>
      <c r="S19" s="3" t="s">
        <v>25</v>
      </c>
      <c r="T19" s="13">
        <f>O42/1000</f>
        <v>10484.82756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f t="shared" si="0"/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f t="shared" si="0"/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f t="shared" si="0"/>
        <v>0</v>
      </c>
      <c r="P22" s="3"/>
      <c r="Q22" s="3"/>
      <c r="R22" s="3"/>
      <c r="S22" s="44" t="s">
        <v>9</v>
      </c>
      <c r="T22" s="13">
        <f>N42/1000</f>
        <v>803.25056000000006</v>
      </c>
      <c r="U22" s="14">
        <f>N43</f>
        <v>7.6610755437164293E-2</v>
      </c>
    </row>
    <row r="23" spans="1:21" ht="16" x14ac:dyDescent="0.2">
      <c r="A23" s="8" t="s">
        <v>15</v>
      </c>
      <c r="B23" s="57">
        <f>SUM(B17:B22)</f>
        <v>839900</v>
      </c>
      <c r="C23" s="57">
        <f t="shared" ref="C23:H23" si="1">SUM(C17:C22)</f>
        <v>61215</v>
      </c>
      <c r="D23" s="49">
        <f t="shared" si="1"/>
        <v>0</v>
      </c>
      <c r="E23" s="58">
        <f t="shared" si="1"/>
        <v>73569</v>
      </c>
      <c r="F23" s="49">
        <f t="shared" si="1"/>
        <v>0</v>
      </c>
      <c r="G23" s="57">
        <f t="shared" si="1"/>
        <v>44200</v>
      </c>
      <c r="H23" s="49">
        <f t="shared" si="1"/>
        <v>0</v>
      </c>
      <c r="I23" s="49"/>
      <c r="J23" s="49"/>
      <c r="K23" s="49"/>
      <c r="L23" s="57">
        <f>L17</f>
        <v>1571000</v>
      </c>
      <c r="M23" s="49"/>
      <c r="N23" s="57">
        <f>N18</f>
        <v>8100</v>
      </c>
      <c r="O23" s="57">
        <f>SUM(O16:O21)</f>
        <v>1758084</v>
      </c>
      <c r="P23" s="39"/>
      <c r="Q23" s="3"/>
      <c r="R23" s="3"/>
      <c r="S23" s="44" t="s">
        <v>59</v>
      </c>
      <c r="T23" s="13">
        <f>G42/1000</f>
        <v>147.87899999999999</v>
      </c>
      <c r="U23" s="15">
        <f>G43</f>
        <v>1.4104094621848029E-2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0</v>
      </c>
      <c r="U24" s="14">
        <f>J43</f>
        <v>0</v>
      </c>
    </row>
    <row r="25" spans="1:21" ht="16" x14ac:dyDescent="0.2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75.891999999999996</v>
      </c>
      <c r="U25" s="14">
        <f>F43</f>
        <v>7.2382687808362958E-3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86.869</v>
      </c>
      <c r="U26" s="14">
        <f>E43</f>
        <v>8.2852101765992225E-3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8330</v>
      </c>
      <c r="U27" s="50">
        <f>D43</f>
        <v>0.79448135435047629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>
        <f>K29</f>
        <v>0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/>
      <c r="L29" s="6" t="s">
        <v>76</v>
      </c>
      <c r="M29" s="6"/>
      <c r="N29" s="6" t="s">
        <v>9</v>
      </c>
      <c r="O29" s="6" t="s">
        <v>31</v>
      </c>
      <c r="P29" s="3"/>
      <c r="Q29" s="3"/>
      <c r="R29" s="71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71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7375</v>
      </c>
      <c r="D31" s="49">
        <v>0</v>
      </c>
      <c r="E31" s="49">
        <v>0</v>
      </c>
      <c r="F31" s="49">
        <v>702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22376</v>
      </c>
      <c r="O31" s="49">
        <v>30453</v>
      </c>
      <c r="P31" s="16">
        <f>O31/$O$39</f>
        <v>2.6817449544570965E-3</v>
      </c>
      <c r="Q31" s="17" t="s">
        <v>33</v>
      </c>
      <c r="R31" s="71"/>
      <c r="S31" s="53" t="str">
        <f>L29</f>
        <v>Koksgas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66335</v>
      </c>
      <c r="C32" s="49">
        <v>17039</v>
      </c>
      <c r="D32" s="70">
        <v>8330000</v>
      </c>
      <c r="E32" s="68">
        <v>13300</v>
      </c>
      <c r="F32" s="49">
        <v>0</v>
      </c>
      <c r="G32" s="61">
        <v>63285</v>
      </c>
      <c r="H32" s="49">
        <v>0</v>
      </c>
      <c r="I32" s="49"/>
      <c r="J32" s="49"/>
      <c r="K32" s="49"/>
      <c r="L32" s="70">
        <v>0</v>
      </c>
      <c r="M32" s="49"/>
      <c r="N32" s="61">
        <v>300000</v>
      </c>
      <c r="O32" s="60">
        <f>SUM(B32:N32)</f>
        <v>8789959</v>
      </c>
      <c r="P32" s="16">
        <f t="shared" ref="P32:P35" si="2">O32/$O$39</f>
        <v>0.77405931100826675</v>
      </c>
      <c r="Q32" s="17" t="s">
        <v>36</v>
      </c>
      <c r="R32" s="72"/>
      <c r="S32" s="53">
        <f>M29</f>
        <v>0</v>
      </c>
      <c r="T32" s="54">
        <f>M42/1000</f>
        <v>0</v>
      </c>
      <c r="U32" s="50">
        <f>M43</f>
        <v>0</v>
      </c>
    </row>
    <row r="33" spans="1:21" ht="16" x14ac:dyDescent="0.2">
      <c r="A33" s="8" t="s">
        <v>37</v>
      </c>
      <c r="B33" s="49">
        <v>99894</v>
      </c>
      <c r="C33" s="49">
        <v>5154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141453</v>
      </c>
      <c r="O33" s="49">
        <v>246501</v>
      </c>
      <c r="P33" s="16">
        <f t="shared" si="2"/>
        <v>2.1707313335915305E-2</v>
      </c>
      <c r="Q33" s="17" t="s">
        <v>38</v>
      </c>
      <c r="R33" s="71"/>
      <c r="S33" s="44" t="s">
        <v>34</v>
      </c>
      <c r="T33" s="13">
        <f>C42/1000</f>
        <v>1040.9369999999999</v>
      </c>
      <c r="U33" s="15">
        <f>C43</f>
        <v>9.9280316633075835E-2</v>
      </c>
    </row>
    <row r="34" spans="1:21" ht="16" x14ac:dyDescent="0.2">
      <c r="A34" s="8" t="s">
        <v>39</v>
      </c>
      <c r="B34" s="49">
        <v>0</v>
      </c>
      <c r="C34" s="49">
        <v>844298</v>
      </c>
      <c r="D34" s="49">
        <v>0</v>
      </c>
      <c r="E34" s="49">
        <v>0</v>
      </c>
      <c r="F34" s="49">
        <v>75190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2783</v>
      </c>
      <c r="O34" s="49">
        <v>922271</v>
      </c>
      <c r="P34" s="16">
        <f t="shared" si="2"/>
        <v>8.12168128227794E-2</v>
      </c>
      <c r="Q34" s="17" t="s">
        <v>40</v>
      </c>
      <c r="R34" s="71"/>
      <c r="S34" s="3"/>
      <c r="T34" s="13">
        <f>SUM(T22:T33)</f>
        <v>10484.82756</v>
      </c>
      <c r="U34" s="14">
        <f>SUM(U22:U33)</f>
        <v>0.99999999999999989</v>
      </c>
    </row>
    <row r="35" spans="1:21" ht="16" x14ac:dyDescent="0.2">
      <c r="A35" s="8" t="s">
        <v>41</v>
      </c>
      <c r="B35" s="49">
        <v>130639</v>
      </c>
      <c r="C35" s="49">
        <v>105856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423994</v>
      </c>
      <c r="O35" s="49">
        <v>660489</v>
      </c>
      <c r="P35" s="16">
        <f t="shared" si="2"/>
        <v>5.8163827643398461E-2</v>
      </c>
      <c r="Q35" s="17" t="s">
        <v>42</v>
      </c>
      <c r="R35" s="17"/>
    </row>
    <row r="36" spans="1:21" ht="16" x14ac:dyDescent="0.2">
      <c r="A36" s="8" t="s">
        <v>43</v>
      </c>
      <c r="B36" s="49">
        <v>191898</v>
      </c>
      <c r="C36" s="49">
        <v>0</v>
      </c>
      <c r="D36" s="49">
        <v>0</v>
      </c>
      <c r="E36" s="49">
        <v>0</v>
      </c>
      <c r="F36" s="49">
        <v>0</v>
      </c>
      <c r="G36" s="49">
        <v>40394</v>
      </c>
      <c r="H36" s="49">
        <v>0</v>
      </c>
      <c r="I36" s="49"/>
      <c r="J36" s="49"/>
      <c r="K36" s="49"/>
      <c r="L36" s="49"/>
      <c r="M36" s="40"/>
      <c r="N36" s="49">
        <v>163348</v>
      </c>
      <c r="O36" s="49">
        <v>395640</v>
      </c>
      <c r="P36" s="17"/>
      <c r="Q36" s="17"/>
      <c r="R36" s="3"/>
      <c r="S36" s="7"/>
      <c r="T36" s="7"/>
      <c r="U36" s="7"/>
    </row>
    <row r="37" spans="1:21" ht="16" x14ac:dyDescent="0.2">
      <c r="A37" s="8" t="s">
        <v>44</v>
      </c>
      <c r="B37" s="49">
        <v>246575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41257</v>
      </c>
      <c r="O37" s="49">
        <v>287832</v>
      </c>
      <c r="P37" s="17"/>
      <c r="Q37" s="17"/>
      <c r="R37" s="3"/>
      <c r="S37" s="7"/>
      <c r="T37" s="7" t="s">
        <v>26</v>
      </c>
      <c r="U37" s="7" t="s">
        <v>27</v>
      </c>
    </row>
    <row r="38" spans="1:21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22521</v>
      </c>
      <c r="O38" s="49">
        <v>22521</v>
      </c>
      <c r="P38" s="17">
        <f>SUM(P31:P35)</f>
        <v>0.93782900976481698</v>
      </c>
      <c r="Q38" s="17"/>
      <c r="R38" s="3"/>
      <c r="S38" s="7" t="s">
        <v>46</v>
      </c>
      <c r="T38" s="18">
        <f>O45/1000</f>
        <v>193.97756000000001</v>
      </c>
      <c r="U38" s="7"/>
    </row>
    <row r="39" spans="1:21" ht="16" x14ac:dyDescent="0.2">
      <c r="A39" s="8" t="s">
        <v>15</v>
      </c>
      <c r="B39" s="49">
        <v>735341</v>
      </c>
      <c r="C39" s="49">
        <v>979722</v>
      </c>
      <c r="D39" s="70">
        <f>SUM(D31:D38)</f>
        <v>8330000</v>
      </c>
      <c r="E39" s="68">
        <f>E32</f>
        <v>13300</v>
      </c>
      <c r="F39" s="49">
        <v>75892</v>
      </c>
      <c r="G39" s="61">
        <f>SUM(G32:G38)</f>
        <v>103679</v>
      </c>
      <c r="H39" s="49">
        <v>0</v>
      </c>
      <c r="I39" s="49"/>
      <c r="J39" s="49"/>
      <c r="K39" s="49"/>
      <c r="L39" s="70">
        <f>L32</f>
        <v>0</v>
      </c>
      <c r="M39" s="40"/>
      <c r="N39" s="61">
        <f>SUM(N31:N38)</f>
        <v>1117732</v>
      </c>
      <c r="O39" s="60">
        <f>SUM(O31:O38)</f>
        <v>11355666</v>
      </c>
      <c r="P39" s="3"/>
      <c r="Q39" s="3"/>
      <c r="R39" s="3"/>
      <c r="S39" s="7" t="s">
        <v>47</v>
      </c>
      <c r="T39" s="19">
        <f>O41/1000</f>
        <v>705.99300000000005</v>
      </c>
      <c r="U39" s="14">
        <f>P41</f>
        <v>6.2170990235183035E-2</v>
      </c>
    </row>
    <row r="40" spans="1:2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395.64</v>
      </c>
      <c r="U40" s="15">
        <f>P35</f>
        <v>5.8163827643398461E-2</v>
      </c>
    </row>
    <row r="41" spans="1:21" ht="16" x14ac:dyDescent="0.2">
      <c r="A41" s="20" t="s">
        <v>49</v>
      </c>
      <c r="B41" s="21">
        <f>B38+B37+B36</f>
        <v>438473</v>
      </c>
      <c r="C41" s="21">
        <f t="shared" ref="C41:O41" si="3">C38+C37+C36</f>
        <v>0</v>
      </c>
      <c r="D41" s="21">
        <f t="shared" si="3"/>
        <v>0</v>
      </c>
      <c r="E41" s="21">
        <f t="shared" si="3"/>
        <v>0</v>
      </c>
      <c r="F41" s="21">
        <f t="shared" si="3"/>
        <v>0</v>
      </c>
      <c r="G41" s="21">
        <f t="shared" si="3"/>
        <v>40394</v>
      </c>
      <c r="H41" s="21">
        <f t="shared" si="3"/>
        <v>0</v>
      </c>
      <c r="I41" s="21">
        <f t="shared" si="3"/>
        <v>0</v>
      </c>
      <c r="J41" s="21">
        <f t="shared" si="3"/>
        <v>0</v>
      </c>
      <c r="K41" s="21">
        <f t="shared" si="3"/>
        <v>0</v>
      </c>
      <c r="L41" s="21">
        <f t="shared" si="3"/>
        <v>0</v>
      </c>
      <c r="M41" s="21">
        <f t="shared" si="3"/>
        <v>0</v>
      </c>
      <c r="N41" s="21">
        <f t="shared" si="3"/>
        <v>227126</v>
      </c>
      <c r="O41" s="21">
        <f t="shared" si="3"/>
        <v>705993</v>
      </c>
      <c r="P41" s="16">
        <f>O41/$O$39</f>
        <v>6.2170990235183035E-2</v>
      </c>
      <c r="Q41" s="16" t="s">
        <v>50</v>
      </c>
      <c r="R41" s="7"/>
      <c r="S41" s="7" t="s">
        <v>51</v>
      </c>
      <c r="T41" s="19">
        <f>O33/1000</f>
        <v>246.501</v>
      </c>
      <c r="U41" s="14">
        <f>P33</f>
        <v>2.1707313335915305E-2</v>
      </c>
    </row>
    <row r="42" spans="1:21" ht="16" x14ac:dyDescent="0.2">
      <c r="A42" s="22" t="s">
        <v>52</v>
      </c>
      <c r="B42" s="21"/>
      <c r="C42" s="23">
        <f>C10+C23+C39</f>
        <v>1040937</v>
      </c>
      <c r="D42" s="23">
        <f t="shared" ref="D42:M42" si="4">D39+D23+D10</f>
        <v>8330000</v>
      </c>
      <c r="E42" s="23">
        <f t="shared" si="4"/>
        <v>86869</v>
      </c>
      <c r="F42" s="23">
        <f t="shared" si="4"/>
        <v>75892</v>
      </c>
      <c r="G42" s="23">
        <f t="shared" si="4"/>
        <v>147879</v>
      </c>
      <c r="H42" s="23">
        <f t="shared" si="4"/>
        <v>0</v>
      </c>
      <c r="I42" s="23">
        <f t="shared" si="4"/>
        <v>0</v>
      </c>
      <c r="J42" s="23">
        <f t="shared" si="4"/>
        <v>0</v>
      </c>
      <c r="K42" s="23">
        <f t="shared" si="4"/>
        <v>0</v>
      </c>
      <c r="L42" s="23">
        <v>0</v>
      </c>
      <c r="M42" s="23">
        <f t="shared" si="4"/>
        <v>0</v>
      </c>
      <c r="N42" s="23">
        <f>N39+N23-B6+N45</f>
        <v>803250.56</v>
      </c>
      <c r="O42" s="24">
        <f>SUM(C42:N42)</f>
        <v>10484827.560000001</v>
      </c>
      <c r="P42" s="7"/>
      <c r="Q42" s="7"/>
      <c r="R42" s="7"/>
      <c r="S42" s="7" t="s">
        <v>33</v>
      </c>
      <c r="T42" s="19">
        <f>O31/1000</f>
        <v>30.452999999999999</v>
      </c>
      <c r="U42" s="14">
        <f>P31</f>
        <v>2.6817449544570965E-3</v>
      </c>
    </row>
    <row r="43" spans="1:21" ht="16" x14ac:dyDescent="0.2">
      <c r="A43" s="22" t="s">
        <v>53</v>
      </c>
      <c r="B43" s="21"/>
      <c r="C43" s="16">
        <f t="shared" ref="C43:N43" si="5">C42/$O42</f>
        <v>9.9280316633075835E-2</v>
      </c>
      <c r="D43" s="16">
        <f t="shared" si="5"/>
        <v>0.79448135435047629</v>
      </c>
      <c r="E43" s="16">
        <f t="shared" si="5"/>
        <v>8.2852101765992225E-3</v>
      </c>
      <c r="F43" s="16">
        <f t="shared" si="5"/>
        <v>7.2382687808362958E-3</v>
      </c>
      <c r="G43" s="16">
        <f t="shared" si="5"/>
        <v>1.4104094621848029E-2</v>
      </c>
      <c r="H43" s="16">
        <f t="shared" si="5"/>
        <v>0</v>
      </c>
      <c r="I43" s="16">
        <f t="shared" si="5"/>
        <v>0</v>
      </c>
      <c r="J43" s="16">
        <f t="shared" si="5"/>
        <v>0</v>
      </c>
      <c r="K43" s="16">
        <f t="shared" si="5"/>
        <v>0</v>
      </c>
      <c r="L43" s="16">
        <f t="shared" si="5"/>
        <v>0</v>
      </c>
      <c r="M43" s="16">
        <f t="shared" si="5"/>
        <v>0</v>
      </c>
      <c r="N43" s="16">
        <f t="shared" si="5"/>
        <v>7.6610755437164293E-2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8789.9590000000007</v>
      </c>
      <c r="U43" s="15">
        <f>P32</f>
        <v>0.77405931100826675</v>
      </c>
    </row>
    <row r="44" spans="1:2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922.27099999999996</v>
      </c>
      <c r="U44" s="15">
        <f>P34</f>
        <v>8.12168128227794E-2</v>
      </c>
    </row>
    <row r="45" spans="1:21" ht="16" x14ac:dyDescent="0.2">
      <c r="A45" s="6" t="s">
        <v>56</v>
      </c>
      <c r="B45" s="6">
        <f>B23-B39</f>
        <v>104559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89418.559999999998</v>
      </c>
      <c r="O45" s="24">
        <f>B45+N45</f>
        <v>193977.56</v>
      </c>
      <c r="P45" s="7"/>
      <c r="Q45" s="7"/>
      <c r="R45" s="7"/>
      <c r="S45" s="7" t="s">
        <v>57</v>
      </c>
      <c r="T45" s="19">
        <f>SUM(T39:T44)</f>
        <v>11090.817000000001</v>
      </c>
      <c r="U45" s="14">
        <f>SUM(U39:U44)</f>
        <v>1</v>
      </c>
    </row>
    <row r="46" spans="1:21" ht="16" x14ac:dyDescent="0.2">
      <c r="A46" s="6"/>
      <c r="B46" s="56">
        <f>B45/B23</f>
        <v>0.12448982021669246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21" ht="16" x14ac:dyDescent="0.2">
      <c r="A47" s="8"/>
      <c r="B47" s="57"/>
      <c r="C47" s="49"/>
      <c r="D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7"/>
      <c r="Q47" s="7"/>
      <c r="R47" s="7"/>
      <c r="S47" s="7"/>
      <c r="T47" s="7"/>
      <c r="U47" s="6"/>
    </row>
    <row r="48" spans="1:21" ht="16" x14ac:dyDescent="0.2">
      <c r="D48" s="49"/>
      <c r="G48" s="11"/>
      <c r="L48" s="11"/>
      <c r="P48" s="7"/>
      <c r="Q48" s="7"/>
      <c r="R48" s="7"/>
      <c r="S48" s="7"/>
      <c r="T48" s="33"/>
      <c r="U48" s="34"/>
    </row>
    <row r="49" spans="1:21" ht="16" x14ac:dyDescent="0.2">
      <c r="E49"/>
      <c r="Q49" s="29"/>
      <c r="R49" s="7"/>
      <c r="S49" s="7"/>
      <c r="T49" s="6"/>
      <c r="U49" s="30"/>
    </row>
    <row r="50" spans="1:21" s="74" customFormat="1" ht="16" x14ac:dyDescent="0.2">
      <c r="D50" s="92"/>
      <c r="E50" s="92"/>
      <c r="Q50" s="29"/>
      <c r="R50" s="7"/>
      <c r="S50" s="7"/>
      <c r="T50" s="6"/>
      <c r="U50" s="30"/>
    </row>
    <row r="51" spans="1:21" s="74" customFormat="1" ht="16" x14ac:dyDescent="0.2">
      <c r="D51" s="49"/>
      <c r="E51" s="49"/>
      <c r="F51" s="49"/>
      <c r="K51" s="11"/>
      <c r="Q51" s="29"/>
      <c r="R51" s="7"/>
      <c r="S51" s="7"/>
      <c r="T51" s="6"/>
      <c r="U51" s="30"/>
    </row>
    <row r="52" spans="1:21" s="74" customFormat="1" ht="16" x14ac:dyDescent="0.2">
      <c r="Q52" s="29"/>
      <c r="R52" s="7"/>
      <c r="S52" s="7"/>
      <c r="T52" s="6"/>
      <c r="U52" s="30"/>
    </row>
    <row r="53" spans="1:21" ht="16" x14ac:dyDescent="0.2">
      <c r="Q53" s="29"/>
      <c r="R53" s="7"/>
      <c r="S53" s="7"/>
      <c r="T53" s="6"/>
      <c r="U53" s="30"/>
    </row>
    <row r="54" spans="1:21" ht="16" x14ac:dyDescent="0.2">
      <c r="Q54" s="29"/>
      <c r="R54" s="7"/>
      <c r="S54" s="7"/>
      <c r="T54" s="6"/>
      <c r="U54" s="30"/>
    </row>
    <row r="55" spans="1:21" ht="16" x14ac:dyDescent="0.2">
      <c r="Q55" s="29"/>
      <c r="R55" s="7"/>
      <c r="S55" s="7"/>
      <c r="T55" s="6"/>
      <c r="U55" s="30"/>
    </row>
    <row r="56" spans="1:21" ht="16" x14ac:dyDescent="0.2">
      <c r="Q56" s="29"/>
      <c r="R56" s="7"/>
      <c r="S56" s="7"/>
      <c r="T56" s="6"/>
      <c r="U56" s="30"/>
    </row>
    <row r="57" spans="1:21" ht="16" x14ac:dyDescent="0.2">
      <c r="Q57" s="29"/>
      <c r="R57" s="7"/>
      <c r="S57" s="7"/>
      <c r="T57" s="6"/>
      <c r="U57" s="30"/>
    </row>
    <row r="58" spans="1:21" ht="16" x14ac:dyDescent="0.2">
      <c r="Q58" s="35"/>
      <c r="R58" s="7"/>
      <c r="S58" s="36"/>
      <c r="T58" s="31"/>
      <c r="U58" s="35"/>
    </row>
    <row r="60" spans="1:21" ht="16" x14ac:dyDescent="0.2">
      <c r="P60" s="58"/>
    </row>
    <row r="61" spans="1:21" ht="16" x14ac:dyDescent="0.2">
      <c r="P61" s="58"/>
    </row>
    <row r="64" spans="1:21" ht="16" x14ac:dyDescent="0.2">
      <c r="A64" s="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16" x14ac:dyDescent="0.2">
      <c r="A65" s="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ht="16" x14ac:dyDescent="0.2">
      <c r="A66" s="8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</row>
    <row r="67" spans="1:15" ht="16" x14ac:dyDescent="0.2">
      <c r="A67" s="8"/>
      <c r="B67" s="57"/>
      <c r="C67" s="57"/>
      <c r="D67" s="49"/>
      <c r="E67" s="57"/>
      <c r="F67" s="49"/>
      <c r="G67" s="57"/>
      <c r="H67" s="49"/>
      <c r="I67" s="49"/>
      <c r="J67" s="49"/>
      <c r="K67" s="49"/>
      <c r="L67" s="49"/>
      <c r="M67" s="49"/>
      <c r="N67" s="49"/>
      <c r="O67" s="66"/>
    </row>
    <row r="68" spans="1:15" x14ac:dyDescent="0.2">
      <c r="O68" s="6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 enableFormatConditionsCalculation="0"/>
  <dimension ref="A1:AV70"/>
  <sheetViews>
    <sheetView topLeftCell="A7" workbookViewId="0">
      <selection activeCell="L31" sqref="L31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9" width="11.6640625" style="2" customWidth="1"/>
    <col min="10" max="10" width="8.83203125" style="2"/>
    <col min="11" max="11" width="10" style="2" customWidth="1"/>
    <col min="12" max="12" width="7.33203125" style="2" bestFit="1" customWidth="1"/>
    <col min="13" max="13" width="10.83203125" style="2" customWidth="1"/>
    <col min="14" max="14" width="12.5" style="2" customWidth="1"/>
    <col min="15" max="15" width="10" style="2" customWidth="1"/>
    <col min="16" max="16" width="8.83203125" style="2"/>
    <col min="17" max="17" width="10.83203125" style="2" customWidth="1"/>
    <col min="18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72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319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68">
        <v>0</v>
      </c>
      <c r="C6" s="49">
        <v>0</v>
      </c>
      <c r="D6" s="49">
        <v>0</v>
      </c>
      <c r="E6" s="49">
        <v>0</v>
      </c>
      <c r="F6" s="55">
        <v>0</v>
      </c>
      <c r="G6" s="55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61">
        <v>191457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49">
        <v>397058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60">
        <f>SUM(B4:B9)</f>
        <v>588834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4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49">
        <v>0</v>
      </c>
      <c r="P17" s="3"/>
      <c r="Q17" s="3"/>
      <c r="R17" s="3"/>
      <c r="S17" s="3"/>
      <c r="T17" s="3"/>
      <c r="U17" s="3"/>
    </row>
    <row r="18" spans="1:24" ht="16" x14ac:dyDescent="0.2">
      <c r="A18" s="8" t="s">
        <v>20</v>
      </c>
      <c r="B18" s="49">
        <v>11005</v>
      </c>
      <c r="C18" s="58">
        <v>2497</v>
      </c>
      <c r="D18" s="49">
        <v>0</v>
      </c>
      <c r="E18" s="49">
        <v>205</v>
      </c>
      <c r="F18" s="49">
        <v>0</v>
      </c>
      <c r="G18" s="49">
        <v>10501</v>
      </c>
      <c r="H18" s="49">
        <v>0</v>
      </c>
      <c r="I18" s="49"/>
      <c r="J18" s="49"/>
      <c r="K18" s="49"/>
      <c r="L18" s="49"/>
      <c r="M18" s="49"/>
      <c r="N18" s="57">
        <v>300</v>
      </c>
      <c r="O18" s="57">
        <f>SUM(C18:N18)</f>
        <v>13503</v>
      </c>
      <c r="P18" s="3"/>
      <c r="Q18" s="3"/>
      <c r="R18" s="3"/>
      <c r="S18" s="3"/>
      <c r="T18" s="3"/>
      <c r="U18" s="3"/>
    </row>
    <row r="19" spans="1:24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6633.4814000000006</v>
      </c>
      <c r="U19" s="3"/>
    </row>
    <row r="20" spans="1:24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4" ht="16" x14ac:dyDescent="0.2">
      <c r="A21" s="8" t="s">
        <v>23</v>
      </c>
      <c r="B21" s="49">
        <v>257332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4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1096.2084</v>
      </c>
      <c r="U22" s="14">
        <f>N43</f>
        <v>0.16525385900682557</v>
      </c>
    </row>
    <row r="23" spans="1:24" ht="16" x14ac:dyDescent="0.2">
      <c r="A23" s="8" t="s">
        <v>15</v>
      </c>
      <c r="B23" s="49">
        <v>268337</v>
      </c>
      <c r="C23" s="49">
        <v>2497</v>
      </c>
      <c r="D23" s="49">
        <v>0</v>
      </c>
      <c r="E23" s="49">
        <v>205</v>
      </c>
      <c r="F23" s="49">
        <v>0</v>
      </c>
      <c r="G23" s="49">
        <v>10501</v>
      </c>
      <c r="H23" s="49">
        <v>0</v>
      </c>
      <c r="I23" s="49"/>
      <c r="J23" s="49"/>
      <c r="K23" s="49"/>
      <c r="L23" s="49"/>
      <c r="M23" s="49"/>
      <c r="N23" s="57">
        <f>N18</f>
        <v>300</v>
      </c>
      <c r="O23" s="57">
        <f>O18</f>
        <v>13503</v>
      </c>
      <c r="P23" s="39"/>
      <c r="Q23" s="3"/>
      <c r="R23" s="3"/>
      <c r="S23" s="44" t="s">
        <v>59</v>
      </c>
      <c r="T23" s="13">
        <f>G42/1000</f>
        <v>1388.9359999999999</v>
      </c>
      <c r="U23" s="15">
        <f>G43</f>
        <v>0.20938266292568483</v>
      </c>
    </row>
    <row r="24" spans="1:24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10.5</v>
      </c>
      <c r="U24" s="14">
        <f>J43</f>
        <v>1.582879240454341E-3</v>
      </c>
      <c r="X24" s="2">
        <v>18453</v>
      </c>
    </row>
    <row r="25" spans="1:24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63.834000000000003</v>
      </c>
      <c r="U25" s="14">
        <f>F43</f>
        <v>9.623001279539278E-3</v>
      </c>
      <c r="X25" s="2">
        <v>37763</v>
      </c>
    </row>
    <row r="26" spans="1:24" ht="16" x14ac:dyDescent="0.2">
      <c r="B26" s="11"/>
      <c r="C26" s="67" t="s">
        <v>77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1.512</v>
      </c>
      <c r="U26" s="14">
        <f>E43</f>
        <v>2.2793461062542512E-4</v>
      </c>
      <c r="X26" s="2">
        <v>9814</v>
      </c>
    </row>
    <row r="27" spans="1:24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4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4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78</v>
      </c>
      <c r="J29" s="6" t="s">
        <v>6</v>
      </c>
      <c r="K29" s="6" t="s">
        <v>7</v>
      </c>
      <c r="L29" s="6" t="s">
        <v>58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Svartlut</v>
      </c>
      <c r="T29" s="13">
        <f>I42/1000</f>
        <v>3131.1120000000001</v>
      </c>
      <c r="U29" s="14">
        <f>I43</f>
        <v>0.47201639850833077</v>
      </c>
      <c r="X29" s="2">
        <f>SUM(X24:X28)</f>
        <v>66030</v>
      </c>
    </row>
    <row r="30" spans="1:24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  <c r="X30" s="2">
        <f>X24+X26</f>
        <v>28267</v>
      </c>
    </row>
    <row r="31" spans="1:24" ht="16" x14ac:dyDescent="0.2">
      <c r="A31" s="8" t="s">
        <v>32</v>
      </c>
      <c r="B31" s="49">
        <v>0</v>
      </c>
      <c r="C31" s="49">
        <v>9324</v>
      </c>
      <c r="D31" s="49">
        <v>0</v>
      </c>
      <c r="E31" s="49">
        <v>0</v>
      </c>
      <c r="F31" s="49">
        <v>924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6192</v>
      </c>
      <c r="O31" s="49">
        <v>16440</v>
      </c>
      <c r="P31" s="16">
        <f>O31/$O$39</f>
        <v>2.4312682391332734E-3</v>
      </c>
      <c r="Q31" s="17" t="s">
        <v>33</v>
      </c>
      <c r="R31" s="3"/>
      <c r="S31" s="53" t="str">
        <f>L29</f>
        <v>Beckolja</v>
      </c>
      <c r="T31" s="13">
        <f>L42/1000</f>
        <v>37.762999999999998</v>
      </c>
      <c r="U31" s="50">
        <f>L43</f>
        <v>5.692787500693075E-3</v>
      </c>
      <c r="X31" s="2">
        <f>X30+X25</f>
        <v>66030</v>
      </c>
    </row>
    <row r="32" spans="1:24" ht="16" x14ac:dyDescent="0.2">
      <c r="A32" s="8" t="s">
        <v>35</v>
      </c>
      <c r="B32" s="49">
        <v>15537</v>
      </c>
      <c r="C32" s="49">
        <v>108842</v>
      </c>
      <c r="D32" s="69">
        <v>0</v>
      </c>
      <c r="E32" s="58">
        <v>1307</v>
      </c>
      <c r="F32" s="77">
        <v>0</v>
      </c>
      <c r="G32" s="68">
        <v>1313726</v>
      </c>
      <c r="H32" s="49">
        <v>0</v>
      </c>
      <c r="I32" s="69">
        <v>3131112</v>
      </c>
      <c r="J32" s="70">
        <v>10500</v>
      </c>
      <c r="K32" s="49"/>
      <c r="L32" s="70">
        <v>37763</v>
      </c>
      <c r="M32" s="78">
        <v>28267</v>
      </c>
      <c r="N32" s="73">
        <f>1085589-285397-153191</f>
        <v>647001</v>
      </c>
      <c r="O32" s="73">
        <f>SUM(B32:N32)</f>
        <v>5294055</v>
      </c>
      <c r="P32" s="16">
        <f t="shared" ref="P32:P35" si="0">O32/$O$39</f>
        <v>0.78292383076184324</v>
      </c>
      <c r="Q32" s="17" t="s">
        <v>36</v>
      </c>
      <c r="R32" s="3"/>
      <c r="S32" s="53" t="str">
        <f>M29</f>
        <v>Övrigt</v>
      </c>
      <c r="T32" s="54">
        <f>M42/1000</f>
        <v>28.266999999999999</v>
      </c>
      <c r="U32" s="50">
        <f>M43</f>
        <v>4.2612616657069389E-3</v>
      </c>
    </row>
    <row r="33" spans="1:48" ht="16" x14ac:dyDescent="0.2">
      <c r="A33" s="8" t="s">
        <v>37</v>
      </c>
      <c r="B33" s="49">
        <v>39418</v>
      </c>
      <c r="C33" s="49">
        <v>2706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43613</v>
      </c>
      <c r="O33" s="49">
        <v>85737</v>
      </c>
      <c r="P33" s="16">
        <f t="shared" si="0"/>
        <v>1.2679418796749968E-2</v>
      </c>
      <c r="Q33" s="17" t="s">
        <v>38</v>
      </c>
      <c r="R33" s="3"/>
      <c r="S33" s="44" t="s">
        <v>34</v>
      </c>
      <c r="T33" s="13">
        <f>C42/1000</f>
        <v>875.34900000000005</v>
      </c>
      <c r="U33" s="15">
        <f>C43</f>
        <v>0.13195921526213972</v>
      </c>
    </row>
    <row r="34" spans="1:48" ht="16" x14ac:dyDescent="0.2">
      <c r="A34" s="8" t="s">
        <v>39</v>
      </c>
      <c r="B34" s="49">
        <v>0</v>
      </c>
      <c r="C34" s="49">
        <v>700604</v>
      </c>
      <c r="D34" s="49">
        <v>0</v>
      </c>
      <c r="E34" s="49">
        <v>0</v>
      </c>
      <c r="F34" s="49">
        <v>62910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1863</v>
      </c>
      <c r="O34" s="49">
        <v>765376</v>
      </c>
      <c r="P34" s="16">
        <f t="shared" si="0"/>
        <v>0.1131894379437268</v>
      </c>
      <c r="Q34" s="17" t="s">
        <v>40</v>
      </c>
      <c r="R34" s="3"/>
      <c r="S34" s="3"/>
      <c r="T34" s="13">
        <f>SUM(T22:T33)</f>
        <v>6633.4813999999997</v>
      </c>
      <c r="U34" s="14">
        <f>SUM(U22:U33)</f>
        <v>1</v>
      </c>
    </row>
    <row r="35" spans="1:48" ht="16" x14ac:dyDescent="0.2">
      <c r="A35" s="8" t="s">
        <v>41</v>
      </c>
      <c r="B35" s="49">
        <v>31374</v>
      </c>
      <c r="C35" s="49">
        <v>50921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89882</v>
      </c>
      <c r="O35" s="49">
        <v>172177</v>
      </c>
      <c r="P35" s="16">
        <f t="shared" si="0"/>
        <v>2.5462802409321753E-2</v>
      </c>
      <c r="Q35" s="17" t="s">
        <v>42</v>
      </c>
      <c r="R35" s="17"/>
    </row>
    <row r="36" spans="1:48" ht="16" x14ac:dyDescent="0.2">
      <c r="A36" s="8" t="s">
        <v>43</v>
      </c>
      <c r="B36" s="49">
        <v>62745</v>
      </c>
      <c r="C36" s="49">
        <v>94</v>
      </c>
      <c r="D36" s="49">
        <v>0</v>
      </c>
      <c r="E36" s="49">
        <v>0</v>
      </c>
      <c r="F36" s="49">
        <v>0</v>
      </c>
      <c r="G36" s="49">
        <v>64709</v>
      </c>
      <c r="H36" s="49">
        <v>0</v>
      </c>
      <c r="I36" s="49"/>
      <c r="J36" s="49"/>
      <c r="K36" s="49"/>
      <c r="L36" s="49"/>
      <c r="M36" s="40"/>
      <c r="N36" s="49">
        <v>182839</v>
      </c>
      <c r="O36" s="49">
        <v>310386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74031</v>
      </c>
      <c r="C37" s="49">
        <v>362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19667</v>
      </c>
      <c r="O37" s="49">
        <v>94060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23672</v>
      </c>
      <c r="O38" s="49">
        <v>23672</v>
      </c>
      <c r="P38" s="17">
        <f>SUM(P31:P35)</f>
        <v>0.93668675815077507</v>
      </c>
      <c r="Q38" s="17"/>
      <c r="R38" s="3"/>
      <c r="S38" s="7" t="s">
        <v>46</v>
      </c>
      <c r="T38" s="18">
        <f>O45/1000</f>
        <v>126.41040000000001</v>
      </c>
      <c r="U38" s="7"/>
    </row>
    <row r="39" spans="1:48" ht="16" x14ac:dyDescent="0.2">
      <c r="A39" s="8" t="s">
        <v>15</v>
      </c>
      <c r="B39" s="49">
        <v>223105</v>
      </c>
      <c r="C39" s="49">
        <v>872852</v>
      </c>
      <c r="D39" s="69">
        <v>0</v>
      </c>
      <c r="E39" s="49">
        <v>1307</v>
      </c>
      <c r="F39" s="77">
        <f>SUM(F31:F34)</f>
        <v>63834</v>
      </c>
      <c r="G39" s="77">
        <f>SUM(G31:G38)</f>
        <v>1378435</v>
      </c>
      <c r="H39" s="49">
        <v>0</v>
      </c>
      <c r="I39" s="69">
        <f>I32</f>
        <v>3131112</v>
      </c>
      <c r="J39" s="69">
        <f t="shared" ref="J39:M39" si="1">J32</f>
        <v>10500</v>
      </c>
      <c r="K39" s="69"/>
      <c r="L39" s="69">
        <f t="shared" si="1"/>
        <v>37763</v>
      </c>
      <c r="M39" s="69">
        <f t="shared" si="1"/>
        <v>28267</v>
      </c>
      <c r="N39" s="73">
        <f>1453318-285397-153191</f>
        <v>1014730</v>
      </c>
      <c r="O39" s="73">
        <f>SUM(O31:O38)</f>
        <v>6761903</v>
      </c>
      <c r="P39" s="3"/>
      <c r="Q39" s="3"/>
      <c r="R39" s="3"/>
      <c r="S39" s="7" t="s">
        <v>47</v>
      </c>
      <c r="T39" s="19">
        <f>O41/1000</f>
        <v>428.11799999999999</v>
      </c>
      <c r="U39" s="14">
        <f>P41</f>
        <v>6.3313241849224988E-2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310.38600000000002</v>
      </c>
      <c r="U40" s="15">
        <f>P35</f>
        <v>2.5462802409321753E-2</v>
      </c>
    </row>
    <row r="41" spans="1:48" ht="16" x14ac:dyDescent="0.2">
      <c r="A41" s="20" t="s">
        <v>49</v>
      </c>
      <c r="B41" s="21">
        <f>B38+B37+B36</f>
        <v>136776</v>
      </c>
      <c r="C41" s="21">
        <f t="shared" ref="C41:O41" si="2">C38+C37+C36</f>
        <v>456</v>
      </c>
      <c r="D41" s="21">
        <f t="shared" si="2"/>
        <v>0</v>
      </c>
      <c r="E41" s="21">
        <f t="shared" si="2"/>
        <v>0</v>
      </c>
      <c r="F41" s="21">
        <f t="shared" si="2"/>
        <v>0</v>
      </c>
      <c r="G41" s="21">
        <f t="shared" si="2"/>
        <v>64709</v>
      </c>
      <c r="H41" s="21">
        <f t="shared" si="2"/>
        <v>0</v>
      </c>
      <c r="I41" s="21">
        <f t="shared" si="2"/>
        <v>0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226178</v>
      </c>
      <c r="O41" s="21">
        <f t="shared" si="2"/>
        <v>428118</v>
      </c>
      <c r="P41" s="16">
        <f>O41/$O$39</f>
        <v>6.3313241849224988E-2</v>
      </c>
      <c r="Q41" s="16" t="s">
        <v>50</v>
      </c>
      <c r="R41" s="7"/>
      <c r="S41" s="7" t="s">
        <v>51</v>
      </c>
      <c r="T41" s="19">
        <f>O33/1000</f>
        <v>85.736999999999995</v>
      </c>
      <c r="U41" s="14">
        <f>P33</f>
        <v>1.2679418796749968E-2</v>
      </c>
    </row>
    <row r="42" spans="1:48" ht="16" x14ac:dyDescent="0.2">
      <c r="A42" s="22" t="s">
        <v>52</v>
      </c>
      <c r="B42" s="21"/>
      <c r="C42" s="23">
        <f>C10+C23+C39</f>
        <v>875349</v>
      </c>
      <c r="D42" s="23">
        <f t="shared" ref="D42:M42" si="3">D39+D23+D10</f>
        <v>0</v>
      </c>
      <c r="E42" s="23">
        <f t="shared" si="3"/>
        <v>1512</v>
      </c>
      <c r="F42" s="23">
        <f t="shared" si="3"/>
        <v>63834</v>
      </c>
      <c r="G42" s="23">
        <f t="shared" si="3"/>
        <v>1388936</v>
      </c>
      <c r="H42" s="23">
        <f t="shared" si="3"/>
        <v>0</v>
      </c>
      <c r="I42" s="23">
        <f t="shared" si="3"/>
        <v>3131112</v>
      </c>
      <c r="J42" s="23">
        <f t="shared" si="3"/>
        <v>10500</v>
      </c>
      <c r="K42" s="23">
        <f t="shared" si="3"/>
        <v>0</v>
      </c>
      <c r="L42" s="23">
        <f t="shared" si="3"/>
        <v>37763</v>
      </c>
      <c r="M42" s="23">
        <f t="shared" si="3"/>
        <v>28267</v>
      </c>
      <c r="N42" s="23">
        <f>N39+N23-B6+N45</f>
        <v>1096208.3999999999</v>
      </c>
      <c r="O42" s="24">
        <f>SUM(C42:N42)</f>
        <v>6633481.4000000004</v>
      </c>
      <c r="P42" s="7"/>
      <c r="Q42" s="7"/>
      <c r="R42" s="7"/>
      <c r="S42" s="7" t="s">
        <v>33</v>
      </c>
      <c r="T42" s="19">
        <f>O31/1000</f>
        <v>16.440000000000001</v>
      </c>
      <c r="U42" s="14">
        <f>P31</f>
        <v>2.4312682391332734E-3</v>
      </c>
    </row>
    <row r="43" spans="1:48" ht="16" x14ac:dyDescent="0.2">
      <c r="A43" s="22" t="s">
        <v>53</v>
      </c>
      <c r="B43" s="21"/>
      <c r="C43" s="16">
        <f t="shared" ref="C43:N43" si="4">C42/$O42</f>
        <v>0.13195921526213972</v>
      </c>
      <c r="D43" s="16">
        <f t="shared" si="4"/>
        <v>0</v>
      </c>
      <c r="E43" s="16">
        <f t="shared" si="4"/>
        <v>2.2793461062542512E-4</v>
      </c>
      <c r="F43" s="16">
        <f t="shared" si="4"/>
        <v>9.623001279539278E-3</v>
      </c>
      <c r="G43" s="16">
        <f t="shared" si="4"/>
        <v>0.20938266292568483</v>
      </c>
      <c r="H43" s="16">
        <f t="shared" si="4"/>
        <v>0</v>
      </c>
      <c r="I43" s="16">
        <f t="shared" si="4"/>
        <v>0.47201639850833077</v>
      </c>
      <c r="J43" s="16">
        <f t="shared" si="4"/>
        <v>1.582879240454341E-3</v>
      </c>
      <c r="K43" s="16">
        <f t="shared" si="4"/>
        <v>0</v>
      </c>
      <c r="L43" s="16">
        <f t="shared" si="4"/>
        <v>5.692787500693075E-3</v>
      </c>
      <c r="M43" s="16">
        <f t="shared" si="4"/>
        <v>4.2612616657069389E-3</v>
      </c>
      <c r="N43" s="16">
        <f t="shared" si="4"/>
        <v>0.16525385900682557</v>
      </c>
      <c r="O43" s="16">
        <f>SUM(C43:N43)</f>
        <v>0.99999999999999978</v>
      </c>
      <c r="P43" s="7"/>
      <c r="Q43" s="7"/>
      <c r="R43" s="7"/>
      <c r="S43" s="7" t="s">
        <v>54</v>
      </c>
      <c r="T43" s="19">
        <f>O32/1000</f>
        <v>5294.0550000000003</v>
      </c>
      <c r="U43" s="15">
        <f>P32</f>
        <v>0.78292383076184324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765.37599999999998</v>
      </c>
      <c r="U44" s="15">
        <f>P34</f>
        <v>0.1131894379437268</v>
      </c>
    </row>
    <row r="45" spans="1:48" ht="16" x14ac:dyDescent="0.2">
      <c r="A45" s="6" t="s">
        <v>56</v>
      </c>
      <c r="B45" s="6">
        <f>B23-B39</f>
        <v>45232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81178.400000000009</v>
      </c>
      <c r="O45" s="24">
        <f>B45+N45</f>
        <v>126410.40000000001</v>
      </c>
      <c r="P45" s="7"/>
      <c r="Q45" s="7"/>
      <c r="R45" s="7"/>
      <c r="S45" s="7" t="s">
        <v>57</v>
      </c>
      <c r="T45" s="19">
        <f>SUM(T39:T44)</f>
        <v>6900.112000000001</v>
      </c>
      <c r="U45" s="14">
        <f>SUM(U39:U44)</f>
        <v>1</v>
      </c>
    </row>
    <row r="46" spans="1:48" ht="16" x14ac:dyDescent="0.2">
      <c r="A46" s="6"/>
      <c r="B46" s="56">
        <f>B45/B23</f>
        <v>0.16856415626618768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6"/>
      <c r="E47" s="26"/>
      <c r="F47" s="26"/>
      <c r="G47" s="9"/>
      <c r="H47" s="9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79"/>
      <c r="C48" s="80"/>
      <c r="D48" s="81"/>
      <c r="E48" s="80"/>
      <c r="F48" s="80"/>
      <c r="G48" s="80"/>
      <c r="H48" s="81"/>
      <c r="I48" s="80"/>
      <c r="J48" s="80"/>
      <c r="K48" s="80"/>
      <c r="L48" s="80"/>
      <c r="M48" s="80"/>
      <c r="N48" s="80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26"/>
      <c r="P51" s="26"/>
      <c r="Q51" s="9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79"/>
      <c r="C52" s="80"/>
      <c r="D52" s="81"/>
      <c r="E52" s="80"/>
      <c r="F52" s="80"/>
      <c r="G52" s="80"/>
      <c r="H52" s="81"/>
      <c r="I52" s="80"/>
      <c r="J52" s="80"/>
      <c r="K52" s="80"/>
      <c r="L52" s="80"/>
      <c r="M52" s="80"/>
      <c r="N52" s="80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7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7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3" enableFormatConditionsCalculation="0"/>
  <dimension ref="A1:AV70"/>
  <sheetViews>
    <sheetView topLeftCell="D8"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14" width="8.83203125" style="2"/>
    <col min="15" max="15" width="13.83203125" style="2" customWidth="1"/>
    <col min="16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73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6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23752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1527898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49">
        <v>1551657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312296</v>
      </c>
      <c r="C17" s="49">
        <f>5523</f>
        <v>5523</v>
      </c>
      <c r="D17" s="49">
        <v>0</v>
      </c>
      <c r="E17" s="49">
        <v>0</v>
      </c>
      <c r="F17" s="49">
        <v>2263</v>
      </c>
      <c r="G17" s="57">
        <v>30800</v>
      </c>
      <c r="H17" s="49">
        <v>0</v>
      </c>
      <c r="I17" s="49"/>
      <c r="J17" s="57">
        <v>3000</v>
      </c>
      <c r="K17" s="57">
        <v>260800</v>
      </c>
      <c r="L17" s="49"/>
      <c r="M17" s="49"/>
      <c r="N17" s="49"/>
      <c r="O17" s="57">
        <f>SUM(C17:N17)</f>
        <v>302386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/>
      <c r="J18" s="49"/>
      <c r="K18" s="49"/>
      <c r="L18" s="49"/>
      <c r="M18" s="49"/>
      <c r="N18" s="49"/>
      <c r="O18" s="49">
        <v>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1109.30276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475.87976000000003</v>
      </c>
      <c r="U22" s="14">
        <f>N43</f>
        <v>0.42898997204334011</v>
      </c>
    </row>
    <row r="23" spans="1:21" ht="16" x14ac:dyDescent="0.2">
      <c r="A23" s="8" t="s">
        <v>15</v>
      </c>
      <c r="B23" s="49">
        <v>312296</v>
      </c>
      <c r="C23" s="49">
        <f>C17</f>
        <v>5523</v>
      </c>
      <c r="D23" s="49">
        <f t="shared" ref="D23:O23" si="0">D17</f>
        <v>0</v>
      </c>
      <c r="E23" s="49">
        <f t="shared" si="0"/>
        <v>0</v>
      </c>
      <c r="F23" s="49">
        <f t="shared" si="0"/>
        <v>2263</v>
      </c>
      <c r="G23" s="57">
        <f t="shared" si="0"/>
        <v>30800</v>
      </c>
      <c r="H23" s="49">
        <f t="shared" si="0"/>
        <v>0</v>
      </c>
      <c r="I23" s="49"/>
      <c r="J23" s="57">
        <f>J17</f>
        <v>3000</v>
      </c>
      <c r="K23" s="57">
        <f>K17</f>
        <v>260800</v>
      </c>
      <c r="L23" s="49"/>
      <c r="M23" s="49"/>
      <c r="N23" s="49"/>
      <c r="O23" s="57">
        <f t="shared" si="0"/>
        <v>302386</v>
      </c>
      <c r="P23" s="39"/>
      <c r="Q23" s="3"/>
      <c r="R23" s="3"/>
      <c r="S23" s="44" t="s">
        <v>59</v>
      </c>
      <c r="T23" s="13">
        <f>G42/1000</f>
        <v>80.081999999999994</v>
      </c>
      <c r="U23" s="15">
        <f>G43</f>
        <v>7.2191292483577696E-2</v>
      </c>
    </row>
    <row r="24" spans="1:21" ht="16" x14ac:dyDescent="0.2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"/>
      <c r="Q24" s="3"/>
      <c r="R24" s="3"/>
      <c r="S24" s="52" t="str">
        <f>J29</f>
        <v>Torv</v>
      </c>
      <c r="T24" s="13">
        <f>J42/1000</f>
        <v>3</v>
      </c>
      <c r="U24" s="14">
        <f>J43</f>
        <v>2.7044014566411068E-3</v>
      </c>
    </row>
    <row r="25" spans="1:21" ht="16" x14ac:dyDescent="0.2">
      <c r="B25" s="3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22.923999999999999</v>
      </c>
      <c r="U25" s="14">
        <f>F43</f>
        <v>2.0665232997346909E-2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5.0000000000000001E-3</v>
      </c>
      <c r="U26" s="14">
        <f>E43</f>
        <v>4.507335761068511E-6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260.8</v>
      </c>
      <c r="U28" s="50">
        <f>K43</f>
        <v>0.23510263329733355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5177</v>
      </c>
      <c r="D31" s="49">
        <v>0</v>
      </c>
      <c r="E31" s="49">
        <v>0</v>
      </c>
      <c r="F31" s="49">
        <v>514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8302</v>
      </c>
      <c r="O31" s="49">
        <v>13993</v>
      </c>
      <c r="P31" s="16">
        <f>O31/$O$39</f>
        <v>1.3263041959665869E-2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8744</v>
      </c>
      <c r="C32" s="61">
        <v>651</v>
      </c>
      <c r="D32" s="49">
        <v>0</v>
      </c>
      <c r="E32" s="61">
        <v>5</v>
      </c>
      <c r="F32" s="49">
        <v>0</v>
      </c>
      <c r="G32" s="49">
        <v>0</v>
      </c>
      <c r="H32" s="49">
        <v>0</v>
      </c>
      <c r="I32" s="49"/>
      <c r="J32" s="49"/>
      <c r="K32" s="49"/>
      <c r="L32" s="49"/>
      <c r="M32" s="40"/>
      <c r="N32" s="49">
        <v>12890</v>
      </c>
      <c r="O32" s="61">
        <f>SUM(B32:N32)</f>
        <v>22290</v>
      </c>
      <c r="P32" s="16">
        <f t="shared" ref="P32:P35" si="1">O32/$O$39</f>
        <v>2.1127221130633332E-2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56673</v>
      </c>
      <c r="C33" s="61">
        <f>O33-N33-B33</f>
        <v>40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55630</v>
      </c>
      <c r="O33" s="61">
        <f>O39-SUM(O34:O38,O31:O32)</f>
        <v>112343</v>
      </c>
      <c r="P33" s="16">
        <f t="shared" si="1"/>
        <v>0.1064825214660718</v>
      </c>
      <c r="Q33" s="17" t="s">
        <v>38</v>
      </c>
      <c r="R33" s="3"/>
      <c r="S33" s="44" t="s">
        <v>34</v>
      </c>
      <c r="T33" s="13">
        <f>C42/1000</f>
        <v>266.61200000000002</v>
      </c>
      <c r="U33" s="15">
        <f>C43</f>
        <v>0.24034196038599959</v>
      </c>
    </row>
    <row r="34" spans="1:48" ht="16" x14ac:dyDescent="0.2">
      <c r="A34" s="8" t="s">
        <v>39</v>
      </c>
      <c r="B34" s="49">
        <v>0</v>
      </c>
      <c r="C34" s="49">
        <v>250451</v>
      </c>
      <c r="D34" s="49">
        <v>0</v>
      </c>
      <c r="E34" s="49">
        <v>0</v>
      </c>
      <c r="F34" s="49">
        <v>20148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81356</v>
      </c>
      <c r="O34" s="49">
        <v>351955</v>
      </c>
      <c r="P34" s="16">
        <f t="shared" si="1"/>
        <v>0.33359493553306663</v>
      </c>
      <c r="Q34" s="17" t="s">
        <v>40</v>
      </c>
      <c r="R34" s="3"/>
      <c r="S34" s="3"/>
      <c r="T34" s="13">
        <f>SUM(T22:T33)</f>
        <v>1109.30276</v>
      </c>
      <c r="U34" s="14">
        <f>SUM(U22:U33)</f>
        <v>1</v>
      </c>
    </row>
    <row r="35" spans="1:48" ht="16" x14ac:dyDescent="0.2">
      <c r="A35" s="8" t="s">
        <v>41</v>
      </c>
      <c r="B35" s="49">
        <v>43566</v>
      </c>
      <c r="C35" s="49">
        <v>4677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197549</v>
      </c>
      <c r="O35" s="49">
        <v>245792</v>
      </c>
      <c r="P35" s="16">
        <f t="shared" si="1"/>
        <v>0.23297002853928345</v>
      </c>
      <c r="Q35" s="17" t="s">
        <v>42</v>
      </c>
      <c r="R35" s="17"/>
    </row>
    <row r="36" spans="1:48" ht="16" x14ac:dyDescent="0.2">
      <c r="A36" s="8" t="s">
        <v>43</v>
      </c>
      <c r="B36" s="49">
        <v>82808</v>
      </c>
      <c r="C36" s="49">
        <v>93</v>
      </c>
      <c r="D36" s="49">
        <v>0</v>
      </c>
      <c r="E36" s="49">
        <v>0</v>
      </c>
      <c r="F36" s="49">
        <v>0</v>
      </c>
      <c r="G36" s="49">
        <v>49282</v>
      </c>
      <c r="H36" s="49">
        <v>0</v>
      </c>
      <c r="I36" s="49"/>
      <c r="J36" s="49"/>
      <c r="K36" s="49"/>
      <c r="L36" s="49"/>
      <c r="M36" s="40"/>
      <c r="N36" s="49">
        <v>85392</v>
      </c>
      <c r="O36" s="49">
        <v>217574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69587</v>
      </c>
      <c r="C37" s="49">
        <v>1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13148</v>
      </c>
      <c r="O37" s="49">
        <v>82736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8354</v>
      </c>
      <c r="O38" s="49">
        <v>8354</v>
      </c>
      <c r="P38" s="17">
        <f>SUM(P31:P35)</f>
        <v>0.70743774862872111</v>
      </c>
      <c r="Q38" s="17"/>
      <c r="R38" s="3"/>
      <c r="S38" s="7" t="s">
        <v>46</v>
      </c>
      <c r="T38" s="18">
        <f>O45/1000</f>
        <v>87.927760000000006</v>
      </c>
      <c r="U38" s="7"/>
    </row>
    <row r="39" spans="1:48" ht="16" x14ac:dyDescent="0.2">
      <c r="A39" s="8" t="s">
        <v>15</v>
      </c>
      <c r="B39" s="49">
        <v>261378</v>
      </c>
      <c r="C39" s="61">
        <f>O39-SUM(B39,D39:N39)</f>
        <v>261089</v>
      </c>
      <c r="D39" s="49">
        <v>0</v>
      </c>
      <c r="E39" s="61">
        <f>E32</f>
        <v>5</v>
      </c>
      <c r="F39" s="49">
        <v>20661</v>
      </c>
      <c r="G39" s="49">
        <v>49282</v>
      </c>
      <c r="H39" s="49">
        <v>0</v>
      </c>
      <c r="I39" s="49"/>
      <c r="J39" s="49"/>
      <c r="K39" s="49"/>
      <c r="L39" s="49"/>
      <c r="M39" s="40"/>
      <c r="N39" s="49">
        <v>462622</v>
      </c>
      <c r="O39" s="49">
        <v>1055037</v>
      </c>
      <c r="P39" s="3"/>
      <c r="Q39" s="3"/>
      <c r="R39" s="3"/>
      <c r="S39" s="7" t="s">
        <v>47</v>
      </c>
      <c r="T39" s="19">
        <f>O41/1000</f>
        <v>308.66399999999999</v>
      </c>
      <c r="U39" s="14">
        <f>P41</f>
        <v>0.29256225137127895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217.57400000000001</v>
      </c>
      <c r="U40" s="15">
        <f>P35</f>
        <v>0.23297002853928345</v>
      </c>
    </row>
    <row r="41" spans="1:48" ht="16" x14ac:dyDescent="0.2">
      <c r="A41" s="20" t="s">
        <v>49</v>
      </c>
      <c r="B41" s="21">
        <f>B38+B37+B36</f>
        <v>152395</v>
      </c>
      <c r="C41" s="21">
        <f t="shared" ref="C41:O41" si="2">C38+C37+C36</f>
        <v>94</v>
      </c>
      <c r="D41" s="21">
        <f t="shared" si="2"/>
        <v>0</v>
      </c>
      <c r="E41" s="21">
        <f t="shared" si="2"/>
        <v>0</v>
      </c>
      <c r="F41" s="21">
        <f t="shared" si="2"/>
        <v>0</v>
      </c>
      <c r="G41" s="21">
        <f t="shared" si="2"/>
        <v>49282</v>
      </c>
      <c r="H41" s="21">
        <f t="shared" si="2"/>
        <v>0</v>
      </c>
      <c r="I41" s="21">
        <f t="shared" si="2"/>
        <v>0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106894</v>
      </c>
      <c r="O41" s="21">
        <f t="shared" si="2"/>
        <v>308664</v>
      </c>
      <c r="P41" s="16">
        <f>O41/$O$39</f>
        <v>0.29256225137127895</v>
      </c>
      <c r="Q41" s="16" t="s">
        <v>50</v>
      </c>
      <c r="R41" s="7"/>
      <c r="S41" s="7" t="s">
        <v>51</v>
      </c>
      <c r="T41" s="19">
        <f>O33/1000</f>
        <v>112.343</v>
      </c>
      <c r="U41" s="14">
        <f>P33</f>
        <v>0.1064825214660718</v>
      </c>
    </row>
    <row r="42" spans="1:48" ht="16" x14ac:dyDescent="0.2">
      <c r="A42" s="22" t="s">
        <v>52</v>
      </c>
      <c r="B42" s="21"/>
      <c r="C42" s="23">
        <f>C10+C23+C39</f>
        <v>266612</v>
      </c>
      <c r="D42" s="23">
        <f t="shared" ref="D42:M42" si="3">D39+D23+D10</f>
        <v>0</v>
      </c>
      <c r="E42" s="23">
        <f t="shared" si="3"/>
        <v>5</v>
      </c>
      <c r="F42" s="23">
        <f t="shared" si="3"/>
        <v>22924</v>
      </c>
      <c r="G42" s="23">
        <f t="shared" si="3"/>
        <v>80082</v>
      </c>
      <c r="H42" s="23">
        <f t="shared" si="3"/>
        <v>0</v>
      </c>
      <c r="I42" s="23">
        <f t="shared" si="3"/>
        <v>0</v>
      </c>
      <c r="J42" s="23">
        <f t="shared" si="3"/>
        <v>3000</v>
      </c>
      <c r="K42" s="23">
        <f t="shared" si="3"/>
        <v>260800</v>
      </c>
      <c r="L42" s="23">
        <f t="shared" si="3"/>
        <v>0</v>
      </c>
      <c r="M42" s="23">
        <f t="shared" si="3"/>
        <v>0</v>
      </c>
      <c r="N42" s="23">
        <f>N39+N23-B6+N45</f>
        <v>475879.76</v>
      </c>
      <c r="O42" s="24">
        <f>SUM(C42:N42)</f>
        <v>1109302.76</v>
      </c>
      <c r="P42" s="7"/>
      <c r="Q42" s="7"/>
      <c r="R42" s="7"/>
      <c r="S42" s="7" t="s">
        <v>33</v>
      </c>
      <c r="T42" s="19">
        <f>O31/1000</f>
        <v>13.993</v>
      </c>
      <c r="U42" s="14">
        <f>P31</f>
        <v>1.3263041959665869E-2</v>
      </c>
    </row>
    <row r="43" spans="1:48" ht="16" x14ac:dyDescent="0.2">
      <c r="A43" s="22" t="s">
        <v>53</v>
      </c>
      <c r="B43" s="21"/>
      <c r="C43" s="16">
        <f t="shared" ref="C43:N43" si="4">C42/$O42</f>
        <v>0.24034196038599959</v>
      </c>
      <c r="D43" s="16">
        <f t="shared" si="4"/>
        <v>0</v>
      </c>
      <c r="E43" s="16">
        <f t="shared" si="4"/>
        <v>4.507335761068511E-6</v>
      </c>
      <c r="F43" s="16">
        <f t="shared" si="4"/>
        <v>2.0665232997346909E-2</v>
      </c>
      <c r="G43" s="16">
        <f t="shared" si="4"/>
        <v>7.2191292483577696E-2</v>
      </c>
      <c r="H43" s="16">
        <f t="shared" si="4"/>
        <v>0</v>
      </c>
      <c r="I43" s="16">
        <f t="shared" si="4"/>
        <v>0</v>
      </c>
      <c r="J43" s="16">
        <f t="shared" si="4"/>
        <v>2.7044014566411068E-3</v>
      </c>
      <c r="K43" s="16">
        <f t="shared" si="4"/>
        <v>0.23510263329733355</v>
      </c>
      <c r="L43" s="16">
        <f t="shared" si="4"/>
        <v>0</v>
      </c>
      <c r="M43" s="16">
        <f t="shared" si="4"/>
        <v>0</v>
      </c>
      <c r="N43" s="16">
        <f t="shared" si="4"/>
        <v>0.42898997204334011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22.29</v>
      </c>
      <c r="U43" s="15">
        <f>P32</f>
        <v>2.1127221130633332E-2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351.95499999999998</v>
      </c>
      <c r="U44" s="15">
        <f>P34</f>
        <v>0.33359493553306663</v>
      </c>
    </row>
    <row r="45" spans="1:48" ht="16" x14ac:dyDescent="0.2">
      <c r="A45" s="6" t="s">
        <v>56</v>
      </c>
      <c r="B45" s="6">
        <f>B23-B39</f>
        <v>50918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37009.760000000002</v>
      </c>
      <c r="O45" s="24">
        <f>B45+N45</f>
        <v>87927.760000000009</v>
      </c>
      <c r="P45" s="7"/>
      <c r="Q45" s="7"/>
      <c r="R45" s="7"/>
      <c r="S45" s="7" t="s">
        <v>57</v>
      </c>
      <c r="T45" s="19">
        <f>SUM(T39:T44)</f>
        <v>1026.819</v>
      </c>
      <c r="U45" s="14">
        <f>SUM(U39:U44)</f>
        <v>1</v>
      </c>
    </row>
    <row r="46" spans="1:48" ht="16" x14ac:dyDescent="0.2">
      <c r="A46" s="6"/>
      <c r="B46" s="56">
        <f>B45/B23</f>
        <v>0.16304403514614341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7"/>
      <c r="E47" s="26"/>
      <c r="F47" s="26"/>
      <c r="G47" s="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7"/>
      <c r="E48" s="26"/>
      <c r="F48" s="26"/>
      <c r="G48" s="27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7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4" enableFormatConditionsCalculation="0"/>
  <dimension ref="A1:AV74"/>
  <sheetViews>
    <sheetView topLeftCell="A9" workbookViewId="0">
      <selection activeCell="O44" sqref="O44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3" width="5.5" style="2" customWidth="1"/>
    <col min="14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74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3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64">
        <v>12717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64">
        <f>B9+B4</f>
        <v>12720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40"/>
      <c r="D16" s="40"/>
      <c r="E16" s="40"/>
      <c r="F16" s="40"/>
      <c r="G16" s="40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49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57">
        <v>16200</v>
      </c>
      <c r="C18" s="49">
        <v>0</v>
      </c>
      <c r="D18" s="57">
        <v>0</v>
      </c>
      <c r="E18" s="49">
        <v>0</v>
      </c>
      <c r="F18" s="57">
        <v>1500</v>
      </c>
      <c r="G18" s="57">
        <v>7000</v>
      </c>
      <c r="H18" s="49">
        <v>0</v>
      </c>
      <c r="I18" s="49"/>
      <c r="J18" s="57">
        <v>14000</v>
      </c>
      <c r="K18" s="49"/>
      <c r="L18" s="49"/>
      <c r="M18" s="49"/>
      <c r="N18" s="49"/>
      <c r="O18" s="57">
        <f>SUM(C18:N18)</f>
        <v>22500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295.43286000000001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112.25736000000001</v>
      </c>
      <c r="U22" s="14">
        <f>N43</f>
        <v>0.37997587675250483</v>
      </c>
    </row>
    <row r="23" spans="1:21" ht="16" x14ac:dyDescent="0.2">
      <c r="A23" s="8" t="s">
        <v>15</v>
      </c>
      <c r="B23" s="57">
        <f>B18</f>
        <v>16200</v>
      </c>
      <c r="C23" s="49">
        <v>0</v>
      </c>
      <c r="D23" s="57">
        <v>0</v>
      </c>
      <c r="E23" s="49">
        <v>0</v>
      </c>
      <c r="F23" s="57">
        <v>1500</v>
      </c>
      <c r="G23" s="57">
        <f>G18</f>
        <v>7000</v>
      </c>
      <c r="H23" s="49">
        <v>0</v>
      </c>
      <c r="I23" s="49"/>
      <c r="J23" s="57">
        <v>14000</v>
      </c>
      <c r="K23" s="49"/>
      <c r="L23" s="49"/>
      <c r="M23" s="49"/>
      <c r="N23" s="49"/>
      <c r="O23" s="57">
        <f>O18</f>
        <v>22500</v>
      </c>
      <c r="P23" s="39"/>
      <c r="Q23" s="3"/>
      <c r="R23" s="3"/>
      <c r="S23" s="44" t="s">
        <v>59</v>
      </c>
      <c r="T23" s="13">
        <f>G42/1000</f>
        <v>25.477</v>
      </c>
      <c r="U23" s="15">
        <f>G43</f>
        <v>8.6236175623794861E-2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14</v>
      </c>
      <c r="U24" s="14">
        <f>J43</f>
        <v>4.7388093524870591E-2</v>
      </c>
    </row>
    <row r="25" spans="1:21" ht="16" x14ac:dyDescent="0.2">
      <c r="A25" s="2" t="s">
        <v>80</v>
      </c>
      <c r="B25" s="57">
        <v>42900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8.4359999999999999</v>
      </c>
      <c r="U25" s="14">
        <f>F43</f>
        <v>2.8554711212557739E-2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3.0000000000000001E-3</v>
      </c>
      <c r="U26" s="14">
        <f>E43</f>
        <v>1.0154591469615127E-5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2315</v>
      </c>
      <c r="D31" s="49">
        <v>0</v>
      </c>
      <c r="E31" s="49">
        <v>0</v>
      </c>
      <c r="F31" s="49">
        <v>240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1258</v>
      </c>
      <c r="O31" s="49">
        <v>3812</v>
      </c>
      <c r="P31" s="16">
        <f>O31/$O$39</f>
        <v>1.3881378305794528E-2</v>
      </c>
      <c r="Q31" s="17" t="s">
        <v>33</v>
      </c>
      <c r="R31" s="3"/>
      <c r="S31" s="53" t="str">
        <f>B29</f>
        <v>Fjärrvärme</v>
      </c>
      <c r="T31" s="13">
        <f>B42/1000</f>
        <v>42.9</v>
      </c>
      <c r="U31" s="50">
        <f>B43</f>
        <v>0.14521065801549632</v>
      </c>
    </row>
    <row r="32" spans="1:21" ht="16" x14ac:dyDescent="0.2">
      <c r="A32" s="8" t="s">
        <v>35</v>
      </c>
      <c r="B32" s="49">
        <v>639</v>
      </c>
      <c r="C32" s="61">
        <f>421/2</f>
        <v>210.5</v>
      </c>
      <c r="D32" s="49">
        <v>0</v>
      </c>
      <c r="E32" s="61">
        <v>3</v>
      </c>
      <c r="F32" s="49">
        <v>0</v>
      </c>
      <c r="G32" s="49">
        <v>0</v>
      </c>
      <c r="H32" s="49">
        <v>0</v>
      </c>
      <c r="I32" s="49"/>
      <c r="J32" s="49"/>
      <c r="K32" s="49"/>
      <c r="L32" s="49"/>
      <c r="M32" s="40"/>
      <c r="N32" s="61">
        <v>16130</v>
      </c>
      <c r="O32" s="61">
        <f>N32+E32+C32+B32</f>
        <v>16982.5</v>
      </c>
      <c r="P32" s="16">
        <f t="shared" ref="P32:P35" si="0">O32/$O$39</f>
        <v>6.1841686012107967E-2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5163</v>
      </c>
      <c r="C33" s="49">
        <v>284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4869</v>
      </c>
      <c r="O33" s="49">
        <v>10316</v>
      </c>
      <c r="P33" s="16">
        <f t="shared" si="0"/>
        <v>3.7565660703718876E-2</v>
      </c>
      <c r="Q33" s="17" t="s">
        <v>38</v>
      </c>
      <c r="R33" s="3"/>
      <c r="S33" s="44" t="s">
        <v>34</v>
      </c>
      <c r="T33" s="13">
        <f>C42/1000</f>
        <v>92.359499999999997</v>
      </c>
      <c r="U33" s="15">
        <f>C43</f>
        <v>0.31262433027930614</v>
      </c>
    </row>
    <row r="34" spans="1:48" ht="16" x14ac:dyDescent="0.2">
      <c r="A34" s="8" t="s">
        <v>39</v>
      </c>
      <c r="B34" s="49">
        <v>0</v>
      </c>
      <c r="C34" s="49">
        <v>89051</v>
      </c>
      <c r="D34" s="49">
        <v>0</v>
      </c>
      <c r="E34" s="49">
        <v>0</v>
      </c>
      <c r="F34" s="49">
        <v>6696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357</v>
      </c>
      <c r="O34" s="49">
        <v>96104</v>
      </c>
      <c r="P34" s="16">
        <f t="shared" si="0"/>
        <v>0.34996221949110112</v>
      </c>
      <c r="Q34" s="17" t="s">
        <v>40</v>
      </c>
      <c r="R34" s="3"/>
      <c r="S34" s="3"/>
      <c r="T34" s="13">
        <f>SUM(T22:T33)</f>
        <v>295.43286000000001</v>
      </c>
      <c r="U34" s="14">
        <f>SUM(U22:U33)</f>
        <v>1</v>
      </c>
    </row>
    <row r="35" spans="1:48" ht="16" x14ac:dyDescent="0.2">
      <c r="A35" s="8" t="s">
        <v>41</v>
      </c>
      <c r="B35" s="49">
        <v>18836</v>
      </c>
      <c r="C35" s="49">
        <v>391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39390</v>
      </c>
      <c r="O35" s="49">
        <v>58617</v>
      </c>
      <c r="P35" s="16">
        <f t="shared" si="0"/>
        <v>0.2134535026628431</v>
      </c>
      <c r="Q35" s="17" t="s">
        <v>42</v>
      </c>
      <c r="R35" s="17"/>
    </row>
    <row r="36" spans="1:48" ht="16" x14ac:dyDescent="0.2">
      <c r="A36" s="8" t="s">
        <v>43</v>
      </c>
      <c r="B36" s="49">
        <v>9033</v>
      </c>
      <c r="C36" s="49">
        <v>108</v>
      </c>
      <c r="D36" s="49">
        <v>0</v>
      </c>
      <c r="E36" s="49">
        <v>0</v>
      </c>
      <c r="F36" s="49">
        <v>0</v>
      </c>
      <c r="G36" s="49">
        <v>18477</v>
      </c>
      <c r="H36" s="49">
        <v>0</v>
      </c>
      <c r="I36" s="49"/>
      <c r="J36" s="49"/>
      <c r="K36" s="49"/>
      <c r="L36" s="49"/>
      <c r="M36" s="40"/>
      <c r="N36" s="49">
        <v>33636</v>
      </c>
      <c r="O36" s="49">
        <v>61254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19225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3978</v>
      </c>
      <c r="O37" s="49">
        <v>23203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4324</v>
      </c>
      <c r="O38" s="49">
        <v>4324</v>
      </c>
      <c r="P38" s="17">
        <f>SUM(P31:P35)</f>
        <v>0.67670444717556555</v>
      </c>
      <c r="Q38" s="17"/>
      <c r="R38" s="3"/>
      <c r="S38" s="7" t="s">
        <v>46</v>
      </c>
      <c r="T38" s="18">
        <f>O45/1000</f>
        <v>14.519360000000001</v>
      </c>
      <c r="U38" s="7"/>
    </row>
    <row r="39" spans="1:48" ht="16" x14ac:dyDescent="0.2">
      <c r="A39" s="8" t="s">
        <v>15</v>
      </c>
      <c r="B39" s="49">
        <v>52896</v>
      </c>
      <c r="C39" s="61">
        <f>SUM(C31:C38)</f>
        <v>92359.5</v>
      </c>
      <c r="D39" s="49">
        <v>0</v>
      </c>
      <c r="E39" s="61">
        <f t="shared" ref="E39" si="1">SUM(E31:E38)</f>
        <v>3</v>
      </c>
      <c r="F39" s="49">
        <v>6936</v>
      </c>
      <c r="G39" s="49">
        <v>18477</v>
      </c>
      <c r="H39" s="49">
        <v>0</v>
      </c>
      <c r="I39" s="49"/>
      <c r="J39" s="49"/>
      <c r="K39" s="49"/>
      <c r="L39" s="49"/>
      <c r="M39" s="40"/>
      <c r="N39" s="61">
        <f>SUM(N32:N38,N31)</f>
        <v>103942</v>
      </c>
      <c r="O39" s="61">
        <f>SUM(O31:O38)</f>
        <v>274612.5</v>
      </c>
      <c r="P39" s="3"/>
      <c r="Q39" s="3"/>
      <c r="R39" s="3"/>
      <c r="S39" s="7" t="s">
        <v>47</v>
      </c>
      <c r="T39" s="19">
        <f>O41/1000</f>
        <v>88.781000000000006</v>
      </c>
      <c r="U39" s="14">
        <f>P41</f>
        <v>0.32329555282443445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61.253999999999998</v>
      </c>
      <c r="U40" s="15">
        <f>P35</f>
        <v>0.2134535026628431</v>
      </c>
    </row>
    <row r="41" spans="1:48" ht="16" x14ac:dyDescent="0.2">
      <c r="A41" s="20" t="s">
        <v>49</v>
      </c>
      <c r="B41" s="21">
        <f>B38+B37+B36</f>
        <v>28258</v>
      </c>
      <c r="C41" s="21">
        <f t="shared" ref="C41:O41" si="2">C38+C37+C36</f>
        <v>108</v>
      </c>
      <c r="D41" s="21">
        <f t="shared" si="2"/>
        <v>0</v>
      </c>
      <c r="E41" s="21">
        <f t="shared" si="2"/>
        <v>0</v>
      </c>
      <c r="F41" s="21">
        <f t="shared" si="2"/>
        <v>0</v>
      </c>
      <c r="G41" s="21">
        <f t="shared" si="2"/>
        <v>18477</v>
      </c>
      <c r="H41" s="21">
        <f t="shared" si="2"/>
        <v>0</v>
      </c>
      <c r="I41" s="21">
        <f t="shared" si="2"/>
        <v>0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41938</v>
      </c>
      <c r="O41" s="21">
        <f t="shared" si="2"/>
        <v>88781</v>
      </c>
      <c r="P41" s="16">
        <f>O41/$O$39</f>
        <v>0.32329555282443445</v>
      </c>
      <c r="Q41" s="16" t="s">
        <v>50</v>
      </c>
      <c r="R41" s="7"/>
      <c r="S41" s="7" t="s">
        <v>51</v>
      </c>
      <c r="T41" s="19">
        <f>O33/1000</f>
        <v>10.316000000000001</v>
      </c>
      <c r="U41" s="14">
        <f>P33</f>
        <v>3.7565660703718876E-2</v>
      </c>
    </row>
    <row r="42" spans="1:48" ht="16" x14ac:dyDescent="0.2">
      <c r="A42" s="22" t="s">
        <v>52</v>
      </c>
      <c r="B42" s="23">
        <f>B25</f>
        <v>42900</v>
      </c>
      <c r="C42" s="23">
        <f>C10+C23+C39</f>
        <v>92359.5</v>
      </c>
      <c r="D42" s="23">
        <f t="shared" ref="D42:M42" si="3">D39+D23+D10</f>
        <v>0</v>
      </c>
      <c r="E42" s="23">
        <f t="shared" si="3"/>
        <v>3</v>
      </c>
      <c r="F42" s="23">
        <f t="shared" si="3"/>
        <v>8436</v>
      </c>
      <c r="G42" s="23">
        <f t="shared" si="3"/>
        <v>25477</v>
      </c>
      <c r="H42" s="23">
        <f t="shared" si="3"/>
        <v>0</v>
      </c>
      <c r="I42" s="23">
        <f t="shared" si="3"/>
        <v>0</v>
      </c>
      <c r="J42" s="23">
        <f t="shared" si="3"/>
        <v>14000</v>
      </c>
      <c r="K42" s="23">
        <f t="shared" si="3"/>
        <v>0</v>
      </c>
      <c r="L42" s="23">
        <f t="shared" si="3"/>
        <v>0</v>
      </c>
      <c r="M42" s="23">
        <f t="shared" si="3"/>
        <v>0</v>
      </c>
      <c r="N42" s="23">
        <f>N39+N23-B6+N45</f>
        <v>112257.36</v>
      </c>
      <c r="O42" s="24">
        <f>SUM(B42:N42)</f>
        <v>295432.86</v>
      </c>
      <c r="P42" s="7"/>
      <c r="Q42" s="7"/>
      <c r="R42" s="7"/>
      <c r="S42" s="7" t="s">
        <v>33</v>
      </c>
      <c r="T42" s="19">
        <f>O31/1000</f>
        <v>3.8119999999999998</v>
      </c>
      <c r="U42" s="14">
        <f>P31</f>
        <v>1.3881378305794528E-2</v>
      </c>
    </row>
    <row r="43" spans="1:48" ht="16" x14ac:dyDescent="0.2">
      <c r="A43" s="22" t="s">
        <v>53</v>
      </c>
      <c r="B43" s="16">
        <f t="shared" ref="B43" si="4">B42/$O42</f>
        <v>0.14521065801549632</v>
      </c>
      <c r="C43" s="16">
        <f t="shared" ref="C43:N43" si="5">C42/$O42</f>
        <v>0.31262433027930614</v>
      </c>
      <c r="D43" s="16">
        <f t="shared" si="5"/>
        <v>0</v>
      </c>
      <c r="E43" s="16">
        <f t="shared" si="5"/>
        <v>1.0154591469615127E-5</v>
      </c>
      <c r="F43" s="16">
        <f t="shared" si="5"/>
        <v>2.8554711212557739E-2</v>
      </c>
      <c r="G43" s="16">
        <f t="shared" si="5"/>
        <v>8.6236175623794861E-2</v>
      </c>
      <c r="H43" s="16">
        <f t="shared" si="5"/>
        <v>0</v>
      </c>
      <c r="I43" s="16">
        <f t="shared" si="5"/>
        <v>0</v>
      </c>
      <c r="J43" s="16">
        <f t="shared" si="5"/>
        <v>4.7388093524870591E-2</v>
      </c>
      <c r="K43" s="16">
        <f t="shared" si="5"/>
        <v>0</v>
      </c>
      <c r="L43" s="16">
        <f t="shared" si="5"/>
        <v>0</v>
      </c>
      <c r="M43" s="16">
        <f t="shared" si="5"/>
        <v>0</v>
      </c>
      <c r="N43" s="16">
        <f t="shared" si="5"/>
        <v>0.37997587675250483</v>
      </c>
      <c r="O43" s="16">
        <f>SUM(B43:N43)</f>
        <v>1.0000000000000002</v>
      </c>
      <c r="P43" s="7"/>
      <c r="Q43" s="7"/>
      <c r="R43" s="7"/>
      <c r="S43" s="7" t="s">
        <v>54</v>
      </c>
      <c r="T43" s="19">
        <f>O32/1000</f>
        <v>16.982500000000002</v>
      </c>
      <c r="U43" s="15">
        <f>P32</f>
        <v>6.1841686012107967E-2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96.103999999999999</v>
      </c>
      <c r="U44" s="15">
        <f>P34</f>
        <v>0.34996221949110112</v>
      </c>
    </row>
    <row r="45" spans="1:48" ht="16" x14ac:dyDescent="0.2">
      <c r="A45" s="6" t="s">
        <v>56</v>
      </c>
      <c r="B45" s="6">
        <f>B23+B25-B39</f>
        <v>6204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8315.36</v>
      </c>
      <c r="O45" s="24">
        <f>B45+N45</f>
        <v>14519.36</v>
      </c>
      <c r="P45" s="7"/>
      <c r="Q45" s="7"/>
      <c r="R45" s="7"/>
      <c r="S45" s="7" t="s">
        <v>57</v>
      </c>
      <c r="T45" s="19">
        <f>SUM(T39:T44)</f>
        <v>277.24950000000001</v>
      </c>
      <c r="U45" s="14">
        <f>SUM(U39:U44)</f>
        <v>1</v>
      </c>
    </row>
    <row r="46" spans="1:48" ht="16" x14ac:dyDescent="0.2">
      <c r="A46" s="6"/>
      <c r="B46" s="56">
        <f>B45/B23</f>
        <v>0.38296296296296295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26"/>
      <c r="B47" s="9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7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9"/>
      <c r="C48" s="26"/>
      <c r="D48" s="26"/>
      <c r="E48" s="27"/>
      <c r="F48" s="27"/>
      <c r="G48" s="26"/>
      <c r="H48" s="27"/>
      <c r="I48" s="27"/>
      <c r="J48" s="27"/>
      <c r="K48" s="27"/>
      <c r="L48" s="27"/>
      <c r="M48" s="27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9"/>
      <c r="C49" s="27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9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9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9"/>
      <c r="C52" s="2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9"/>
      <c r="C53" s="27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26"/>
      <c r="C55" s="26"/>
      <c r="D55" s="26"/>
      <c r="E55" s="27"/>
      <c r="F55" s="27"/>
      <c r="G55" s="27"/>
      <c r="H55" s="27"/>
      <c r="I55" s="27"/>
      <c r="J55" s="27"/>
      <c r="K55" s="27"/>
      <c r="L55" s="27"/>
      <c r="M55" s="27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7"/>
      <c r="F56" s="27"/>
      <c r="G56" s="27"/>
      <c r="H56" s="27"/>
      <c r="I56" s="6"/>
      <c r="J56" s="27"/>
      <c r="K56" s="27"/>
      <c r="L56" s="27"/>
      <c r="M56" s="27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6"/>
      <c r="G57" s="26"/>
      <c r="H57" s="28"/>
      <c r="I57" s="9"/>
      <c r="J57" s="26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7"/>
      <c r="G58" s="26"/>
      <c r="H58" s="28"/>
      <c r="I58" s="9"/>
      <c r="J58" s="26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6"/>
      <c r="G59" s="26"/>
      <c r="H59" s="28"/>
      <c r="I59" s="9"/>
      <c r="J59" s="26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6"/>
      <c r="G60" s="26"/>
      <c r="H60" s="28"/>
      <c r="I60" s="9"/>
      <c r="J60" s="26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26"/>
      <c r="G61" s="26"/>
      <c r="H61" s="7"/>
      <c r="I61" s="9"/>
      <c r="J61" s="26"/>
      <c r="K61" s="6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26"/>
      <c r="G62" s="26"/>
      <c r="H62" s="7"/>
      <c r="I62" s="9"/>
      <c r="J62" s="26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7"/>
      <c r="D65" s="6"/>
      <c r="E65" s="42"/>
      <c r="F65" s="42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43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D68" s="11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22"/>
      <c r="D70" s="22"/>
      <c r="E70" s="6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  <row r="71" spans="1:21" x14ac:dyDescent="0.2">
      <c r="C71" s="41"/>
      <c r="D71" s="41"/>
      <c r="E71" s="6"/>
    </row>
    <row r="72" spans="1:21" x14ac:dyDescent="0.2">
      <c r="E72" s="6"/>
    </row>
    <row r="73" spans="1:21" x14ac:dyDescent="0.2">
      <c r="E73" s="6"/>
    </row>
    <row r="74" spans="1:21" x14ac:dyDescent="0.2">
      <c r="D74" s="11"/>
      <c r="E74" s="11"/>
      <c r="F74" s="11"/>
    </row>
  </sheetData>
  <pageMargins left="0.75" right="0.75" top="0.75" bottom="0.5" header="0.5" footer="0.75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5" enableFormatConditionsCalculation="0"/>
  <dimension ref="A1:AV73"/>
  <sheetViews>
    <sheetView topLeftCell="D8"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7.6640625" style="2" customWidth="1"/>
    <col min="14" max="14" width="11" style="2" customWidth="1"/>
    <col min="15" max="15" width="11.33203125" style="2" customWidth="1"/>
    <col min="16" max="16" width="12.1640625" style="2" customWidth="1"/>
    <col min="17" max="17" width="11.6640625" style="2" bestFit="1" customWidth="1"/>
    <col min="18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75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17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59">
        <v>27600</v>
      </c>
      <c r="C6" s="49">
        <v>0</v>
      </c>
      <c r="D6" s="55">
        <v>0</v>
      </c>
      <c r="E6" s="49">
        <v>0</v>
      </c>
      <c r="F6" s="49">
        <v>0</v>
      </c>
      <c r="G6" s="55">
        <v>0</v>
      </c>
      <c r="H6" s="49">
        <v>0</v>
      </c>
      <c r="I6" s="49"/>
      <c r="J6" s="49"/>
      <c r="K6" s="49"/>
      <c r="L6" s="49"/>
      <c r="M6" s="49"/>
      <c r="N6" s="49"/>
      <c r="O6" s="55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0"/>
      <c r="Q7" s="40"/>
      <c r="R7" s="40"/>
      <c r="AH7" s="40"/>
      <c r="AI7" s="40"/>
    </row>
    <row r="8" spans="1:35" ht="15.75" x14ac:dyDescent="0.25">
      <c r="A8" s="8" t="s">
        <v>13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0"/>
      <c r="Q8" s="40"/>
      <c r="R8" s="40"/>
      <c r="AH8" s="40"/>
      <c r="AI8" s="40"/>
    </row>
    <row r="9" spans="1:35" ht="15.75" x14ac:dyDescent="0.25">
      <c r="A9" s="8" t="s">
        <v>14</v>
      </c>
      <c r="B9" s="49">
        <v>8866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6" x14ac:dyDescent="0.2">
      <c r="A10" s="8" t="s">
        <v>15</v>
      </c>
      <c r="B10" s="59">
        <f>SUM(B4:B9)</f>
        <v>36483</v>
      </c>
      <c r="C10" s="49">
        <v>0</v>
      </c>
      <c r="D10" s="55">
        <v>0</v>
      </c>
      <c r="E10" s="49">
        <v>0</v>
      </c>
      <c r="F10" s="49">
        <v>0</v>
      </c>
      <c r="G10" s="55">
        <v>0</v>
      </c>
      <c r="H10" s="49">
        <v>0</v>
      </c>
      <c r="I10" s="49"/>
      <c r="J10" s="49"/>
      <c r="K10" s="49"/>
      <c r="L10" s="49"/>
      <c r="M10" s="49"/>
      <c r="N10" s="49"/>
      <c r="O10" s="55">
        <v>0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59">
        <v>204400</v>
      </c>
      <c r="C17" s="59">
        <v>4500</v>
      </c>
      <c r="D17" s="55">
        <v>0</v>
      </c>
      <c r="E17" s="49">
        <v>0</v>
      </c>
      <c r="F17" s="49">
        <v>0</v>
      </c>
      <c r="G17" s="59">
        <v>30700</v>
      </c>
      <c r="H17" s="49">
        <v>0</v>
      </c>
      <c r="I17" s="49"/>
      <c r="J17" s="49"/>
      <c r="K17" s="57">
        <f>203200</f>
        <v>203200</v>
      </c>
      <c r="L17" s="49"/>
      <c r="M17" s="49"/>
      <c r="N17" s="57">
        <v>12600</v>
      </c>
      <c r="O17" s="59">
        <f>SUM(C17:N17)</f>
        <v>251000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57">
        <v>7500</v>
      </c>
      <c r="C18" s="57">
        <v>300</v>
      </c>
      <c r="D18" s="49">
        <v>0</v>
      </c>
      <c r="E18" s="49">
        <v>0</v>
      </c>
      <c r="F18" s="49">
        <v>0</v>
      </c>
      <c r="G18" s="57">
        <v>6500</v>
      </c>
      <c r="H18" s="49">
        <v>0</v>
      </c>
      <c r="I18" s="49"/>
      <c r="J18" s="49"/>
      <c r="K18" s="49"/>
      <c r="L18" s="49"/>
      <c r="M18" s="49"/>
      <c r="N18" s="57">
        <v>1500</v>
      </c>
      <c r="O18" s="57">
        <f>SUM(C18:N18)</f>
        <v>8300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55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3914.3257599999997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59">
        <v>41600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55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1929.79476</v>
      </c>
      <c r="U22" s="14">
        <f>N43</f>
        <v>0.49300821605609035</v>
      </c>
    </row>
    <row r="23" spans="1:21" ht="16" x14ac:dyDescent="0.2">
      <c r="A23" s="8" t="s">
        <v>15</v>
      </c>
      <c r="B23" s="57">
        <f>253500</f>
        <v>253500</v>
      </c>
      <c r="C23" s="59">
        <f t="shared" ref="C23:H23" si="0">SUM(C17:C18)</f>
        <v>4800</v>
      </c>
      <c r="D23" s="55">
        <f t="shared" si="0"/>
        <v>0</v>
      </c>
      <c r="E23" s="55">
        <f t="shared" si="0"/>
        <v>0</v>
      </c>
      <c r="F23" s="55">
        <f t="shared" si="0"/>
        <v>0</v>
      </c>
      <c r="G23" s="59">
        <f t="shared" si="0"/>
        <v>37200</v>
      </c>
      <c r="H23" s="55">
        <f t="shared" si="0"/>
        <v>0</v>
      </c>
      <c r="I23" s="55"/>
      <c r="J23" s="55"/>
      <c r="K23" s="59">
        <f>SUM(K17:K18)</f>
        <v>203200</v>
      </c>
      <c r="L23" s="55"/>
      <c r="M23" s="55"/>
      <c r="N23" s="59">
        <f>SUM(N17:N18)</f>
        <v>14100</v>
      </c>
      <c r="O23" s="59">
        <f>SUM(O17:O18)</f>
        <v>259300</v>
      </c>
      <c r="P23" s="39"/>
      <c r="Q23" s="3"/>
      <c r="R23" s="3"/>
      <c r="S23" s="44" t="s">
        <v>59</v>
      </c>
      <c r="T23" s="13">
        <f>G42/1000</f>
        <v>53.307000000000002</v>
      </c>
      <c r="U23" s="15">
        <f>G43</f>
        <v>1.3618437316775598E-2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0</v>
      </c>
      <c r="U24" s="14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27.452999999999999</v>
      </c>
      <c r="U25" s="14">
        <f>F43</f>
        <v>7.0134683935963475E-3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1156</v>
      </c>
      <c r="U27" s="50">
        <f>D43</f>
        <v>0.29532544577996495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203.2</v>
      </c>
      <c r="U28" s="50">
        <f>K43</f>
        <v>5.1911877666512868E-2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120</v>
      </c>
      <c r="D31" s="49">
        <v>0</v>
      </c>
      <c r="E31" s="49">
        <v>0</v>
      </c>
      <c r="F31" s="49">
        <v>12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676</v>
      </c>
      <c r="O31" s="49">
        <v>809</v>
      </c>
      <c r="P31" s="16">
        <f>O31/$O$39</f>
        <v>2.1640928050735536E-4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82">
        <v>16744</v>
      </c>
      <c r="C32" s="57">
        <v>218000</v>
      </c>
      <c r="D32" s="57">
        <v>1156000</v>
      </c>
      <c r="E32" s="61">
        <v>0</v>
      </c>
      <c r="F32" s="49">
        <v>0</v>
      </c>
      <c r="G32" s="49">
        <v>0</v>
      </c>
      <c r="H32" s="49">
        <v>0</v>
      </c>
      <c r="I32" s="49"/>
      <c r="J32" s="49"/>
      <c r="K32" s="49"/>
      <c r="L32" s="49"/>
      <c r="M32" s="40"/>
      <c r="N32" s="61">
        <f>1388000+48000</f>
        <v>1436000</v>
      </c>
      <c r="O32" s="64">
        <f>SUM(B32:N32)</f>
        <v>2826744</v>
      </c>
      <c r="P32" s="16">
        <f>O32/$O$39</f>
        <v>0.75616024130838533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82">
        <v>38810</v>
      </c>
      <c r="C33" s="49">
        <v>85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61">
        <f>O33-C33-B33</f>
        <v>46783</v>
      </c>
      <c r="O33" s="49">
        <v>85678</v>
      </c>
      <c r="P33" s="16">
        <f>O33/$O$39</f>
        <v>2.291905356651322E-2</v>
      </c>
      <c r="Q33" s="17" t="s">
        <v>38</v>
      </c>
      <c r="R33" s="3"/>
      <c r="S33" s="44" t="s">
        <v>34</v>
      </c>
      <c r="T33" s="13">
        <f>C42/1000</f>
        <v>544.57100000000003</v>
      </c>
      <c r="U33" s="15">
        <f>C43</f>
        <v>0.13912255478705993</v>
      </c>
    </row>
    <row r="34" spans="1:48" ht="16" x14ac:dyDescent="0.2">
      <c r="A34" s="8" t="s">
        <v>39</v>
      </c>
      <c r="B34" s="83">
        <v>0</v>
      </c>
      <c r="C34" s="49">
        <v>315340</v>
      </c>
      <c r="D34" s="49">
        <v>0</v>
      </c>
      <c r="E34" s="49">
        <v>0</v>
      </c>
      <c r="F34" s="49">
        <v>27440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62369</v>
      </c>
      <c r="O34" s="49">
        <v>405150</v>
      </c>
      <c r="P34" s="16">
        <f>O34/$O$39</f>
        <v>0.10837851668424602</v>
      </c>
      <c r="Q34" s="17" t="s">
        <v>40</v>
      </c>
      <c r="R34" s="3"/>
      <c r="S34" s="3"/>
      <c r="T34" s="13">
        <f>SUM(T22:T33)</f>
        <v>3914.3257599999997</v>
      </c>
      <c r="U34" s="14">
        <f>SUM(U22:U33)</f>
        <v>1</v>
      </c>
    </row>
    <row r="35" spans="1:48" ht="16" x14ac:dyDescent="0.2">
      <c r="A35" s="8" t="s">
        <v>41</v>
      </c>
      <c r="B35" s="82">
        <f>19721+5340</f>
        <v>25061</v>
      </c>
      <c r="C35" s="49">
        <v>6160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61">
        <f>O35-C35-B35</f>
        <v>111521</v>
      </c>
      <c r="O35" s="49">
        <v>142742</v>
      </c>
      <c r="P35" s="16">
        <f>O35/$O$39</f>
        <v>3.8183799157207564E-2</v>
      </c>
      <c r="Q35" s="17" t="s">
        <v>42</v>
      </c>
      <c r="R35" s="17"/>
    </row>
    <row r="36" spans="1:48" ht="16" x14ac:dyDescent="0.2">
      <c r="A36" s="8" t="s">
        <v>43</v>
      </c>
      <c r="B36" s="59">
        <v>32726</v>
      </c>
      <c r="C36" s="49">
        <v>66</v>
      </c>
      <c r="D36" s="49">
        <v>0</v>
      </c>
      <c r="E36" s="49">
        <v>0</v>
      </c>
      <c r="F36" s="49">
        <v>0</v>
      </c>
      <c r="G36" s="49">
        <v>16107</v>
      </c>
      <c r="H36" s="49">
        <v>0</v>
      </c>
      <c r="I36" s="49"/>
      <c r="J36" s="49"/>
      <c r="K36" s="49"/>
      <c r="L36" s="49"/>
      <c r="M36" s="40"/>
      <c r="N36" s="61">
        <f>N39-SUM(N37:N38,N31:N35)</f>
        <v>108555</v>
      </c>
      <c r="O36" s="61">
        <f>SUM(B36:N36)</f>
        <v>157454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59">
        <v>86268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23329</v>
      </c>
      <c r="O37" s="61">
        <f>SUM(B37:N37)</f>
        <v>109597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10114</v>
      </c>
      <c r="O38" s="49">
        <v>10114</v>
      </c>
      <c r="P38" s="17">
        <f>SUM(P31:P35)</f>
        <v>0.92585801999685957</v>
      </c>
      <c r="Q38" s="17"/>
      <c r="R38" s="3"/>
      <c r="S38" s="7" t="s">
        <v>46</v>
      </c>
      <c r="T38" s="18">
        <f>O45/1000</f>
        <v>197.83876000000001</v>
      </c>
      <c r="U38" s="7"/>
    </row>
    <row r="39" spans="1:48" ht="16" x14ac:dyDescent="0.2">
      <c r="A39" s="8" t="s">
        <v>15</v>
      </c>
      <c r="B39" s="59">
        <v>199609</v>
      </c>
      <c r="C39" s="57">
        <f>SUM(C31:C38)</f>
        <v>539771</v>
      </c>
      <c r="D39" s="57">
        <f>D32</f>
        <v>1156000</v>
      </c>
      <c r="E39" s="61">
        <v>0</v>
      </c>
      <c r="F39" s="49">
        <v>27453</v>
      </c>
      <c r="G39" s="49">
        <v>16107</v>
      </c>
      <c r="H39" s="49">
        <v>0</v>
      </c>
      <c r="I39" s="49"/>
      <c r="J39" s="49"/>
      <c r="K39" s="49"/>
      <c r="L39" s="49"/>
      <c r="M39" s="40"/>
      <c r="N39" s="49">
        <v>1799347</v>
      </c>
      <c r="O39" s="57">
        <f>SUM(B39:N39)</f>
        <v>3738287</v>
      </c>
      <c r="P39" s="39">
        <f>O39-N39-G39-F39-D39-C39</f>
        <v>199609</v>
      </c>
      <c r="Q39" s="3"/>
      <c r="R39" s="3"/>
      <c r="S39" s="7" t="s">
        <v>47</v>
      </c>
      <c r="T39" s="19">
        <f>O41/1000</f>
        <v>277.16500000000002</v>
      </c>
      <c r="U39" s="14">
        <f>P41</f>
        <v>7.4142247505341347E-2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157.45400000000001</v>
      </c>
      <c r="U40" s="15">
        <f>P35</f>
        <v>3.8183799157207564E-2</v>
      </c>
    </row>
    <row r="41" spans="1:48" ht="16" x14ac:dyDescent="0.2">
      <c r="A41" s="20" t="s">
        <v>49</v>
      </c>
      <c r="B41" s="21">
        <f t="shared" ref="B41:O41" si="1">B38+B37+B36</f>
        <v>118994</v>
      </c>
      <c r="C41" s="21">
        <f t="shared" si="1"/>
        <v>66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16107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141998</v>
      </c>
      <c r="O41" s="21">
        <f t="shared" si="1"/>
        <v>277165</v>
      </c>
      <c r="P41" s="16">
        <f>O41/$O$39</f>
        <v>7.4142247505341347E-2</v>
      </c>
      <c r="Q41" s="16" t="s">
        <v>50</v>
      </c>
      <c r="R41" s="7"/>
      <c r="S41" s="7" t="s">
        <v>51</v>
      </c>
      <c r="T41" s="19">
        <f>O33/1000</f>
        <v>85.677999999999997</v>
      </c>
      <c r="U41" s="14">
        <f>P33</f>
        <v>2.291905356651322E-2</v>
      </c>
    </row>
    <row r="42" spans="1:48" ht="16" x14ac:dyDescent="0.2">
      <c r="A42" s="22" t="s">
        <v>52</v>
      </c>
      <c r="B42" s="21"/>
      <c r="C42" s="23">
        <f>C10+C23+C39</f>
        <v>544571</v>
      </c>
      <c r="D42" s="23">
        <f t="shared" ref="D42:M42" si="2">D39+D23+D10</f>
        <v>1156000</v>
      </c>
      <c r="E42" s="23">
        <f t="shared" si="2"/>
        <v>0</v>
      </c>
      <c r="F42" s="23">
        <f t="shared" si="2"/>
        <v>27453</v>
      </c>
      <c r="G42" s="23">
        <f t="shared" si="2"/>
        <v>53307</v>
      </c>
      <c r="H42" s="23">
        <f t="shared" si="2"/>
        <v>0</v>
      </c>
      <c r="I42" s="23">
        <f t="shared" si="2"/>
        <v>0</v>
      </c>
      <c r="J42" s="23">
        <f t="shared" si="2"/>
        <v>0</v>
      </c>
      <c r="K42" s="23">
        <f t="shared" si="2"/>
        <v>203200</v>
      </c>
      <c r="L42" s="23">
        <f t="shared" si="2"/>
        <v>0</v>
      </c>
      <c r="M42" s="23">
        <f t="shared" si="2"/>
        <v>0</v>
      </c>
      <c r="N42" s="23">
        <f>N39+N23-B6+N45</f>
        <v>1929794.76</v>
      </c>
      <c r="O42" s="24">
        <f>SUM(C42:N42)</f>
        <v>3914325.76</v>
      </c>
      <c r="P42" s="7"/>
      <c r="Q42" s="7"/>
      <c r="R42" s="7"/>
      <c r="S42" s="7" t="s">
        <v>33</v>
      </c>
      <c r="T42" s="19">
        <f>O31/1000</f>
        <v>0.80900000000000005</v>
      </c>
      <c r="U42" s="14">
        <f>P31</f>
        <v>2.1640928050735536E-4</v>
      </c>
    </row>
    <row r="43" spans="1:48" ht="16" x14ac:dyDescent="0.2">
      <c r="A43" s="22" t="s">
        <v>53</v>
      </c>
      <c r="B43" s="21"/>
      <c r="C43" s="16">
        <f t="shared" ref="C43:N43" si="3">C42/$O42</f>
        <v>0.13912255478705993</v>
      </c>
      <c r="D43" s="16">
        <f t="shared" si="3"/>
        <v>0.29532544577996495</v>
      </c>
      <c r="E43" s="16">
        <f t="shared" si="3"/>
        <v>0</v>
      </c>
      <c r="F43" s="16">
        <f t="shared" si="3"/>
        <v>7.0134683935963475E-3</v>
      </c>
      <c r="G43" s="16">
        <f t="shared" si="3"/>
        <v>1.3618437316775598E-2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5.1911877666512868E-2</v>
      </c>
      <c r="L43" s="16">
        <f t="shared" si="3"/>
        <v>0</v>
      </c>
      <c r="M43" s="16">
        <f t="shared" si="3"/>
        <v>0</v>
      </c>
      <c r="N43" s="16">
        <f t="shared" si="3"/>
        <v>0.49300821605609035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2826.7440000000001</v>
      </c>
      <c r="U43" s="15">
        <f>P32</f>
        <v>0.75616024130838533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405.15</v>
      </c>
      <c r="U44" s="15">
        <f>P34</f>
        <v>0.10837851668424602</v>
      </c>
    </row>
    <row r="45" spans="1:48" ht="16" x14ac:dyDescent="0.2">
      <c r="A45" s="6" t="s">
        <v>56</v>
      </c>
      <c r="B45" s="6">
        <f>B23-B39</f>
        <v>53891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143947.76</v>
      </c>
      <c r="O45" s="24">
        <f>B45+N45</f>
        <v>197838.76</v>
      </c>
      <c r="P45" s="7"/>
      <c r="Q45" s="7"/>
      <c r="R45" s="7"/>
      <c r="S45" s="7" t="s">
        <v>57</v>
      </c>
      <c r="T45" s="19">
        <f>SUM(T39:T44)</f>
        <v>3753.0000000000005</v>
      </c>
      <c r="U45" s="14">
        <f>SUM(U39:U44)</f>
        <v>1.0000002675022008</v>
      </c>
    </row>
    <row r="46" spans="1:48" ht="16" x14ac:dyDescent="0.2">
      <c r="A46" s="6"/>
      <c r="B46" s="56">
        <f>B45/B23</f>
        <v>0.21258777120315581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26"/>
      <c r="B47" s="4"/>
      <c r="C47" s="26"/>
      <c r="D47" s="27"/>
      <c r="E47" s="26"/>
      <c r="F47" s="26"/>
      <c r="G47" s="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66" spans="1:21" ht="16" x14ac:dyDescent="0.2">
      <c r="A66" s="7"/>
      <c r="B66" s="8"/>
      <c r="C66" s="40"/>
      <c r="D66" s="40"/>
      <c r="E66" s="40"/>
      <c r="F66" s="40"/>
      <c r="G66" s="40"/>
      <c r="H66" s="40"/>
      <c r="I66" s="40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8"/>
      <c r="C67" s="40"/>
      <c r="D67" s="40"/>
      <c r="E67" s="40"/>
      <c r="F67" s="40"/>
      <c r="G67" s="40"/>
      <c r="H67" s="40"/>
      <c r="I67" s="40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40"/>
      <c r="C70" s="8"/>
      <c r="D70" s="8"/>
      <c r="E70" s="8"/>
      <c r="F70" s="8"/>
      <c r="G70" s="8"/>
      <c r="H70" s="8"/>
      <c r="I70" s="8"/>
      <c r="J70" s="7"/>
      <c r="K70" s="7"/>
      <c r="L70" s="7"/>
      <c r="M70" s="7"/>
      <c r="N70" s="7"/>
      <c r="O70" s="7"/>
      <c r="P70" s="6"/>
      <c r="Q70" s="29"/>
      <c r="R70" s="7"/>
      <c r="S70" s="7"/>
      <c r="T70" s="6"/>
      <c r="U70" s="30"/>
    </row>
    <row r="71" spans="1:21" ht="16" x14ac:dyDescent="0.2">
      <c r="A71" s="7"/>
      <c r="B71" s="8"/>
      <c r="C71" s="40"/>
      <c r="D71" s="40"/>
      <c r="E71" s="40"/>
      <c r="F71" s="40"/>
      <c r="G71" s="40"/>
      <c r="H71" s="40"/>
      <c r="I71" s="40"/>
      <c r="J71" s="7"/>
      <c r="K71" s="7"/>
      <c r="L71" s="7"/>
      <c r="M71" s="7"/>
      <c r="N71" s="7"/>
      <c r="O71" s="7"/>
      <c r="P71" s="31"/>
      <c r="Q71" s="35"/>
      <c r="R71" s="7"/>
      <c r="S71" s="36"/>
      <c r="T71" s="31"/>
      <c r="U71" s="35"/>
    </row>
    <row r="72" spans="1:21" ht="16" x14ac:dyDescent="0.2">
      <c r="B72" s="8"/>
      <c r="C72" s="40"/>
      <c r="D72" s="40"/>
      <c r="E72" s="40"/>
      <c r="F72" s="40"/>
      <c r="G72" s="40"/>
      <c r="H72" s="40"/>
      <c r="I72" s="40"/>
    </row>
    <row r="73" spans="1:21" ht="16" x14ac:dyDescent="0.2">
      <c r="B73" s="8"/>
      <c r="C73" s="40"/>
      <c r="D73" s="40"/>
      <c r="E73" s="40"/>
      <c r="F73" s="40"/>
      <c r="G73" s="40"/>
      <c r="H73" s="40"/>
      <c r="I73" s="40"/>
    </row>
  </sheetData>
  <pageMargins left="0.75" right="0.75" top="0.75" bottom="0.5" header="0.5" footer="0.7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A1:AV70"/>
  <sheetViews>
    <sheetView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14" width="8.83203125" style="2"/>
    <col min="15" max="15" width="12.1640625" style="2" customWidth="1"/>
    <col min="16" max="19" width="8.83203125" style="2"/>
    <col min="20" max="20" width="10" style="2" customWidth="1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62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6" x14ac:dyDescent="0.2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49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49">
        <f>6698+37483</f>
        <v>44181</v>
      </c>
      <c r="C18" s="49">
        <v>40</v>
      </c>
      <c r="D18" s="63">
        <v>0</v>
      </c>
      <c r="E18" s="49">
        <v>0</v>
      </c>
      <c r="F18" s="49">
        <v>0</v>
      </c>
      <c r="G18" s="49">
        <v>37721</v>
      </c>
      <c r="H18" s="49">
        <v>0</v>
      </c>
      <c r="I18" s="49"/>
      <c r="J18" s="63">
        <v>7308</v>
      </c>
      <c r="K18" s="49"/>
      <c r="L18" s="49"/>
      <c r="M18" s="49"/>
      <c r="N18" s="49"/>
      <c r="O18" s="49">
        <v>45069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307.47388000000001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91.460880000000003</v>
      </c>
      <c r="U22" s="14">
        <f>N43</f>
        <v>0.29745902318596951</v>
      </c>
    </row>
    <row r="23" spans="1:21" ht="16" x14ac:dyDescent="0.2">
      <c r="A23" s="8" t="s">
        <v>15</v>
      </c>
      <c r="B23" s="49">
        <v>44181</v>
      </c>
      <c r="C23" s="49">
        <v>40</v>
      </c>
      <c r="D23" s="63">
        <v>0</v>
      </c>
      <c r="E23" s="49">
        <v>0</v>
      </c>
      <c r="F23" s="49">
        <v>0</v>
      </c>
      <c r="G23" s="49">
        <v>37721</v>
      </c>
      <c r="H23" s="49">
        <v>0</v>
      </c>
      <c r="I23" s="49"/>
      <c r="J23" s="63">
        <v>7308</v>
      </c>
      <c r="K23" s="49"/>
      <c r="L23" s="49"/>
      <c r="M23" s="49"/>
      <c r="N23" s="49"/>
      <c r="O23" s="49">
        <v>45069</v>
      </c>
      <c r="P23" s="39"/>
      <c r="Q23" s="3"/>
      <c r="R23" s="3"/>
      <c r="S23" s="44" t="s">
        <v>59</v>
      </c>
      <c r="T23" s="13">
        <f>G42/1000</f>
        <v>67.293000000000006</v>
      </c>
      <c r="U23" s="15">
        <f>G43</f>
        <v>0.21885761483219321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7.3079999999999998</v>
      </c>
      <c r="U24" s="14">
        <f>J43</f>
        <v>2.3767872575062309E-2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11.054</v>
      </c>
      <c r="U25" s="14">
        <f>F43</f>
        <v>3.5951021270489707E-2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3915</v>
      </c>
      <c r="D31" s="49">
        <v>0</v>
      </c>
      <c r="E31" s="49">
        <v>0</v>
      </c>
      <c r="F31" s="49">
        <v>405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2082</v>
      </c>
      <c r="O31" s="49">
        <v>6403</v>
      </c>
      <c r="P31" s="16">
        <f>O31/$O$39</f>
        <v>2.1759002817150295E-2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1683</v>
      </c>
      <c r="C32" s="61">
        <v>4785</v>
      </c>
      <c r="D32" s="49">
        <v>0</v>
      </c>
      <c r="E32" s="49">
        <v>0</v>
      </c>
      <c r="F32" s="49">
        <v>0</v>
      </c>
      <c r="G32" s="61">
        <v>12835</v>
      </c>
      <c r="H32" s="49">
        <v>0</v>
      </c>
      <c r="I32" s="49"/>
      <c r="J32" s="49"/>
      <c r="K32" s="49"/>
      <c r="L32" s="49"/>
      <c r="M32" s="40"/>
      <c r="N32" s="61">
        <v>8845</v>
      </c>
      <c r="O32" s="49">
        <v>28149</v>
      </c>
      <c r="P32" s="16">
        <f t="shared" ref="P32:P35" si="0">O32/$O$39</f>
        <v>9.5657374714971682E-2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8402</v>
      </c>
      <c r="C33" s="49">
        <v>51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9146</v>
      </c>
      <c r="O33" s="49">
        <v>17599</v>
      </c>
      <c r="P33" s="16">
        <f t="shared" si="0"/>
        <v>5.9805823923009219E-2</v>
      </c>
      <c r="Q33" s="17" t="s">
        <v>38</v>
      </c>
      <c r="R33" s="3"/>
      <c r="S33" s="44" t="s">
        <v>34</v>
      </c>
      <c r="T33" s="13">
        <f>C42/1000</f>
        <v>130.358</v>
      </c>
      <c r="U33" s="15">
        <f>C43</f>
        <v>0.42396446813628524</v>
      </c>
    </row>
    <row r="34" spans="1:48" ht="16" x14ac:dyDescent="0.2">
      <c r="A34" s="8" t="s">
        <v>39</v>
      </c>
      <c r="B34" s="49">
        <v>0</v>
      </c>
      <c r="C34" s="49">
        <v>118250</v>
      </c>
      <c r="D34" s="49">
        <v>0</v>
      </c>
      <c r="E34" s="49">
        <v>0</v>
      </c>
      <c r="F34" s="49">
        <v>10649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83</v>
      </c>
      <c r="O34" s="49">
        <v>128982</v>
      </c>
      <c r="P34" s="16">
        <f t="shared" si="0"/>
        <v>0.43831324400463523</v>
      </c>
      <c r="Q34" s="17" t="s">
        <v>40</v>
      </c>
      <c r="R34" s="3"/>
      <c r="S34" s="3"/>
      <c r="T34" s="13">
        <f>SUM(T22:T33)</f>
        <v>307.47388000000001</v>
      </c>
      <c r="U34" s="14">
        <f>SUM(U22:U33)</f>
        <v>1</v>
      </c>
    </row>
    <row r="35" spans="1:48" ht="16" x14ac:dyDescent="0.2">
      <c r="A35" s="8" t="s">
        <v>41</v>
      </c>
      <c r="B35" s="49">
        <v>9425</v>
      </c>
      <c r="C35" s="49">
        <v>2680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22189</v>
      </c>
      <c r="O35" s="49">
        <v>34294</v>
      </c>
      <c r="P35" s="16">
        <f t="shared" si="0"/>
        <v>0.11653962870706734</v>
      </c>
      <c r="Q35" s="17" t="s">
        <v>42</v>
      </c>
      <c r="R35" s="17"/>
    </row>
    <row r="36" spans="1:48" ht="16" x14ac:dyDescent="0.2">
      <c r="A36" s="8" t="s">
        <v>43</v>
      </c>
      <c r="B36" s="49">
        <v>7771</v>
      </c>
      <c r="C36" s="49">
        <v>637</v>
      </c>
      <c r="D36" s="49">
        <v>0</v>
      </c>
      <c r="E36" s="49">
        <v>0</v>
      </c>
      <c r="F36" s="49">
        <v>0</v>
      </c>
      <c r="G36" s="49">
        <v>16737</v>
      </c>
      <c r="H36" s="49">
        <v>0</v>
      </c>
      <c r="I36" s="49"/>
      <c r="J36" s="49"/>
      <c r="K36" s="49"/>
      <c r="L36" s="49"/>
      <c r="M36" s="40"/>
      <c r="N36" s="49">
        <v>35825</v>
      </c>
      <c r="O36" s="49">
        <v>60970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11357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1987</v>
      </c>
      <c r="O37" s="49">
        <v>13344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4529</v>
      </c>
      <c r="O38" s="49">
        <v>4529</v>
      </c>
      <c r="P38" s="17">
        <f>SUM(P31:P35)</f>
        <v>0.73207507416683371</v>
      </c>
      <c r="Q38" s="17"/>
      <c r="R38" s="3"/>
      <c r="S38" s="7" t="s">
        <v>46</v>
      </c>
      <c r="T38" s="18">
        <f>O45/1000</f>
        <v>12.317880000000001</v>
      </c>
      <c r="U38" s="7"/>
    </row>
    <row r="39" spans="1:48" ht="16" x14ac:dyDescent="0.2">
      <c r="A39" s="8" t="s">
        <v>15</v>
      </c>
      <c r="B39" s="49">
        <v>38638</v>
      </c>
      <c r="C39" s="61">
        <f>SUM(C31:C38)</f>
        <v>130318</v>
      </c>
      <c r="D39" s="49">
        <v>0</v>
      </c>
      <c r="E39" s="49">
        <v>0</v>
      </c>
      <c r="F39" s="49">
        <v>11054</v>
      </c>
      <c r="G39" s="61">
        <f>SUM(G31:G38)</f>
        <v>29572</v>
      </c>
      <c r="H39" s="49">
        <v>0</v>
      </c>
      <c r="I39" s="49"/>
      <c r="J39" s="49"/>
      <c r="K39" s="49"/>
      <c r="L39" s="49"/>
      <c r="M39" s="40"/>
      <c r="N39" s="61">
        <f>SUM(N31:N38)</f>
        <v>84686</v>
      </c>
      <c r="O39" s="49">
        <v>294269</v>
      </c>
      <c r="P39" s="3"/>
      <c r="Q39" s="3"/>
      <c r="R39" s="3"/>
      <c r="S39" s="7" t="s">
        <v>47</v>
      </c>
      <c r="T39" s="19">
        <f>O41/1000</f>
        <v>78.843000000000004</v>
      </c>
      <c r="U39" s="14">
        <f>P41</f>
        <v>0.26792832408442613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60.97</v>
      </c>
      <c r="U40" s="15">
        <f>P35</f>
        <v>0.11653962870706734</v>
      </c>
    </row>
    <row r="41" spans="1:48" ht="16" x14ac:dyDescent="0.2">
      <c r="A41" s="20" t="s">
        <v>49</v>
      </c>
      <c r="B41" s="21">
        <f>B38+B37+B36</f>
        <v>19128</v>
      </c>
      <c r="C41" s="21">
        <f t="shared" ref="C41:O41" si="1">C38+C37+C36</f>
        <v>637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16737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42341</v>
      </c>
      <c r="O41" s="21">
        <f t="shared" si="1"/>
        <v>78843</v>
      </c>
      <c r="P41" s="16">
        <f>O41/$O$39</f>
        <v>0.26792832408442613</v>
      </c>
      <c r="Q41" s="16" t="s">
        <v>50</v>
      </c>
      <c r="R41" s="7"/>
      <c r="S41" s="7" t="s">
        <v>51</v>
      </c>
      <c r="T41" s="19">
        <f>O33/1000</f>
        <v>17.599</v>
      </c>
      <c r="U41" s="14">
        <f>P33</f>
        <v>5.9805823923009219E-2</v>
      </c>
    </row>
    <row r="42" spans="1:48" ht="16" x14ac:dyDescent="0.2">
      <c r="A42" s="22" t="s">
        <v>52</v>
      </c>
      <c r="B42" s="21"/>
      <c r="C42" s="23">
        <f>C10+C23+C39</f>
        <v>130358</v>
      </c>
      <c r="D42" s="23">
        <f t="shared" ref="D42:M42" si="2">D39+D23+D10</f>
        <v>0</v>
      </c>
      <c r="E42" s="23">
        <f t="shared" si="2"/>
        <v>0</v>
      </c>
      <c r="F42" s="23">
        <f t="shared" si="2"/>
        <v>11054</v>
      </c>
      <c r="G42" s="23">
        <f t="shared" si="2"/>
        <v>67293</v>
      </c>
      <c r="H42" s="23">
        <f t="shared" si="2"/>
        <v>0</v>
      </c>
      <c r="I42" s="23">
        <f t="shared" si="2"/>
        <v>0</v>
      </c>
      <c r="J42" s="23">
        <f t="shared" si="2"/>
        <v>7308</v>
      </c>
      <c r="K42" s="23">
        <f t="shared" si="2"/>
        <v>0</v>
      </c>
      <c r="L42" s="23">
        <f t="shared" si="2"/>
        <v>0</v>
      </c>
      <c r="M42" s="23">
        <f t="shared" si="2"/>
        <v>0</v>
      </c>
      <c r="N42" s="23">
        <f>N39+N23-B6+N45</f>
        <v>91460.88</v>
      </c>
      <c r="O42" s="24">
        <f>SUM(C42:N42)</f>
        <v>307473.88</v>
      </c>
      <c r="P42" s="7"/>
      <c r="Q42" s="7"/>
      <c r="R42" s="7"/>
      <c r="S42" s="7" t="s">
        <v>33</v>
      </c>
      <c r="T42" s="19">
        <f>O31/1000</f>
        <v>6.4029999999999996</v>
      </c>
      <c r="U42" s="14">
        <f>P31</f>
        <v>2.1759002817150295E-2</v>
      </c>
    </row>
    <row r="43" spans="1:48" ht="16" x14ac:dyDescent="0.2">
      <c r="A43" s="22" t="s">
        <v>53</v>
      </c>
      <c r="B43" s="21"/>
      <c r="C43" s="16">
        <f t="shared" ref="C43:N43" si="3">C42/$O42</f>
        <v>0.42396446813628524</v>
      </c>
      <c r="D43" s="16">
        <f t="shared" si="3"/>
        <v>0</v>
      </c>
      <c r="E43" s="16">
        <f t="shared" si="3"/>
        <v>0</v>
      </c>
      <c r="F43" s="16">
        <f t="shared" si="3"/>
        <v>3.5951021270489707E-2</v>
      </c>
      <c r="G43" s="16">
        <f t="shared" si="3"/>
        <v>0.21885761483219321</v>
      </c>
      <c r="H43" s="16">
        <f t="shared" si="3"/>
        <v>0</v>
      </c>
      <c r="I43" s="16">
        <f t="shared" si="3"/>
        <v>0</v>
      </c>
      <c r="J43" s="16">
        <f t="shared" si="3"/>
        <v>2.3767872575062309E-2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0.29745902318596951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28.149000000000001</v>
      </c>
      <c r="U43" s="15">
        <f>P32</f>
        <v>9.5657374714971682E-2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128.982</v>
      </c>
      <c r="U44" s="15">
        <f>P34</f>
        <v>0.43831324400463523</v>
      </c>
    </row>
    <row r="45" spans="1:48" ht="16" x14ac:dyDescent="0.2">
      <c r="A45" s="6" t="s">
        <v>56</v>
      </c>
      <c r="B45" s="6">
        <f>B23-B39</f>
        <v>5543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6774.88</v>
      </c>
      <c r="O45" s="24">
        <f>B45+N45</f>
        <v>12317.880000000001</v>
      </c>
      <c r="P45" s="7"/>
      <c r="Q45" s="7"/>
      <c r="R45" s="7"/>
      <c r="S45" s="7" t="s">
        <v>57</v>
      </c>
      <c r="T45" s="19">
        <f>SUM(T39:T44)</f>
        <v>320.94599999999997</v>
      </c>
      <c r="U45" s="14">
        <f>SUM(U39:U44)</f>
        <v>1.0000033982512599</v>
      </c>
    </row>
    <row r="46" spans="1:48" ht="16" x14ac:dyDescent="0.2">
      <c r="A46" s="6"/>
      <c r="B46" s="56">
        <f>B45/B23</f>
        <v>0.12546117109164573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6"/>
      <c r="E48" s="26"/>
      <c r="F48" s="26"/>
      <c r="G48" s="26"/>
      <c r="H48" s="27"/>
      <c r="I48" s="26"/>
      <c r="J48" s="26"/>
      <c r="K48" s="26"/>
      <c r="L48" s="26"/>
      <c r="M48" s="26"/>
      <c r="N48" s="26"/>
      <c r="O48" s="27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7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7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7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7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7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7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7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7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/>
  <dimension ref="A1:AV70"/>
  <sheetViews>
    <sheetView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63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361109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64">
        <v>76303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64">
        <f>SUM(B8:B9)</f>
        <v>437412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49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57">
        <v>16600</v>
      </c>
      <c r="C18" s="49">
        <v>0</v>
      </c>
      <c r="D18" s="49">
        <v>0</v>
      </c>
      <c r="E18" s="49">
        <v>0</v>
      </c>
      <c r="F18" s="49">
        <v>0</v>
      </c>
      <c r="G18" s="57">
        <v>18700</v>
      </c>
      <c r="H18" s="49">
        <v>0</v>
      </c>
      <c r="I18" s="49"/>
      <c r="J18" s="49"/>
      <c r="K18" s="49"/>
      <c r="L18" s="49"/>
      <c r="M18" s="49"/>
      <c r="N18" s="49"/>
      <c r="O18" s="57">
        <f>G18</f>
        <v>18700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140.71415999999999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71.79516000000001</v>
      </c>
      <c r="U22" s="14">
        <f>N43</f>
        <v>0.51021986699845989</v>
      </c>
    </row>
    <row r="23" spans="1:21" ht="16" x14ac:dyDescent="0.2">
      <c r="A23" s="8" t="s">
        <v>15</v>
      </c>
      <c r="B23" s="57">
        <v>16600</v>
      </c>
      <c r="C23" s="49">
        <v>0</v>
      </c>
      <c r="D23" s="49">
        <v>0</v>
      </c>
      <c r="E23" s="49">
        <v>0</v>
      </c>
      <c r="F23" s="49">
        <v>0</v>
      </c>
      <c r="G23" s="57">
        <f>G18</f>
        <v>18700</v>
      </c>
      <c r="H23" s="49">
        <v>0</v>
      </c>
      <c r="I23" s="49"/>
      <c r="J23" s="49"/>
      <c r="K23" s="49"/>
      <c r="L23" s="49"/>
      <c r="M23" s="49"/>
      <c r="N23" s="49"/>
      <c r="O23" s="57">
        <f>O18</f>
        <v>18700</v>
      </c>
      <c r="P23" s="39"/>
      <c r="Q23" s="3"/>
      <c r="R23" s="3"/>
      <c r="S23" s="44" t="s">
        <v>59</v>
      </c>
      <c r="T23" s="13">
        <f>G42/1000</f>
        <v>28.108000000000001</v>
      </c>
      <c r="U23" s="15">
        <f>G43</f>
        <v>0.19975246272301236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0</v>
      </c>
      <c r="U24" s="14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2.8650000000000002</v>
      </c>
      <c r="U25" s="14">
        <f>F43</f>
        <v>2.0360424281394281E-2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38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1502</v>
      </c>
      <c r="D31" s="49">
        <v>0</v>
      </c>
      <c r="E31" s="49">
        <v>0</v>
      </c>
      <c r="F31" s="49">
        <v>156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6202</v>
      </c>
      <c r="O31" s="49">
        <v>7860</v>
      </c>
      <c r="P31" s="16">
        <f>O31/$O$39</f>
        <v>6.0324184932768463E-2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0</v>
      </c>
      <c r="C32" s="49">
        <v>83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/>
      <c r="J32" s="49"/>
      <c r="K32" s="49"/>
      <c r="L32" s="49"/>
      <c r="M32" s="40"/>
      <c r="N32" s="61">
        <v>1812</v>
      </c>
      <c r="O32" s="61">
        <v>1895</v>
      </c>
      <c r="P32" s="16">
        <f t="shared" ref="P32:P35" si="0">O32/$O$39</f>
        <v>1.4543807944986799E-2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f>B39/2</f>
        <v>6800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8305</v>
      </c>
      <c r="O33" s="60">
        <f>6800+8305</f>
        <v>15105</v>
      </c>
      <c r="P33" s="16">
        <f t="shared" si="0"/>
        <v>0.11592834776201878</v>
      </c>
      <c r="Q33" s="17" t="s">
        <v>38</v>
      </c>
      <c r="R33" s="3"/>
      <c r="S33" s="44" t="s">
        <v>34</v>
      </c>
      <c r="T33" s="13">
        <f>C42/1000</f>
        <v>37.945999999999998</v>
      </c>
      <c r="U33" s="15">
        <f>C43</f>
        <v>0.26966724599713349</v>
      </c>
    </row>
    <row r="34" spans="1:48" ht="16" x14ac:dyDescent="0.2">
      <c r="A34" s="8" t="s">
        <v>39</v>
      </c>
      <c r="B34" s="49">
        <v>0</v>
      </c>
      <c r="C34" s="49">
        <v>36032</v>
      </c>
      <c r="D34" s="49">
        <v>0</v>
      </c>
      <c r="E34" s="49">
        <v>0</v>
      </c>
      <c r="F34" s="49">
        <v>2710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16</v>
      </c>
      <c r="O34" s="49">
        <v>38758</v>
      </c>
      <c r="P34" s="16">
        <f t="shared" si="0"/>
        <v>0.29746116534659545</v>
      </c>
      <c r="Q34" s="17" t="s">
        <v>40</v>
      </c>
      <c r="R34" s="3"/>
      <c r="S34" s="3"/>
      <c r="T34" s="13">
        <f>SUM(T22:T33)</f>
        <v>140.71415999999999</v>
      </c>
      <c r="U34" s="14">
        <f>SUM(U22:U33)</f>
        <v>1</v>
      </c>
    </row>
    <row r="35" spans="1:48" ht="16" x14ac:dyDescent="0.2">
      <c r="A35" s="8" t="s">
        <v>41</v>
      </c>
      <c r="B35" s="49">
        <v>0</v>
      </c>
      <c r="C35" s="49">
        <v>80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20948</v>
      </c>
      <c r="O35" s="49">
        <v>21027</v>
      </c>
      <c r="P35" s="16">
        <f t="shared" si="0"/>
        <v>0.16137870694418863</v>
      </c>
      <c r="Q35" s="17" t="s">
        <v>42</v>
      </c>
      <c r="R35" s="17"/>
    </row>
    <row r="36" spans="1:48" ht="16" x14ac:dyDescent="0.2">
      <c r="A36" s="8" t="s">
        <v>43</v>
      </c>
      <c r="B36" s="49">
        <v>0</v>
      </c>
      <c r="C36" s="49">
        <v>249</v>
      </c>
      <c r="D36" s="49">
        <v>0</v>
      </c>
      <c r="E36" s="49">
        <v>0</v>
      </c>
      <c r="F36" s="49">
        <v>0</v>
      </c>
      <c r="G36" s="49">
        <v>9408</v>
      </c>
      <c r="H36" s="49">
        <v>0</v>
      </c>
      <c r="I36" s="49"/>
      <c r="J36" s="49"/>
      <c r="K36" s="49"/>
      <c r="L36" s="49"/>
      <c r="M36" s="40"/>
      <c r="N36" s="49">
        <v>20436</v>
      </c>
      <c r="O36" s="49">
        <v>30093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f>B39/2</f>
        <v>6800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930</v>
      </c>
      <c r="O37" s="60">
        <f>6800+930</f>
        <v>7730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7828</v>
      </c>
      <c r="O38" s="49">
        <v>7828</v>
      </c>
      <c r="P38" s="17">
        <f>SUM(P31:P35)</f>
        <v>0.64963621293055818</v>
      </c>
      <c r="Q38" s="17"/>
      <c r="R38" s="3"/>
      <c r="S38" s="7" t="s">
        <v>46</v>
      </c>
      <c r="T38" s="18">
        <f>O45/1000</f>
        <v>8.3181600000000007</v>
      </c>
      <c r="U38" s="7"/>
    </row>
    <row r="39" spans="1:48" ht="16" x14ac:dyDescent="0.2">
      <c r="A39" s="8" t="s">
        <v>15</v>
      </c>
      <c r="B39" s="57">
        <v>13600</v>
      </c>
      <c r="C39" s="49">
        <v>37946</v>
      </c>
      <c r="D39" s="49">
        <v>0</v>
      </c>
      <c r="E39" s="49">
        <v>0</v>
      </c>
      <c r="F39" s="49">
        <v>2865</v>
      </c>
      <c r="G39" s="49">
        <v>9408</v>
      </c>
      <c r="H39" s="49">
        <v>0</v>
      </c>
      <c r="I39" s="49"/>
      <c r="J39" s="49"/>
      <c r="K39" s="49"/>
      <c r="L39" s="49"/>
      <c r="M39" s="40"/>
      <c r="N39" s="61">
        <f>SUM(N31:N38)</f>
        <v>66477</v>
      </c>
      <c r="O39" s="61">
        <f>SUM(O31:O38)</f>
        <v>130296</v>
      </c>
      <c r="P39" s="39"/>
      <c r="Q39" s="3"/>
      <c r="R39" s="3"/>
      <c r="S39" s="7" t="s">
        <v>47</v>
      </c>
      <c r="T39" s="19">
        <f>O41/1000</f>
        <v>45.651000000000003</v>
      </c>
      <c r="U39" s="14">
        <f>P41</f>
        <v>0.35036378706944188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30.093</v>
      </c>
      <c r="U40" s="15">
        <f>P35</f>
        <v>0.16137870694418863</v>
      </c>
    </row>
    <row r="41" spans="1:48" ht="16" x14ac:dyDescent="0.2">
      <c r="A41" s="20" t="s">
        <v>49</v>
      </c>
      <c r="B41" s="21">
        <f>B38+B37+B36</f>
        <v>6800</v>
      </c>
      <c r="C41" s="21">
        <f t="shared" ref="C41:O41" si="1">C38+C37+C36</f>
        <v>249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9408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29194</v>
      </c>
      <c r="O41" s="21">
        <f t="shared" si="1"/>
        <v>45651</v>
      </c>
      <c r="P41" s="16">
        <f>O41/$O$39</f>
        <v>0.35036378706944188</v>
      </c>
      <c r="Q41" s="16" t="s">
        <v>50</v>
      </c>
      <c r="R41" s="7"/>
      <c r="S41" s="7" t="s">
        <v>51</v>
      </c>
      <c r="T41" s="19">
        <f>O33/1000</f>
        <v>15.105</v>
      </c>
      <c r="U41" s="14">
        <f>P33</f>
        <v>0.11592834776201878</v>
      </c>
    </row>
    <row r="42" spans="1:48" ht="16" x14ac:dyDescent="0.2">
      <c r="A42" s="22" t="s">
        <v>52</v>
      </c>
      <c r="B42" s="21"/>
      <c r="C42" s="23">
        <f>C10+C23+C39</f>
        <v>37946</v>
      </c>
      <c r="D42" s="23">
        <f t="shared" ref="D42:M42" si="2">D39+D23+D10</f>
        <v>0</v>
      </c>
      <c r="E42" s="23">
        <f t="shared" si="2"/>
        <v>0</v>
      </c>
      <c r="F42" s="23">
        <f t="shared" si="2"/>
        <v>2865</v>
      </c>
      <c r="G42" s="23">
        <f t="shared" si="2"/>
        <v>28108</v>
      </c>
      <c r="H42" s="23">
        <f t="shared" si="2"/>
        <v>0</v>
      </c>
      <c r="I42" s="23">
        <f t="shared" si="2"/>
        <v>0</v>
      </c>
      <c r="J42" s="23">
        <f t="shared" si="2"/>
        <v>0</v>
      </c>
      <c r="K42" s="23">
        <f t="shared" si="2"/>
        <v>0</v>
      </c>
      <c r="L42" s="23">
        <f t="shared" si="2"/>
        <v>0</v>
      </c>
      <c r="M42" s="23">
        <f t="shared" si="2"/>
        <v>0</v>
      </c>
      <c r="N42" s="23">
        <f>N39+N23-B6+N45</f>
        <v>71795.16</v>
      </c>
      <c r="O42" s="24">
        <f>SUM(C42:N42)</f>
        <v>140714.16</v>
      </c>
      <c r="P42" s="7"/>
      <c r="Q42" s="7"/>
      <c r="R42" s="7"/>
      <c r="S42" s="7" t="s">
        <v>33</v>
      </c>
      <c r="T42" s="19">
        <f>O31/1000</f>
        <v>7.86</v>
      </c>
      <c r="U42" s="14">
        <f>P31</f>
        <v>6.0324184932768463E-2</v>
      </c>
    </row>
    <row r="43" spans="1:48" ht="16" x14ac:dyDescent="0.2">
      <c r="A43" s="22" t="s">
        <v>53</v>
      </c>
      <c r="B43" s="21"/>
      <c r="C43" s="16">
        <f t="shared" ref="C43:N43" si="3">C42/$O42</f>
        <v>0.26966724599713349</v>
      </c>
      <c r="D43" s="16">
        <f t="shared" si="3"/>
        <v>0</v>
      </c>
      <c r="E43" s="16">
        <f t="shared" si="3"/>
        <v>0</v>
      </c>
      <c r="F43" s="16">
        <f t="shared" si="3"/>
        <v>2.0360424281394281E-2</v>
      </c>
      <c r="G43" s="16">
        <f t="shared" si="3"/>
        <v>0.19975246272301236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0.51021986699845989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1.895</v>
      </c>
      <c r="U43" s="15">
        <f>P32</f>
        <v>1.4543807944986799E-2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38.758000000000003</v>
      </c>
      <c r="U44" s="15">
        <f>P34</f>
        <v>0.29746116534659545</v>
      </c>
    </row>
    <row r="45" spans="1:48" ht="16" x14ac:dyDescent="0.2">
      <c r="A45" s="6" t="s">
        <v>56</v>
      </c>
      <c r="B45" s="6">
        <f>B23-B39</f>
        <v>3000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5318.16</v>
      </c>
      <c r="O45" s="24">
        <f>B45+N45</f>
        <v>8318.16</v>
      </c>
      <c r="P45" s="7"/>
      <c r="Q45" s="7"/>
      <c r="R45" s="7"/>
      <c r="S45" s="7" t="s">
        <v>57</v>
      </c>
      <c r="T45" s="19">
        <f>SUM(T39:T44)</f>
        <v>139.36199999999999</v>
      </c>
      <c r="U45" s="14">
        <f>SUM(U39:U44)</f>
        <v>1</v>
      </c>
    </row>
    <row r="46" spans="1:48" ht="16" x14ac:dyDescent="0.2">
      <c r="A46" s="6"/>
      <c r="B46" s="56">
        <f>B45/B23</f>
        <v>0.18072289156626506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7"/>
      <c r="E47" s="26"/>
      <c r="F47" s="26"/>
      <c r="G47" s="27"/>
      <c r="H47" s="26"/>
      <c r="I47" s="26"/>
      <c r="J47" s="26"/>
      <c r="K47" s="26"/>
      <c r="L47" s="26"/>
      <c r="M47" s="26"/>
      <c r="N47" s="26"/>
      <c r="O47" s="26"/>
      <c r="P47" s="27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26"/>
      <c r="C48" s="26"/>
      <c r="D48" s="27"/>
      <c r="E48" s="26"/>
      <c r="F48" s="26"/>
      <c r="G48" s="10"/>
      <c r="H48" s="27"/>
      <c r="I48" s="26"/>
      <c r="J48" s="26"/>
      <c r="K48" s="26"/>
      <c r="L48" s="26"/>
      <c r="M48" s="26"/>
      <c r="N48" s="26"/>
      <c r="O48" s="9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2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26"/>
      <c r="C52" s="26"/>
      <c r="D52" s="26"/>
      <c r="E52" s="26"/>
      <c r="F52" s="26"/>
      <c r="G52" s="26"/>
      <c r="H52" s="27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7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7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 enableFormatConditionsCalculation="0"/>
  <dimension ref="A1:AV70"/>
  <sheetViews>
    <sheetView topLeftCell="A2"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64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14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61">
        <v>12136455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64">
        <v>1526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61">
        <f>SUM(B4:B9)</f>
        <v>12137995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49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49">
        <f>33761+5329</f>
        <v>39090</v>
      </c>
      <c r="C18" s="49">
        <v>90</v>
      </c>
      <c r="D18" s="49">
        <v>0</v>
      </c>
      <c r="E18" s="49">
        <v>0</v>
      </c>
      <c r="F18" s="49">
        <v>0</v>
      </c>
      <c r="G18" s="49">
        <v>39659</v>
      </c>
      <c r="H18" s="49">
        <v>0</v>
      </c>
      <c r="I18" s="49"/>
      <c r="J18" s="49"/>
      <c r="K18" s="49"/>
      <c r="L18" s="49"/>
      <c r="M18" s="49"/>
      <c r="N18" s="49">
        <v>208</v>
      </c>
      <c r="O18" s="39">
        <f>SUM(C18:N18)</f>
        <v>39957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246.58923999999999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99.355240000000009</v>
      </c>
      <c r="U22" s="14">
        <f>N43</f>
        <v>0.40291798620247993</v>
      </c>
    </row>
    <row r="23" spans="1:21" ht="16" x14ac:dyDescent="0.2">
      <c r="A23" s="8" t="s">
        <v>15</v>
      </c>
      <c r="B23" s="49">
        <v>39090</v>
      </c>
      <c r="C23" s="49">
        <v>90</v>
      </c>
      <c r="D23" s="49">
        <v>0</v>
      </c>
      <c r="E23" s="49">
        <v>0</v>
      </c>
      <c r="F23" s="49">
        <v>0</v>
      </c>
      <c r="G23" s="49">
        <v>39659</v>
      </c>
      <c r="H23" s="49">
        <v>0</v>
      </c>
      <c r="I23" s="49"/>
      <c r="J23" s="49"/>
      <c r="K23" s="49"/>
      <c r="L23" s="49"/>
      <c r="M23" s="49"/>
      <c r="N23" s="49">
        <f>N18</f>
        <v>208</v>
      </c>
      <c r="O23" s="39">
        <f>O18</f>
        <v>39957</v>
      </c>
      <c r="P23" s="39"/>
      <c r="Q23" s="3"/>
      <c r="R23" s="3"/>
      <c r="S23" s="44" t="s">
        <v>59</v>
      </c>
      <c r="T23" s="13">
        <f>G42/1000</f>
        <v>52.438000000000002</v>
      </c>
      <c r="U23" s="15">
        <f>G43</f>
        <v>0.21265323661324395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0</v>
      </c>
      <c r="U24" s="14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7.1180000000000003</v>
      </c>
      <c r="U25" s="14">
        <f>F43</f>
        <v>2.8865817502823726E-2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2E-3</v>
      </c>
      <c r="U26" s="14">
        <f>E43</f>
        <v>8.1106539766293133E-6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2275</v>
      </c>
      <c r="D31" s="49">
        <v>0</v>
      </c>
      <c r="E31" s="49">
        <v>0</v>
      </c>
      <c r="F31" s="49">
        <v>235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1127</v>
      </c>
      <c r="O31" s="49">
        <v>3637</v>
      </c>
      <c r="P31" s="16">
        <f>O31/$O$39</f>
        <v>1.5760007626509052E-2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2820</v>
      </c>
      <c r="C32" s="49">
        <v>0</v>
      </c>
      <c r="D32" s="49">
        <v>0</v>
      </c>
      <c r="E32" s="61">
        <v>2</v>
      </c>
      <c r="F32" s="49">
        <v>0</v>
      </c>
      <c r="G32" s="49">
        <v>0</v>
      </c>
      <c r="H32" s="49">
        <v>0</v>
      </c>
      <c r="I32" s="49"/>
      <c r="J32" s="49"/>
      <c r="K32" s="49"/>
      <c r="L32" s="49"/>
      <c r="M32" s="40"/>
      <c r="N32" s="61">
        <v>3366</v>
      </c>
      <c r="O32" s="61">
        <f>SUM(B32:N32)</f>
        <v>6188</v>
      </c>
      <c r="P32" s="16">
        <f t="shared" ref="P32:P35" si="0">O32/$O$39</f>
        <v>2.6814112508341495E-2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5978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12723</v>
      </c>
      <c r="O33" s="49">
        <v>18701</v>
      </c>
      <c r="P33" s="16">
        <f t="shared" si="0"/>
        <v>8.1035991922833589E-2</v>
      </c>
      <c r="Q33" s="17" t="s">
        <v>38</v>
      </c>
      <c r="R33" s="3"/>
      <c r="S33" s="44" t="s">
        <v>34</v>
      </c>
      <c r="T33" s="13">
        <f>C42/1000</f>
        <v>87.676000000000002</v>
      </c>
      <c r="U33" s="15">
        <f>C43</f>
        <v>0.35555484902747581</v>
      </c>
    </row>
    <row r="34" spans="1:48" ht="16" x14ac:dyDescent="0.2">
      <c r="A34" s="8" t="s">
        <v>39</v>
      </c>
      <c r="B34" s="49">
        <v>0</v>
      </c>
      <c r="C34" s="49">
        <v>83328</v>
      </c>
      <c r="D34" s="49">
        <v>0</v>
      </c>
      <c r="E34" s="49">
        <v>0</v>
      </c>
      <c r="F34" s="49">
        <v>6883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12692</v>
      </c>
      <c r="O34" s="49">
        <v>102903</v>
      </c>
      <c r="P34" s="16">
        <f t="shared" si="0"/>
        <v>0.44590378465511715</v>
      </c>
      <c r="Q34" s="17" t="s">
        <v>40</v>
      </c>
      <c r="R34" s="3"/>
      <c r="S34" s="3"/>
      <c r="T34" s="13">
        <f>SUM(T22:T33)</f>
        <v>246.58924000000002</v>
      </c>
      <c r="U34" s="14">
        <f>SUM(U22:U33)</f>
        <v>1</v>
      </c>
    </row>
    <row r="35" spans="1:48" ht="16" x14ac:dyDescent="0.2">
      <c r="A35" s="8" t="s">
        <v>41</v>
      </c>
      <c r="B35" s="49">
        <v>6448</v>
      </c>
      <c r="C35" s="49">
        <v>1886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22592</v>
      </c>
      <c r="O35" s="49">
        <v>30926</v>
      </c>
      <c r="P35" s="16">
        <f t="shared" si="0"/>
        <v>0.13400989712879266</v>
      </c>
      <c r="Q35" s="17" t="s">
        <v>42</v>
      </c>
      <c r="R35" s="17"/>
    </row>
    <row r="36" spans="1:48" ht="16" x14ac:dyDescent="0.2">
      <c r="A36" s="8" t="s">
        <v>43</v>
      </c>
      <c r="B36" s="49">
        <v>7956</v>
      </c>
      <c r="C36" s="49">
        <v>98</v>
      </c>
      <c r="D36" s="49">
        <v>0</v>
      </c>
      <c r="E36" s="49">
        <v>0</v>
      </c>
      <c r="F36" s="49">
        <v>0</v>
      </c>
      <c r="G36" s="49">
        <v>12779</v>
      </c>
      <c r="H36" s="49">
        <v>0</v>
      </c>
      <c r="I36" s="49"/>
      <c r="J36" s="49"/>
      <c r="K36" s="49"/>
      <c r="L36" s="49"/>
      <c r="M36" s="40"/>
      <c r="N36" s="49">
        <v>31413</v>
      </c>
      <c r="O36" s="49">
        <v>52246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8283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2511</v>
      </c>
      <c r="O37" s="49">
        <v>10794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5379</v>
      </c>
      <c r="O38" s="49">
        <v>5379</v>
      </c>
      <c r="P38" s="17">
        <f>SUM(P31:P35)</f>
        <v>0.70352379384159391</v>
      </c>
      <c r="Q38" s="17"/>
      <c r="R38" s="3"/>
      <c r="S38" s="7" t="s">
        <v>46</v>
      </c>
      <c r="T38" s="18">
        <f>O45/1000</f>
        <v>14.94924</v>
      </c>
      <c r="U38" s="7"/>
    </row>
    <row r="39" spans="1:48" ht="16" x14ac:dyDescent="0.2">
      <c r="A39" s="8" t="s">
        <v>15</v>
      </c>
      <c r="B39" s="49">
        <v>31485</v>
      </c>
      <c r="C39" s="49">
        <v>87586</v>
      </c>
      <c r="D39" s="49">
        <v>0</v>
      </c>
      <c r="E39" s="61">
        <v>2</v>
      </c>
      <c r="F39" s="49">
        <v>7118</v>
      </c>
      <c r="G39" s="49">
        <v>12779</v>
      </c>
      <c r="H39" s="49">
        <v>0</v>
      </c>
      <c r="I39" s="49"/>
      <c r="J39" s="49"/>
      <c r="K39" s="49"/>
      <c r="L39" s="49"/>
      <c r="M39" s="40"/>
      <c r="N39" s="61">
        <f>SUM(N31:N38)</f>
        <v>91803</v>
      </c>
      <c r="O39" s="61">
        <f>SUM(O31:O38)</f>
        <v>230774</v>
      </c>
      <c r="P39" s="3"/>
      <c r="Q39" s="3"/>
      <c r="R39" s="3"/>
      <c r="S39" s="7" t="s">
        <v>47</v>
      </c>
      <c r="T39" s="19">
        <f>O41/1000</f>
        <v>68.418999999999997</v>
      </c>
      <c r="U39" s="14">
        <f>P41</f>
        <v>0.29647620615840609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52.246000000000002</v>
      </c>
      <c r="U40" s="15">
        <f>P35</f>
        <v>0.13400989712879266</v>
      </c>
    </row>
    <row r="41" spans="1:48" ht="16" x14ac:dyDescent="0.2">
      <c r="A41" s="20" t="s">
        <v>49</v>
      </c>
      <c r="B41" s="21">
        <f>B38+B37+B36</f>
        <v>16239</v>
      </c>
      <c r="C41" s="21">
        <f t="shared" ref="C41:O41" si="1">C38+C37+C36</f>
        <v>98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12779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39303</v>
      </c>
      <c r="O41" s="21">
        <f t="shared" si="1"/>
        <v>68419</v>
      </c>
      <c r="P41" s="16">
        <f>O41/$O$39</f>
        <v>0.29647620615840609</v>
      </c>
      <c r="Q41" s="16" t="s">
        <v>50</v>
      </c>
      <c r="R41" s="7"/>
      <c r="S41" s="7" t="s">
        <v>51</v>
      </c>
      <c r="T41" s="19">
        <f>O33/1000</f>
        <v>18.701000000000001</v>
      </c>
      <c r="U41" s="14">
        <f>P33</f>
        <v>8.1035991922833589E-2</v>
      </c>
    </row>
    <row r="42" spans="1:48" ht="16" x14ac:dyDescent="0.2">
      <c r="A42" s="22" t="s">
        <v>52</v>
      </c>
      <c r="B42" s="21"/>
      <c r="C42" s="23">
        <f>C10+C23+C39</f>
        <v>87676</v>
      </c>
      <c r="D42" s="23">
        <f t="shared" ref="D42:M42" si="2">D39+D23+D10</f>
        <v>0</v>
      </c>
      <c r="E42" s="23">
        <f t="shared" si="2"/>
        <v>2</v>
      </c>
      <c r="F42" s="23">
        <f t="shared" si="2"/>
        <v>7118</v>
      </c>
      <c r="G42" s="23">
        <f t="shared" si="2"/>
        <v>52438</v>
      </c>
      <c r="H42" s="23">
        <f t="shared" si="2"/>
        <v>0</v>
      </c>
      <c r="I42" s="23">
        <f t="shared" si="2"/>
        <v>0</v>
      </c>
      <c r="J42" s="23">
        <f t="shared" si="2"/>
        <v>0</v>
      </c>
      <c r="K42" s="23">
        <f t="shared" si="2"/>
        <v>0</v>
      </c>
      <c r="L42" s="23">
        <f t="shared" si="2"/>
        <v>0</v>
      </c>
      <c r="M42" s="23">
        <f t="shared" si="2"/>
        <v>0</v>
      </c>
      <c r="N42" s="23">
        <f>N39+N23-B6+N45</f>
        <v>99355.24</v>
      </c>
      <c r="O42" s="24">
        <f>SUM(C42:N42)</f>
        <v>246589.24</v>
      </c>
      <c r="P42" s="7"/>
      <c r="Q42" s="7"/>
      <c r="R42" s="7"/>
      <c r="S42" s="7" t="s">
        <v>33</v>
      </c>
      <c r="T42" s="19">
        <f>O31/1000</f>
        <v>3.637</v>
      </c>
      <c r="U42" s="14">
        <f>P31</f>
        <v>1.5760007626509052E-2</v>
      </c>
    </row>
    <row r="43" spans="1:48" ht="16" x14ac:dyDescent="0.2">
      <c r="A43" s="22" t="s">
        <v>53</v>
      </c>
      <c r="B43" s="21"/>
      <c r="C43" s="16">
        <f t="shared" ref="C43:N43" si="3">C42/$O42</f>
        <v>0.35555484902747581</v>
      </c>
      <c r="D43" s="16">
        <f t="shared" si="3"/>
        <v>0</v>
      </c>
      <c r="E43" s="16">
        <f t="shared" si="3"/>
        <v>8.1106539766293133E-6</v>
      </c>
      <c r="F43" s="16">
        <f t="shared" si="3"/>
        <v>2.8865817502823726E-2</v>
      </c>
      <c r="G43" s="16">
        <f t="shared" si="3"/>
        <v>0.21265323661324395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0.40291798620247993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6.1879999999999997</v>
      </c>
      <c r="U43" s="15">
        <f>P32</f>
        <v>2.6814112508341495E-2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102.90300000000001</v>
      </c>
      <c r="U44" s="15">
        <f>P34</f>
        <v>0.44590378465511715</v>
      </c>
    </row>
    <row r="45" spans="1:48" ht="16" x14ac:dyDescent="0.2">
      <c r="A45" s="6" t="s">
        <v>56</v>
      </c>
      <c r="B45" s="6">
        <f>B23-B39</f>
        <v>7605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7344.24</v>
      </c>
      <c r="O45" s="24">
        <f>B45+N45</f>
        <v>14949.24</v>
      </c>
      <c r="P45" s="7"/>
      <c r="Q45" s="7"/>
      <c r="R45" s="7"/>
      <c r="S45" s="7" t="s">
        <v>57</v>
      </c>
      <c r="T45" s="19">
        <f>SUM(T39:T44)</f>
        <v>252.09399999999999</v>
      </c>
      <c r="U45" s="14">
        <f>SUM(U39:U44)</f>
        <v>1</v>
      </c>
    </row>
    <row r="46" spans="1:48" ht="16" x14ac:dyDescent="0.2">
      <c r="A46" s="6"/>
      <c r="B46" s="56">
        <f>B45/B23</f>
        <v>0.19455103607060628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6"/>
      <c r="E48" s="26"/>
      <c r="F48" s="26"/>
      <c r="G48" s="26"/>
      <c r="H48" s="27"/>
      <c r="I48" s="26"/>
      <c r="J48" s="26"/>
      <c r="K48" s="26"/>
      <c r="L48" s="26"/>
      <c r="M48" s="26"/>
      <c r="N48" s="26"/>
      <c r="O48" s="27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6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7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5" enableFormatConditionsCalculation="0"/>
  <dimension ref="A1:AV70"/>
  <sheetViews>
    <sheetView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65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6" x14ac:dyDescent="0.2">
      <c r="A10" s="8" t="s">
        <v>15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58">
        <f t="shared" ref="O17:O22" si="0">SUM(C17:J17)</f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58">
        <v>27538</v>
      </c>
      <c r="C18" s="58">
        <v>328</v>
      </c>
      <c r="D18" s="57">
        <v>0</v>
      </c>
      <c r="E18" s="49">
        <v>0</v>
      </c>
      <c r="F18" s="49">
        <v>0</v>
      </c>
      <c r="G18" s="58">
        <v>24000</v>
      </c>
      <c r="H18" s="49">
        <v>0</v>
      </c>
      <c r="I18" s="49"/>
      <c r="J18" s="57">
        <v>5431</v>
      </c>
      <c r="K18" s="49"/>
      <c r="L18" s="49"/>
      <c r="M18" s="49"/>
      <c r="N18" s="49"/>
      <c r="O18" s="58">
        <f t="shared" si="0"/>
        <v>29759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58">
        <f t="shared" si="0"/>
        <v>0</v>
      </c>
      <c r="P19" s="3"/>
      <c r="Q19" s="3"/>
      <c r="R19" s="3"/>
      <c r="S19" s="3" t="s">
        <v>25</v>
      </c>
      <c r="T19" s="13">
        <f>O42/1000</f>
        <v>202.86084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58">
        <f t="shared" si="0"/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58">
        <f t="shared" si="0"/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58">
        <f t="shared" si="0"/>
        <v>0</v>
      </c>
      <c r="P22" s="3"/>
      <c r="Q22" s="3"/>
      <c r="R22" s="3"/>
      <c r="S22" s="44" t="s">
        <v>9</v>
      </c>
      <c r="T22" s="13">
        <f>N42/1000</f>
        <v>44.790839999999996</v>
      </c>
      <c r="U22" s="14">
        <f>N43</f>
        <v>0.22079589141009176</v>
      </c>
    </row>
    <row r="23" spans="1:21" ht="16" x14ac:dyDescent="0.2">
      <c r="A23" s="8" t="s">
        <v>15</v>
      </c>
      <c r="B23" s="58">
        <f>B18</f>
        <v>27538</v>
      </c>
      <c r="C23" s="58">
        <f t="shared" ref="C23:H23" si="1">C18</f>
        <v>328</v>
      </c>
      <c r="D23" s="58">
        <f t="shared" si="1"/>
        <v>0</v>
      </c>
      <c r="E23" s="58">
        <f t="shared" si="1"/>
        <v>0</v>
      </c>
      <c r="F23" s="58">
        <f t="shared" si="1"/>
        <v>0</v>
      </c>
      <c r="G23" s="58">
        <f t="shared" si="1"/>
        <v>24000</v>
      </c>
      <c r="H23" s="58">
        <f t="shared" si="1"/>
        <v>0</v>
      </c>
      <c r="I23" s="57"/>
      <c r="J23" s="57">
        <f>J18</f>
        <v>5431</v>
      </c>
      <c r="K23" s="57"/>
      <c r="L23" s="57"/>
      <c r="M23" s="57"/>
      <c r="N23" s="57"/>
      <c r="O23" s="58">
        <f>SUM(C23:J23)</f>
        <v>29759</v>
      </c>
      <c r="P23" s="39"/>
      <c r="Q23" s="3"/>
      <c r="R23" s="3"/>
      <c r="S23" s="44" t="s">
        <v>59</v>
      </c>
      <c r="T23" s="13">
        <f>G42/1000</f>
        <v>35.573</v>
      </c>
      <c r="U23" s="15">
        <f>G43</f>
        <v>0.17535666321799712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5.431</v>
      </c>
      <c r="U24" s="14">
        <f>J43</f>
        <v>2.6772047281279129E-2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9.5839999999999996</v>
      </c>
      <c r="U25" s="14">
        <f>F43</f>
        <v>4.724420938018397E-2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51"/>
      <c r="G28" s="5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3076</v>
      </c>
      <c r="D31" s="49">
        <v>0</v>
      </c>
      <c r="E31" s="49">
        <v>0</v>
      </c>
      <c r="F31" s="49">
        <v>313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1727</v>
      </c>
      <c r="O31" s="49">
        <v>5116</v>
      </c>
      <c r="P31" s="16">
        <f>O31/$O$39</f>
        <v>2.6535407341324386E-2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2402</v>
      </c>
      <c r="C32" s="49">
        <v>0</v>
      </c>
      <c r="D32" s="49">
        <v>0</v>
      </c>
      <c r="E32" s="49">
        <v>0</v>
      </c>
      <c r="F32" s="49">
        <v>0</v>
      </c>
      <c r="G32" s="49">
        <v>356</v>
      </c>
      <c r="H32" s="49">
        <v>0</v>
      </c>
      <c r="I32" s="49"/>
      <c r="J32" s="49"/>
      <c r="K32" s="49"/>
      <c r="L32" s="49"/>
      <c r="M32" s="40"/>
      <c r="N32" s="61">
        <v>2662</v>
      </c>
      <c r="O32" s="61">
        <f>SUM(B32:N32)</f>
        <v>5420</v>
      </c>
      <c r="P32" s="16">
        <f t="shared" ref="P32:P35" si="2">O32/$O$39</f>
        <v>2.8112179005077828E-2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5363</v>
      </c>
      <c r="C33" s="49">
        <v>95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6058</v>
      </c>
      <c r="O33" s="49">
        <v>11515</v>
      </c>
      <c r="P33" s="16">
        <f t="shared" si="2"/>
        <v>5.9725413513555571E-2</v>
      </c>
      <c r="Q33" s="17" t="s">
        <v>38</v>
      </c>
      <c r="R33" s="3"/>
      <c r="S33" s="44" t="s">
        <v>34</v>
      </c>
      <c r="T33" s="13">
        <f>C42/1000</f>
        <v>107.482</v>
      </c>
      <c r="U33" s="15">
        <f>C43</f>
        <v>0.52983118871044799</v>
      </c>
    </row>
    <row r="34" spans="1:48" ht="16" x14ac:dyDescent="0.2">
      <c r="A34" s="8" t="s">
        <v>39</v>
      </c>
      <c r="B34" s="49">
        <v>0</v>
      </c>
      <c r="C34" s="49">
        <v>102852</v>
      </c>
      <c r="D34" s="49">
        <v>0</v>
      </c>
      <c r="E34" s="49">
        <v>0</v>
      </c>
      <c r="F34" s="49">
        <v>9272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70</v>
      </c>
      <c r="O34" s="49">
        <v>112193</v>
      </c>
      <c r="P34" s="16">
        <f t="shared" si="2"/>
        <v>0.58191691865621709</v>
      </c>
      <c r="Q34" s="17" t="s">
        <v>40</v>
      </c>
      <c r="R34" s="3"/>
      <c r="S34" s="3"/>
      <c r="T34" s="13">
        <f>SUM(T22:T33)</f>
        <v>202.86084</v>
      </c>
      <c r="U34" s="14">
        <f>SUM(U22:U33)</f>
        <v>1</v>
      </c>
    </row>
    <row r="35" spans="1:48" ht="16" x14ac:dyDescent="0.2">
      <c r="A35" s="8" t="s">
        <v>41</v>
      </c>
      <c r="B35" s="49">
        <v>3210</v>
      </c>
      <c r="C35" s="49">
        <v>1035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7512</v>
      </c>
      <c r="O35" s="49">
        <v>11757</v>
      </c>
      <c r="P35" s="16">
        <f t="shared" si="2"/>
        <v>6.098060674588561E-2</v>
      </c>
      <c r="Q35" s="17" t="s">
        <v>42</v>
      </c>
      <c r="R35" s="17"/>
    </row>
    <row r="36" spans="1:48" ht="16" x14ac:dyDescent="0.2">
      <c r="A36" s="8" t="s">
        <v>43</v>
      </c>
      <c r="B36" s="49">
        <v>7424</v>
      </c>
      <c r="C36" s="49">
        <v>97</v>
      </c>
      <c r="D36" s="49">
        <v>0</v>
      </c>
      <c r="E36" s="49">
        <v>0</v>
      </c>
      <c r="F36" s="49">
        <v>0</v>
      </c>
      <c r="G36" s="49">
        <v>11217</v>
      </c>
      <c r="H36" s="49">
        <v>0</v>
      </c>
      <c r="I36" s="49"/>
      <c r="J36" s="49"/>
      <c r="K36" s="49"/>
      <c r="L36" s="49"/>
      <c r="M36" s="40"/>
      <c r="N36" s="49">
        <v>18052</v>
      </c>
      <c r="O36" s="49">
        <v>36790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4616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1008</v>
      </c>
      <c r="O37" s="49">
        <v>5624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4384</v>
      </c>
      <c r="O38" s="49">
        <v>4384</v>
      </c>
      <c r="P38" s="17">
        <f>SUM(P31:P35)</f>
        <v>0.7572705252620604</v>
      </c>
      <c r="Q38" s="17"/>
      <c r="R38" s="3"/>
      <c r="S38" s="7" t="s">
        <v>46</v>
      </c>
      <c r="T38" s="18">
        <f>O45/1000</f>
        <v>7.84084</v>
      </c>
      <c r="U38" s="7"/>
    </row>
    <row r="39" spans="1:48" ht="16" x14ac:dyDescent="0.2">
      <c r="A39" s="8" t="s">
        <v>15</v>
      </c>
      <c r="B39" s="49">
        <v>23015</v>
      </c>
      <c r="C39" s="49">
        <v>107154</v>
      </c>
      <c r="D39" s="49">
        <v>0</v>
      </c>
      <c r="E39" s="49">
        <v>0</v>
      </c>
      <c r="F39" s="49">
        <v>9584</v>
      </c>
      <c r="G39" s="49">
        <v>11573</v>
      </c>
      <c r="H39" s="49">
        <v>0</v>
      </c>
      <c r="I39" s="49"/>
      <c r="J39" s="49"/>
      <c r="K39" s="49"/>
      <c r="L39" s="49"/>
      <c r="M39" s="40"/>
      <c r="N39" s="61">
        <f>SUM(N31:N38)</f>
        <v>41473</v>
      </c>
      <c r="O39" s="61">
        <f>SUM(O31:O38)</f>
        <v>192799</v>
      </c>
      <c r="P39" s="3"/>
      <c r="Q39" s="3"/>
      <c r="R39" s="3"/>
      <c r="S39" s="7" t="s">
        <v>47</v>
      </c>
      <c r="T39" s="19">
        <f>O41/1000</f>
        <v>46.798000000000002</v>
      </c>
      <c r="U39" s="14">
        <f>P41</f>
        <v>0.24272947473793952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36.79</v>
      </c>
      <c r="U40" s="15">
        <f>P35</f>
        <v>6.098060674588561E-2</v>
      </c>
    </row>
    <row r="41" spans="1:48" ht="16" x14ac:dyDescent="0.2">
      <c r="A41" s="20" t="s">
        <v>49</v>
      </c>
      <c r="B41" s="21">
        <f>B38+B37+B36</f>
        <v>12040</v>
      </c>
      <c r="C41" s="21">
        <f t="shared" ref="C41:O41" si="3">C38+C37+C36</f>
        <v>97</v>
      </c>
      <c r="D41" s="21">
        <f t="shared" si="3"/>
        <v>0</v>
      </c>
      <c r="E41" s="21">
        <f t="shared" si="3"/>
        <v>0</v>
      </c>
      <c r="F41" s="21">
        <f t="shared" si="3"/>
        <v>0</v>
      </c>
      <c r="G41" s="21">
        <f t="shared" si="3"/>
        <v>11217</v>
      </c>
      <c r="H41" s="21">
        <f t="shared" si="3"/>
        <v>0</v>
      </c>
      <c r="I41" s="21">
        <f t="shared" si="3"/>
        <v>0</v>
      </c>
      <c r="J41" s="21">
        <f t="shared" si="3"/>
        <v>0</v>
      </c>
      <c r="K41" s="21">
        <f t="shared" si="3"/>
        <v>0</v>
      </c>
      <c r="L41" s="21">
        <f t="shared" si="3"/>
        <v>0</v>
      </c>
      <c r="M41" s="21">
        <f t="shared" si="3"/>
        <v>0</v>
      </c>
      <c r="N41" s="21">
        <f t="shared" si="3"/>
        <v>23444</v>
      </c>
      <c r="O41" s="21">
        <f t="shared" si="3"/>
        <v>46798</v>
      </c>
      <c r="P41" s="16">
        <f>O41/$O$39</f>
        <v>0.24272947473793952</v>
      </c>
      <c r="Q41" s="16" t="s">
        <v>50</v>
      </c>
      <c r="R41" s="7"/>
      <c r="S41" s="7" t="s">
        <v>51</v>
      </c>
      <c r="T41" s="19">
        <f>O33/1000</f>
        <v>11.515000000000001</v>
      </c>
      <c r="U41" s="14">
        <f>P33</f>
        <v>5.9725413513555571E-2</v>
      </c>
    </row>
    <row r="42" spans="1:48" ht="16" x14ac:dyDescent="0.2">
      <c r="A42" s="22" t="s">
        <v>52</v>
      </c>
      <c r="B42" s="21"/>
      <c r="C42" s="23">
        <f>C10+C23+C39</f>
        <v>107482</v>
      </c>
      <c r="D42" s="23">
        <f t="shared" ref="D42:M42" si="4">D39+D23+D10</f>
        <v>0</v>
      </c>
      <c r="E42" s="23">
        <f t="shared" si="4"/>
        <v>0</v>
      </c>
      <c r="F42" s="23">
        <f t="shared" si="4"/>
        <v>9584</v>
      </c>
      <c r="G42" s="23">
        <f t="shared" si="4"/>
        <v>35573</v>
      </c>
      <c r="H42" s="23">
        <f t="shared" si="4"/>
        <v>0</v>
      </c>
      <c r="I42" s="23">
        <f t="shared" si="4"/>
        <v>0</v>
      </c>
      <c r="J42" s="23">
        <f t="shared" si="4"/>
        <v>5431</v>
      </c>
      <c r="K42" s="23">
        <f t="shared" si="4"/>
        <v>0</v>
      </c>
      <c r="L42" s="23">
        <f t="shared" si="4"/>
        <v>0</v>
      </c>
      <c r="M42" s="23">
        <f t="shared" si="4"/>
        <v>0</v>
      </c>
      <c r="N42" s="23">
        <f>N39+N23-B6+N45</f>
        <v>44790.84</v>
      </c>
      <c r="O42" s="24">
        <f>SUM(C42:N42)</f>
        <v>202860.84</v>
      </c>
      <c r="P42" s="7"/>
      <c r="Q42" s="7"/>
      <c r="R42" s="7"/>
      <c r="S42" s="7" t="s">
        <v>33</v>
      </c>
      <c r="T42" s="19">
        <f>O31/1000</f>
        <v>5.1159999999999997</v>
      </c>
      <c r="U42" s="14">
        <f>P31</f>
        <v>2.6535407341324386E-2</v>
      </c>
    </row>
    <row r="43" spans="1:48" ht="16" x14ac:dyDescent="0.2">
      <c r="A43" s="22" t="s">
        <v>53</v>
      </c>
      <c r="B43" s="21"/>
      <c r="C43" s="16">
        <f t="shared" ref="C43:N43" si="5">C42/$O42</f>
        <v>0.52983118871044799</v>
      </c>
      <c r="D43" s="16">
        <f t="shared" si="5"/>
        <v>0</v>
      </c>
      <c r="E43" s="16">
        <f t="shared" si="5"/>
        <v>0</v>
      </c>
      <c r="F43" s="16">
        <f t="shared" si="5"/>
        <v>4.724420938018397E-2</v>
      </c>
      <c r="G43" s="16">
        <f t="shared" si="5"/>
        <v>0.17535666321799712</v>
      </c>
      <c r="H43" s="16">
        <f t="shared" si="5"/>
        <v>0</v>
      </c>
      <c r="I43" s="16">
        <f t="shared" si="5"/>
        <v>0</v>
      </c>
      <c r="J43" s="16">
        <f t="shared" si="5"/>
        <v>2.6772047281279129E-2</v>
      </c>
      <c r="K43" s="16">
        <f t="shared" si="5"/>
        <v>0</v>
      </c>
      <c r="L43" s="16">
        <f t="shared" si="5"/>
        <v>0</v>
      </c>
      <c r="M43" s="16">
        <f t="shared" si="5"/>
        <v>0</v>
      </c>
      <c r="N43" s="16">
        <f t="shared" si="5"/>
        <v>0.22079589141009176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5.42</v>
      </c>
      <c r="U43" s="15">
        <f>P32</f>
        <v>2.8112179005077828E-2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112.193</v>
      </c>
      <c r="U44" s="15">
        <f>P34</f>
        <v>0.58191691865621709</v>
      </c>
    </row>
    <row r="45" spans="1:48" ht="16" x14ac:dyDescent="0.2">
      <c r="A45" s="6" t="s">
        <v>56</v>
      </c>
      <c r="B45" s="6">
        <f>B23-B39</f>
        <v>4523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3317.84</v>
      </c>
      <c r="O45" s="24">
        <f>B45+N45</f>
        <v>7840.84</v>
      </c>
      <c r="P45" s="7"/>
      <c r="Q45" s="7"/>
      <c r="R45" s="7"/>
      <c r="S45" s="7" t="s">
        <v>57</v>
      </c>
      <c r="T45" s="19">
        <f>SUM(T39:T44)</f>
        <v>217.83199999999999</v>
      </c>
      <c r="U45" s="14">
        <f>SUM(U39:U44)</f>
        <v>1</v>
      </c>
    </row>
    <row r="46" spans="1:48" ht="16" x14ac:dyDescent="0.2">
      <c r="A46" s="6"/>
      <c r="B46" s="56">
        <f>B45/B23</f>
        <v>0.1642457694821701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6"/>
      <c r="E48" s="26"/>
      <c r="F48" s="27"/>
      <c r="G48" s="27"/>
      <c r="H48" s="27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7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7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7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7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6"/>
      <c r="E55" s="26"/>
      <c r="F55" s="27"/>
      <c r="G55" s="27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7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6"/>
      <c r="F56" s="27"/>
      <c r="G56" s="27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7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enableFormatConditionsCalculation="0"/>
  <dimension ref="A1:AV70"/>
  <sheetViews>
    <sheetView workbookViewId="0">
      <selection activeCell="O32" sqref="O32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9" width="12.33203125" style="2" customWidth="1"/>
    <col min="10" max="11" width="8.83203125" style="2"/>
    <col min="12" max="12" width="10" style="2" customWidth="1"/>
    <col min="13" max="13" width="8.6640625" style="2" customWidth="1"/>
    <col min="14" max="14" width="10.5" style="2" bestFit="1" customWidth="1"/>
    <col min="15" max="15" width="11.1640625" style="2" customWidth="1"/>
    <col min="16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66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11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68">
        <v>0</v>
      </c>
      <c r="C6" s="55">
        <v>0</v>
      </c>
      <c r="D6" s="49">
        <v>0</v>
      </c>
      <c r="E6" s="49">
        <v>0</v>
      </c>
      <c r="F6" s="55">
        <v>0</v>
      </c>
      <c r="G6" s="55">
        <v>0</v>
      </c>
      <c r="H6" s="49">
        <v>0</v>
      </c>
      <c r="I6" s="49"/>
      <c r="J6" s="49"/>
      <c r="K6" s="49"/>
      <c r="L6" s="49"/>
      <c r="M6" s="49"/>
      <c r="N6" s="49"/>
      <c r="O6" s="55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55"/>
      <c r="Q7" s="40"/>
      <c r="R7" s="40"/>
      <c r="AH7" s="40"/>
      <c r="AI7" s="40"/>
    </row>
    <row r="8" spans="1:35" ht="15.75" x14ac:dyDescent="0.25">
      <c r="A8" s="8" t="s">
        <v>13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55"/>
      <c r="Q8" s="40"/>
      <c r="R8" s="40"/>
      <c r="AH8" s="40"/>
      <c r="AI8" s="40"/>
    </row>
    <row r="9" spans="1:35" ht="15.75" x14ac:dyDescent="0.25">
      <c r="A9" s="8" t="s">
        <v>14</v>
      </c>
      <c r="B9" s="49">
        <v>17657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55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75">
        <f>B9+B4</f>
        <v>17668</v>
      </c>
      <c r="C10" s="55">
        <f>C6</f>
        <v>0</v>
      </c>
      <c r="D10" s="55">
        <f t="shared" ref="D10:O10" si="0">D6</f>
        <v>0</v>
      </c>
      <c r="E10" s="55">
        <f t="shared" si="0"/>
        <v>0</v>
      </c>
      <c r="F10" s="55">
        <f t="shared" si="0"/>
        <v>0</v>
      </c>
      <c r="G10" s="55">
        <f t="shared" si="0"/>
        <v>0</v>
      </c>
      <c r="H10" s="55">
        <f t="shared" si="0"/>
        <v>0</v>
      </c>
      <c r="I10" s="55"/>
      <c r="J10" s="55"/>
      <c r="K10" s="55"/>
      <c r="L10" s="55"/>
      <c r="M10" s="55"/>
      <c r="N10" s="55"/>
      <c r="O10" s="55">
        <f t="shared" si="0"/>
        <v>0</v>
      </c>
      <c r="P10" s="55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57">
        <v>0</v>
      </c>
      <c r="C17" s="57">
        <v>0</v>
      </c>
      <c r="D17" s="49">
        <v>0</v>
      </c>
      <c r="E17" s="49">
        <v>0</v>
      </c>
      <c r="F17" s="57">
        <v>0</v>
      </c>
      <c r="G17" s="57">
        <v>0</v>
      </c>
      <c r="H17" s="49">
        <v>0</v>
      </c>
      <c r="I17" s="49"/>
      <c r="J17" s="49"/>
      <c r="K17" s="49"/>
      <c r="L17" s="49"/>
      <c r="M17" s="49"/>
      <c r="N17" s="49"/>
      <c r="O17" s="57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58">
        <f>98847+9391+80</f>
        <v>108318</v>
      </c>
      <c r="C18" s="57">
        <v>1300</v>
      </c>
      <c r="D18" s="49">
        <v>0</v>
      </c>
      <c r="E18" s="49">
        <v>0</v>
      </c>
      <c r="F18" s="49">
        <v>0</v>
      </c>
      <c r="G18" s="57">
        <v>113300</v>
      </c>
      <c r="H18" s="49">
        <v>0</v>
      </c>
      <c r="I18" s="49"/>
      <c r="J18" s="49"/>
      <c r="K18" s="49"/>
      <c r="L18" s="49"/>
      <c r="M18" s="49"/>
      <c r="N18" s="57">
        <f>1.015*80</f>
        <v>81.199999999999989</v>
      </c>
      <c r="O18" s="62">
        <f>SUM(C18:N18)</f>
        <v>114681.2</v>
      </c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2954.2753199999997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382.09232000000003</v>
      </c>
      <c r="U22" s="14">
        <f>N43</f>
        <v>0.12933537961519445</v>
      </c>
    </row>
    <row r="23" spans="1:21" ht="16" x14ac:dyDescent="0.2">
      <c r="A23" s="8" t="s">
        <v>15</v>
      </c>
      <c r="B23" s="58">
        <v>108318</v>
      </c>
      <c r="C23" s="57">
        <v>1300</v>
      </c>
      <c r="D23" s="49">
        <v>0</v>
      </c>
      <c r="E23" s="49">
        <v>0</v>
      </c>
      <c r="F23" s="49">
        <v>0</v>
      </c>
      <c r="G23" s="57">
        <v>113300</v>
      </c>
      <c r="H23" s="49">
        <v>0</v>
      </c>
      <c r="I23" s="49"/>
      <c r="J23" s="49"/>
      <c r="K23" s="49"/>
      <c r="L23" s="49"/>
      <c r="M23" s="49"/>
      <c r="N23" s="57">
        <f>N18</f>
        <v>81.199999999999989</v>
      </c>
      <c r="O23" s="62">
        <f>SUM(C23:N23)</f>
        <v>114681.2</v>
      </c>
      <c r="P23" s="39"/>
      <c r="Q23" s="3"/>
      <c r="R23" s="3"/>
      <c r="S23" s="44" t="s">
        <v>59</v>
      </c>
      <c r="T23" s="13">
        <f>G42/1000</f>
        <v>443.78300000000002</v>
      </c>
      <c r="U23" s="15">
        <f>G43</f>
        <v>0.15021721130581697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0</v>
      </c>
      <c r="U24" s="14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15.622999999999999</v>
      </c>
      <c r="U25" s="14">
        <f>F43</f>
        <v>5.2882681225526404E-3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58</v>
      </c>
      <c r="M29" s="6" t="s">
        <v>79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1660</v>
      </c>
      <c r="U29" s="14">
        <f>I43</f>
        <v>0.56189752822360517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3683</v>
      </c>
      <c r="D31" s="49">
        <v>0</v>
      </c>
      <c r="E31" s="49">
        <v>0</v>
      </c>
      <c r="F31" s="49">
        <v>323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3831</v>
      </c>
      <c r="O31" s="49">
        <v>7837</v>
      </c>
      <c r="P31" s="16">
        <f>O31/$O$39</f>
        <v>2.6960492575114057E-3</v>
      </c>
      <c r="Q31" s="17" t="s">
        <v>33</v>
      </c>
      <c r="R31" s="3"/>
      <c r="S31" s="53" t="str">
        <f>L29</f>
        <v>Beckolja</v>
      </c>
      <c r="T31" s="13">
        <f>L42/1000</f>
        <v>171</v>
      </c>
      <c r="U31" s="50">
        <f>L43</f>
        <v>5.7882215256768961E-2</v>
      </c>
    </row>
    <row r="32" spans="1:21" ht="16" x14ac:dyDescent="0.2">
      <c r="A32" s="8" t="s">
        <v>35</v>
      </c>
      <c r="B32" s="49">
        <v>32967</v>
      </c>
      <c r="C32" s="68">
        <v>32000</v>
      </c>
      <c r="D32" s="49">
        <v>0</v>
      </c>
      <c r="E32" s="49">
        <v>0</v>
      </c>
      <c r="F32" s="68">
        <v>0</v>
      </c>
      <c r="G32" s="68">
        <v>281000</v>
      </c>
      <c r="H32" s="49">
        <v>0</v>
      </c>
      <c r="I32" s="70">
        <v>1660000</v>
      </c>
      <c r="J32" s="49"/>
      <c r="K32" s="49"/>
      <c r="L32" s="70">
        <v>171000</v>
      </c>
      <c r="M32" s="70">
        <v>20000</v>
      </c>
      <c r="N32" s="61">
        <f>N39-SUM(N33:N38,N31)</f>
        <v>182830</v>
      </c>
      <c r="O32" s="61">
        <f>SUM(B32:N32)</f>
        <v>2379797</v>
      </c>
      <c r="P32" s="16">
        <f t="shared" ref="P32:P35" si="1">O32/$O$39</f>
        <v>0.81868698926602923</v>
      </c>
      <c r="Q32" s="17" t="s">
        <v>36</v>
      </c>
      <c r="R32" s="3"/>
      <c r="S32" s="53" t="str">
        <f>M29</f>
        <v>Starkgas</v>
      </c>
      <c r="T32" s="54">
        <f>M42/1000</f>
        <v>20</v>
      </c>
      <c r="U32" s="50">
        <f>M43</f>
        <v>6.7698497376337966E-3</v>
      </c>
    </row>
    <row r="33" spans="1:48" ht="16" x14ac:dyDescent="0.2">
      <c r="A33" s="8" t="s">
        <v>37</v>
      </c>
      <c r="B33" s="49">
        <v>16220</v>
      </c>
      <c r="C33" s="49">
        <v>54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61">
        <v>28354</v>
      </c>
      <c r="O33" s="61">
        <f>SUM(B33:N33)</f>
        <v>44628</v>
      </c>
      <c r="P33" s="16">
        <f t="shared" si="1"/>
        <v>1.5352722504047341E-2</v>
      </c>
      <c r="Q33" s="17" t="s">
        <v>38</v>
      </c>
      <c r="R33" s="3"/>
      <c r="S33" s="44" t="s">
        <v>34</v>
      </c>
      <c r="T33" s="13">
        <f>C42/1000</f>
        <v>261.77699999999999</v>
      </c>
      <c r="U33" s="15">
        <f>C43</f>
        <v>8.8609547738428121E-2</v>
      </c>
    </row>
    <row r="34" spans="1:48" ht="16" x14ac:dyDescent="0.2">
      <c r="A34" s="8" t="s">
        <v>39</v>
      </c>
      <c r="B34" s="49">
        <v>0</v>
      </c>
      <c r="C34" s="61">
        <f>O34-N34-F34</f>
        <v>206286</v>
      </c>
      <c r="D34" s="49">
        <v>0</v>
      </c>
      <c r="E34" s="49">
        <v>0</v>
      </c>
      <c r="F34" s="49">
        <v>15300</v>
      </c>
      <c r="G34" s="49">
        <v>0</v>
      </c>
      <c r="H34" s="49">
        <v>0</v>
      </c>
      <c r="I34" s="49"/>
      <c r="J34" s="49"/>
      <c r="K34" s="49"/>
      <c r="L34" s="49"/>
      <c r="M34" s="40"/>
      <c r="N34" s="61">
        <v>1544</v>
      </c>
      <c r="O34" s="49">
        <v>223130</v>
      </c>
      <c r="P34" s="16">
        <f t="shared" si="1"/>
        <v>7.6760172365512316E-2</v>
      </c>
      <c r="Q34" s="17" t="s">
        <v>40</v>
      </c>
      <c r="R34" s="3"/>
      <c r="S34" s="3"/>
      <c r="T34" s="13">
        <f>SUM(T22:T33)</f>
        <v>2954.2753200000002</v>
      </c>
      <c r="U34" s="14">
        <f>SUM(U22:U33)</f>
        <v>1.0000000000000002</v>
      </c>
    </row>
    <row r="35" spans="1:48" ht="16" x14ac:dyDescent="0.2">
      <c r="A35" s="8" t="s">
        <v>41</v>
      </c>
      <c r="B35" s="49">
        <v>3687</v>
      </c>
      <c r="C35" s="49">
        <v>18200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34488</v>
      </c>
      <c r="O35" s="49">
        <v>56375</v>
      </c>
      <c r="P35" s="16">
        <f t="shared" si="1"/>
        <v>1.9393872258798711E-2</v>
      </c>
      <c r="Q35" s="17" t="s">
        <v>42</v>
      </c>
      <c r="R35" s="17"/>
    </row>
    <row r="36" spans="1:48" ht="16" x14ac:dyDescent="0.2">
      <c r="A36" s="8" t="s">
        <v>43</v>
      </c>
      <c r="B36" s="49">
        <v>29999</v>
      </c>
      <c r="C36" s="49">
        <v>156</v>
      </c>
      <c r="D36" s="49">
        <v>0</v>
      </c>
      <c r="E36" s="49">
        <v>0</v>
      </c>
      <c r="F36" s="49">
        <v>0</v>
      </c>
      <c r="G36" s="49">
        <v>49483</v>
      </c>
      <c r="H36" s="49">
        <v>0</v>
      </c>
      <c r="I36" s="49"/>
      <c r="J36" s="49"/>
      <c r="K36" s="49"/>
      <c r="L36" s="49"/>
      <c r="M36" s="40"/>
      <c r="N36" s="49">
        <v>90173</v>
      </c>
      <c r="O36" s="49">
        <v>169811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12676</v>
      </c>
      <c r="C37" s="49">
        <v>98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61">
        <v>3628</v>
      </c>
      <c r="O37" s="61">
        <f>SUM(B37:N37)</f>
        <v>16402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8866</v>
      </c>
      <c r="O38" s="49">
        <v>8866</v>
      </c>
      <c r="P38" s="17">
        <f>SUM(P31:P35)</f>
        <v>0.93288980565189905</v>
      </c>
      <c r="Q38" s="17"/>
      <c r="R38" s="3"/>
      <c r="S38" s="7" t="s">
        <v>46</v>
      </c>
      <c r="T38" s="18">
        <f>O45/1000</f>
        <v>41.066119999999998</v>
      </c>
      <c r="U38" s="7"/>
    </row>
    <row r="39" spans="1:48" ht="16" x14ac:dyDescent="0.2">
      <c r="A39" s="8" t="s">
        <v>15</v>
      </c>
      <c r="B39" s="49">
        <v>95549</v>
      </c>
      <c r="C39" s="70">
        <f>SUM(C31:C38)</f>
        <v>260477</v>
      </c>
      <c r="D39" s="49">
        <v>0</v>
      </c>
      <c r="E39" s="49">
        <v>0</v>
      </c>
      <c r="F39" s="85">
        <f>SUM(F31:F34)</f>
        <v>15623</v>
      </c>
      <c r="G39" s="55">
        <f>SUM(G32:G36)</f>
        <v>330483</v>
      </c>
      <c r="H39" s="49">
        <v>0</v>
      </c>
      <c r="I39" s="70">
        <f t="shared" ref="I39:L39" si="2">I32</f>
        <v>1660000</v>
      </c>
      <c r="J39" s="49"/>
      <c r="K39" s="49"/>
      <c r="L39" s="70">
        <f t="shared" si="2"/>
        <v>171000</v>
      </c>
      <c r="M39" s="70">
        <f>M32</f>
        <v>20000</v>
      </c>
      <c r="N39" s="60">
        <v>353714</v>
      </c>
      <c r="O39" s="60">
        <f>SUM(O31:O38)</f>
        <v>2906846</v>
      </c>
      <c r="P39" s="3"/>
      <c r="Q39" s="3"/>
      <c r="R39" s="3"/>
      <c r="S39" s="7" t="s">
        <v>47</v>
      </c>
      <c r="T39" s="19">
        <f>O41/1000</f>
        <v>195.07900000000001</v>
      </c>
      <c r="U39" s="14">
        <f>P41</f>
        <v>6.7110194348101004E-2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169.81100000000001</v>
      </c>
      <c r="U40" s="15">
        <f>P35</f>
        <v>1.9393872258798711E-2</v>
      </c>
    </row>
    <row r="41" spans="1:48" ht="16" x14ac:dyDescent="0.2">
      <c r="A41" s="20" t="s">
        <v>49</v>
      </c>
      <c r="B41" s="21">
        <f>B38+B37+B36</f>
        <v>42675</v>
      </c>
      <c r="C41" s="21">
        <f t="shared" ref="C41:O41" si="3">C38+C37+C36</f>
        <v>254</v>
      </c>
      <c r="D41" s="21">
        <f t="shared" si="3"/>
        <v>0</v>
      </c>
      <c r="E41" s="21">
        <f t="shared" si="3"/>
        <v>0</v>
      </c>
      <c r="F41" s="21">
        <f t="shared" si="3"/>
        <v>0</v>
      </c>
      <c r="G41" s="21">
        <f t="shared" si="3"/>
        <v>49483</v>
      </c>
      <c r="H41" s="21">
        <f t="shared" si="3"/>
        <v>0</v>
      </c>
      <c r="I41" s="21">
        <f t="shared" si="3"/>
        <v>0</v>
      </c>
      <c r="J41" s="21">
        <f t="shared" si="3"/>
        <v>0</v>
      </c>
      <c r="K41" s="21">
        <f t="shared" si="3"/>
        <v>0</v>
      </c>
      <c r="L41" s="21">
        <f t="shared" si="3"/>
        <v>0</v>
      </c>
      <c r="M41" s="21">
        <f t="shared" si="3"/>
        <v>0</v>
      </c>
      <c r="N41" s="21" t="e">
        <f>N38+#REF!+N36</f>
        <v>#REF!</v>
      </c>
      <c r="O41" s="21">
        <f t="shared" si="3"/>
        <v>195079</v>
      </c>
      <c r="P41" s="16">
        <f>O41/$O$39</f>
        <v>6.7110194348101004E-2</v>
      </c>
      <c r="Q41" s="16" t="s">
        <v>50</v>
      </c>
      <c r="R41" s="7"/>
      <c r="S41" s="7" t="s">
        <v>51</v>
      </c>
      <c r="T41" s="19">
        <f>O33/1000</f>
        <v>44.628</v>
      </c>
      <c r="U41" s="14">
        <f>P33</f>
        <v>1.5352722504047341E-2</v>
      </c>
    </row>
    <row r="42" spans="1:48" ht="16" x14ac:dyDescent="0.2">
      <c r="A42" s="22" t="s">
        <v>52</v>
      </c>
      <c r="B42" s="21"/>
      <c r="C42" s="23">
        <f>C10+C23+C39</f>
        <v>261777</v>
      </c>
      <c r="D42" s="23">
        <f t="shared" ref="D42:M42" si="4">D39+D23+D10</f>
        <v>0</v>
      </c>
      <c r="E42" s="23">
        <f t="shared" si="4"/>
        <v>0</v>
      </c>
      <c r="F42" s="23">
        <f t="shared" si="4"/>
        <v>15623</v>
      </c>
      <c r="G42" s="23">
        <f t="shared" si="4"/>
        <v>443783</v>
      </c>
      <c r="H42" s="23">
        <f t="shared" si="4"/>
        <v>0</v>
      </c>
      <c r="I42" s="23">
        <f t="shared" si="4"/>
        <v>1660000</v>
      </c>
      <c r="J42" s="23">
        <f t="shared" si="4"/>
        <v>0</v>
      </c>
      <c r="K42" s="23">
        <f t="shared" si="4"/>
        <v>0</v>
      </c>
      <c r="L42" s="23">
        <f t="shared" si="4"/>
        <v>171000</v>
      </c>
      <c r="M42" s="23">
        <f t="shared" si="4"/>
        <v>20000</v>
      </c>
      <c r="N42" s="23">
        <f>N39+N23-B6+N45</f>
        <v>382092.32</v>
      </c>
      <c r="O42" s="24">
        <f>SUM(C42:N42)</f>
        <v>2954275.32</v>
      </c>
      <c r="P42" s="7"/>
      <c r="Q42" s="7"/>
      <c r="R42" s="7"/>
      <c r="S42" s="7" t="s">
        <v>33</v>
      </c>
      <c r="T42" s="19">
        <f>O31/1000</f>
        <v>7.8369999999999997</v>
      </c>
      <c r="U42" s="14">
        <f>P31</f>
        <v>2.6960492575114057E-3</v>
      </c>
    </row>
    <row r="43" spans="1:48" ht="16" x14ac:dyDescent="0.2">
      <c r="A43" s="22" t="s">
        <v>53</v>
      </c>
      <c r="B43" s="21"/>
      <c r="C43" s="16">
        <f t="shared" ref="C43:N43" si="5">C42/$O42</f>
        <v>8.8609547738428121E-2</v>
      </c>
      <c r="D43" s="16">
        <f t="shared" si="5"/>
        <v>0</v>
      </c>
      <c r="E43" s="16">
        <f t="shared" si="5"/>
        <v>0</v>
      </c>
      <c r="F43" s="16">
        <f t="shared" si="5"/>
        <v>5.2882681225526404E-3</v>
      </c>
      <c r="G43" s="16">
        <f t="shared" si="5"/>
        <v>0.15021721130581697</v>
      </c>
      <c r="H43" s="16">
        <f t="shared" si="5"/>
        <v>0</v>
      </c>
      <c r="I43" s="16">
        <f t="shared" si="5"/>
        <v>0.56189752822360517</v>
      </c>
      <c r="J43" s="16">
        <f t="shared" si="5"/>
        <v>0</v>
      </c>
      <c r="K43" s="16">
        <f t="shared" si="5"/>
        <v>0</v>
      </c>
      <c r="L43" s="16">
        <f t="shared" si="5"/>
        <v>5.7882215256768961E-2</v>
      </c>
      <c r="M43" s="16">
        <f t="shared" si="5"/>
        <v>6.7698497376337966E-3</v>
      </c>
      <c r="N43" s="16">
        <f t="shared" si="5"/>
        <v>0.12933537961519445</v>
      </c>
      <c r="O43" s="16">
        <f>SUM(C43:N43)</f>
        <v>1.0000000000000002</v>
      </c>
      <c r="P43" s="7"/>
      <c r="Q43" s="7"/>
      <c r="R43" s="7"/>
      <c r="S43" s="7" t="s">
        <v>54</v>
      </c>
      <c r="T43" s="19">
        <f>O32/1000</f>
        <v>2379.797</v>
      </c>
      <c r="U43" s="15">
        <f>P32</f>
        <v>0.81868698926602923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223.13</v>
      </c>
      <c r="U44" s="15">
        <f>P34</f>
        <v>7.6760172365512316E-2</v>
      </c>
    </row>
    <row r="45" spans="1:48" ht="16" x14ac:dyDescent="0.2">
      <c r="A45" s="6" t="s">
        <v>56</v>
      </c>
      <c r="B45" s="6">
        <f>B23-B39</f>
        <v>12769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28297.119999999999</v>
      </c>
      <c r="O45" s="24">
        <f>B45+N45</f>
        <v>41066.119999999995</v>
      </c>
      <c r="P45" s="7"/>
      <c r="Q45" s="7"/>
      <c r="R45" s="7"/>
      <c r="S45" s="7" t="s">
        <v>57</v>
      </c>
      <c r="T45" s="19">
        <f>SUM(T39:T44)</f>
        <v>3020.2820000000002</v>
      </c>
      <c r="U45" s="14">
        <f>SUM(U39:U44)</f>
        <v>1</v>
      </c>
    </row>
    <row r="46" spans="1:48" ht="16" x14ac:dyDescent="0.2">
      <c r="A46" s="6"/>
      <c r="B46" s="56">
        <f>B45/B23</f>
        <v>0.11788437748112041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7"/>
      <c r="E47" s="26"/>
      <c r="F47" s="26"/>
      <c r="G47" s="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7"/>
      <c r="E48" s="26"/>
      <c r="F48" s="26"/>
      <c r="G48" s="27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9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7" enableFormatConditionsCalculation="0"/>
  <dimension ref="A1:AV70"/>
  <sheetViews>
    <sheetView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67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61">
        <v>843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49">
        <v>124196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61">
        <f>SUM(B8:B9)</f>
        <v>125039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49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76">
        <v>30000</v>
      </c>
      <c r="C18" s="76">
        <v>4677</v>
      </c>
      <c r="D18" s="57">
        <v>0</v>
      </c>
      <c r="E18" s="49">
        <v>0</v>
      </c>
      <c r="F18" s="49">
        <v>0</v>
      </c>
      <c r="G18" s="76">
        <v>28631</v>
      </c>
      <c r="H18" s="49">
        <v>0</v>
      </c>
      <c r="I18" s="49"/>
      <c r="J18" s="57">
        <v>124</v>
      </c>
      <c r="K18" s="49"/>
      <c r="L18" s="49"/>
      <c r="M18" s="49"/>
      <c r="N18" s="49"/>
      <c r="O18" s="76">
        <v>33432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115.62972000000001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13.590719999999999</v>
      </c>
      <c r="U22" s="14">
        <f>N43</f>
        <v>0.11753656412901457</v>
      </c>
    </row>
    <row r="23" spans="1:21" ht="16" x14ac:dyDescent="0.2">
      <c r="A23" s="8" t="s">
        <v>15</v>
      </c>
      <c r="B23" s="76">
        <v>30000</v>
      </c>
      <c r="C23" s="76">
        <f>C18</f>
        <v>4677</v>
      </c>
      <c r="D23" s="57">
        <v>0</v>
      </c>
      <c r="E23" s="49">
        <v>0</v>
      </c>
      <c r="F23" s="49">
        <v>0</v>
      </c>
      <c r="G23" s="76">
        <v>28631</v>
      </c>
      <c r="H23" s="49">
        <v>0</v>
      </c>
      <c r="I23" s="49"/>
      <c r="J23" s="57">
        <f>J18</f>
        <v>124</v>
      </c>
      <c r="K23" s="49"/>
      <c r="L23" s="49"/>
      <c r="M23" s="49"/>
      <c r="N23" s="49"/>
      <c r="O23" s="76">
        <v>33432</v>
      </c>
      <c r="P23" s="39"/>
      <c r="Q23" s="3"/>
      <c r="R23" s="3"/>
      <c r="S23" s="44" t="s">
        <v>59</v>
      </c>
      <c r="T23" s="13">
        <f>G42/1000</f>
        <v>44.453000000000003</v>
      </c>
      <c r="U23" s="15">
        <f>G43</f>
        <v>0.38444268480456406</v>
      </c>
    </row>
    <row r="24" spans="1:21" ht="16" x14ac:dyDescent="0.2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3"/>
      <c r="Q24" s="3"/>
      <c r="R24" s="3"/>
      <c r="S24" s="52" t="str">
        <f>J29</f>
        <v>Torv</v>
      </c>
      <c r="T24" s="13">
        <f>J42/1000</f>
        <v>0.124</v>
      </c>
      <c r="U24" s="14">
        <f>J43</f>
        <v>1.0723886557884945E-3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4.0579999999999998</v>
      </c>
      <c r="U25" s="14">
        <f>F43</f>
        <v>3.5094783590239605E-2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3024</v>
      </c>
      <c r="D31" s="49">
        <v>0</v>
      </c>
      <c r="E31" s="49">
        <v>0</v>
      </c>
      <c r="F31" s="49">
        <v>313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931</v>
      </c>
      <c r="O31" s="49">
        <v>4268</v>
      </c>
      <c r="P31" s="16">
        <f>O31/$O$39</f>
        <v>3.8467084865527433E-2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1500</v>
      </c>
      <c r="C32" s="49">
        <v>16</v>
      </c>
      <c r="D32" s="49">
        <v>0</v>
      </c>
      <c r="E32" s="49">
        <v>0</v>
      </c>
      <c r="F32" s="49">
        <v>0</v>
      </c>
      <c r="G32" s="49">
        <v>883</v>
      </c>
      <c r="H32" s="49">
        <v>0</v>
      </c>
      <c r="I32" s="49"/>
      <c r="J32" s="49"/>
      <c r="K32" s="49"/>
      <c r="L32" s="49"/>
      <c r="M32" s="40"/>
      <c r="N32" s="61">
        <v>1604</v>
      </c>
      <c r="O32" s="61">
        <f>SUM(B32:N32)</f>
        <v>4003</v>
      </c>
      <c r="P32" s="16">
        <f t="shared" ref="P32:P35" si="0">O32/$O$39</f>
        <v>3.6078664647775614E-2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9158</v>
      </c>
      <c r="C33" s="49">
        <v>497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632</v>
      </c>
      <c r="O33" s="49">
        <v>10287</v>
      </c>
      <c r="P33" s="16">
        <f t="shared" si="0"/>
        <v>9.2715768981181057E-2</v>
      </c>
      <c r="Q33" s="17" t="s">
        <v>38</v>
      </c>
      <c r="R33" s="3"/>
      <c r="S33" s="44" t="s">
        <v>34</v>
      </c>
      <c r="T33" s="13">
        <f>C42/1000</f>
        <v>53.404000000000003</v>
      </c>
      <c r="U33" s="15">
        <f>C43</f>
        <v>0.46185357882039324</v>
      </c>
    </row>
    <row r="34" spans="1:48" ht="16" x14ac:dyDescent="0.2">
      <c r="A34" s="8" t="s">
        <v>39</v>
      </c>
      <c r="B34" s="49">
        <v>0</v>
      </c>
      <c r="C34" s="49">
        <v>45030</v>
      </c>
      <c r="D34" s="49">
        <v>0</v>
      </c>
      <c r="E34" s="49">
        <v>0</v>
      </c>
      <c r="F34" s="49">
        <v>3745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0</v>
      </c>
      <c r="O34" s="49">
        <v>48776</v>
      </c>
      <c r="P34" s="16">
        <f t="shared" si="0"/>
        <v>0.43961352657004832</v>
      </c>
      <c r="Q34" s="17" t="s">
        <v>40</v>
      </c>
      <c r="R34" s="3"/>
      <c r="S34" s="3"/>
      <c r="T34" s="13">
        <f>SUM(T22:T33)</f>
        <v>115.62972000000001</v>
      </c>
      <c r="U34" s="14">
        <f>SUM(U22:U33)</f>
        <v>1</v>
      </c>
    </row>
    <row r="35" spans="1:48" ht="16" x14ac:dyDescent="0.2">
      <c r="A35" s="8" t="s">
        <v>41</v>
      </c>
      <c r="B35" s="49">
        <v>1137</v>
      </c>
      <c r="C35" s="49">
        <v>120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61">
        <v>1604</v>
      </c>
      <c r="O35" s="61">
        <f>SUM(B35:N35)</f>
        <v>2861</v>
      </c>
      <c r="P35" s="16">
        <f t="shared" si="0"/>
        <v>2.5785925445237581E-2</v>
      </c>
      <c r="Q35" s="17" t="s">
        <v>42</v>
      </c>
      <c r="R35" s="17"/>
    </row>
    <row r="36" spans="1:48" ht="16" x14ac:dyDescent="0.2">
      <c r="A36" s="8" t="s">
        <v>43</v>
      </c>
      <c r="B36" s="49">
        <v>13123</v>
      </c>
      <c r="C36" s="49">
        <v>39</v>
      </c>
      <c r="D36" s="49">
        <v>0</v>
      </c>
      <c r="E36" s="49">
        <v>0</v>
      </c>
      <c r="F36" s="49">
        <v>0</v>
      </c>
      <c r="G36" s="49">
        <v>14939</v>
      </c>
      <c r="H36" s="49">
        <v>0</v>
      </c>
      <c r="I36" s="49"/>
      <c r="J36" s="49"/>
      <c r="K36" s="49"/>
      <c r="L36" s="49"/>
      <c r="M36" s="40"/>
      <c r="N36" s="49">
        <v>6002</v>
      </c>
      <c r="O36" s="49">
        <v>34103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4842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60"/>
      <c r="K37" s="49"/>
      <c r="L37" s="49"/>
      <c r="M37" s="40"/>
      <c r="N37" s="49">
        <v>130</v>
      </c>
      <c r="O37" s="49">
        <v>4972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1682</v>
      </c>
      <c r="O38" s="49">
        <v>1682</v>
      </c>
      <c r="P38" s="17">
        <f>SUM(P31:P35)</f>
        <v>0.63266097050976999</v>
      </c>
      <c r="Q38" s="17"/>
      <c r="R38" s="3"/>
      <c r="S38" s="7" t="s">
        <v>46</v>
      </c>
      <c r="T38" s="18">
        <f>O45/1000</f>
        <v>1.2467200000000001</v>
      </c>
      <c r="U38" s="7"/>
    </row>
    <row r="39" spans="1:48" ht="16" x14ac:dyDescent="0.2">
      <c r="A39" s="8" t="s">
        <v>15</v>
      </c>
      <c r="B39" s="49">
        <v>29760</v>
      </c>
      <c r="C39" s="49">
        <v>48727</v>
      </c>
      <c r="D39" s="49">
        <v>0</v>
      </c>
      <c r="E39" s="49">
        <v>0</v>
      </c>
      <c r="F39" s="49">
        <v>4058</v>
      </c>
      <c r="G39" s="49">
        <v>15822</v>
      </c>
      <c r="H39" s="49">
        <v>0</v>
      </c>
      <c r="I39" s="49"/>
      <c r="J39" s="49"/>
      <c r="K39" s="49"/>
      <c r="L39" s="49"/>
      <c r="M39" s="40"/>
      <c r="N39" s="49">
        <v>12584</v>
      </c>
      <c r="O39" s="49">
        <v>110952</v>
      </c>
      <c r="P39" s="3"/>
      <c r="Q39" s="3"/>
      <c r="R39" s="3"/>
      <c r="S39" s="7" t="s">
        <v>47</v>
      </c>
      <c r="T39" s="19">
        <f>O41/1000</f>
        <v>40.756999999999998</v>
      </c>
      <c r="U39" s="14">
        <f>P41</f>
        <v>0.36733902949023001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34.103000000000002</v>
      </c>
      <c r="U40" s="15">
        <f>P35</f>
        <v>2.5785925445237581E-2</v>
      </c>
    </row>
    <row r="41" spans="1:48" ht="16" x14ac:dyDescent="0.2">
      <c r="A41" s="20" t="s">
        <v>49</v>
      </c>
      <c r="B41" s="21">
        <f>B38+B37+B36</f>
        <v>17965</v>
      </c>
      <c r="C41" s="21">
        <f t="shared" ref="C41:O41" si="1">C38+C37+C36</f>
        <v>39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14939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7814</v>
      </c>
      <c r="O41" s="21">
        <f t="shared" si="1"/>
        <v>40757</v>
      </c>
      <c r="P41" s="16">
        <f>O41/$O$39</f>
        <v>0.36733902949023001</v>
      </c>
      <c r="Q41" s="16" t="s">
        <v>50</v>
      </c>
      <c r="R41" s="7"/>
      <c r="S41" s="7" t="s">
        <v>51</v>
      </c>
      <c r="T41" s="19">
        <f>O33/1000</f>
        <v>10.287000000000001</v>
      </c>
      <c r="U41" s="14">
        <f>P33</f>
        <v>9.2715768981181057E-2</v>
      </c>
    </row>
    <row r="42" spans="1:48" ht="16" x14ac:dyDescent="0.2">
      <c r="A42" s="22" t="s">
        <v>52</v>
      </c>
      <c r="B42" s="21"/>
      <c r="C42" s="23">
        <f>C10+C23+C39</f>
        <v>53404</v>
      </c>
      <c r="D42" s="23">
        <f t="shared" ref="D42:M42" si="2">D39+D23+D10</f>
        <v>0</v>
      </c>
      <c r="E42" s="23">
        <f t="shared" si="2"/>
        <v>0</v>
      </c>
      <c r="F42" s="23">
        <f t="shared" si="2"/>
        <v>4058</v>
      </c>
      <c r="G42" s="23">
        <f t="shared" si="2"/>
        <v>44453</v>
      </c>
      <c r="H42" s="23">
        <f t="shared" si="2"/>
        <v>0</v>
      </c>
      <c r="I42" s="23">
        <f t="shared" si="2"/>
        <v>0</v>
      </c>
      <c r="J42" s="23">
        <f t="shared" si="2"/>
        <v>124</v>
      </c>
      <c r="K42" s="23">
        <f t="shared" si="2"/>
        <v>0</v>
      </c>
      <c r="L42" s="23">
        <f t="shared" si="2"/>
        <v>0</v>
      </c>
      <c r="M42" s="23">
        <f t="shared" si="2"/>
        <v>0</v>
      </c>
      <c r="N42" s="23">
        <f>N39+N23-B6+N45</f>
        <v>13590.72</v>
      </c>
      <c r="O42" s="24">
        <f>SUM(C42:N42)</f>
        <v>115629.72</v>
      </c>
      <c r="P42" s="7"/>
      <c r="Q42" s="7"/>
      <c r="R42" s="7"/>
      <c r="S42" s="7" t="s">
        <v>33</v>
      </c>
      <c r="T42" s="19">
        <f>O31/1000</f>
        <v>4.2679999999999998</v>
      </c>
      <c r="U42" s="14">
        <f>P31</f>
        <v>3.8467084865527433E-2</v>
      </c>
    </row>
    <row r="43" spans="1:48" ht="16" x14ac:dyDescent="0.2">
      <c r="A43" s="22" t="s">
        <v>53</v>
      </c>
      <c r="B43" s="21"/>
      <c r="C43" s="16">
        <f t="shared" ref="C43:N43" si="3">C42/$O42</f>
        <v>0.46185357882039324</v>
      </c>
      <c r="D43" s="16">
        <f t="shared" si="3"/>
        <v>0</v>
      </c>
      <c r="E43" s="16">
        <f t="shared" si="3"/>
        <v>0</v>
      </c>
      <c r="F43" s="16">
        <f t="shared" si="3"/>
        <v>3.5094783590239605E-2</v>
      </c>
      <c r="G43" s="16">
        <f t="shared" si="3"/>
        <v>0.38444268480456406</v>
      </c>
      <c r="H43" s="16">
        <f t="shared" si="3"/>
        <v>0</v>
      </c>
      <c r="I43" s="16">
        <f t="shared" si="3"/>
        <v>0</v>
      </c>
      <c r="J43" s="16">
        <f t="shared" si="3"/>
        <v>1.0723886557884945E-3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0.11753656412901457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4.0030000000000001</v>
      </c>
      <c r="U43" s="15">
        <f>P32</f>
        <v>3.6078664647775614E-2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48.776000000000003</v>
      </c>
      <c r="U44" s="15">
        <f>P34</f>
        <v>0.43961352657004832</v>
      </c>
    </row>
    <row r="45" spans="1:48" ht="16" x14ac:dyDescent="0.2">
      <c r="A45" s="6" t="s">
        <v>56</v>
      </c>
      <c r="B45" s="6">
        <f>B23-B39</f>
        <v>240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1006.72</v>
      </c>
      <c r="O45" s="24">
        <f>B45+N45</f>
        <v>1246.72</v>
      </c>
      <c r="P45" s="7"/>
      <c r="Q45" s="7"/>
      <c r="R45" s="7"/>
      <c r="S45" s="7" t="s">
        <v>57</v>
      </c>
      <c r="T45" s="19">
        <f>SUM(T39:T44)</f>
        <v>142.19400000000002</v>
      </c>
      <c r="U45" s="14">
        <f>SUM(U39:U44)</f>
        <v>1</v>
      </c>
    </row>
    <row r="46" spans="1:48" ht="16" x14ac:dyDescent="0.2">
      <c r="A46" s="6"/>
      <c r="B46" s="56">
        <f>B45/B23</f>
        <v>8.0000000000000002E-3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7"/>
      <c r="E47" s="26"/>
      <c r="F47" s="26"/>
      <c r="G47" s="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7"/>
      <c r="E48" s="26"/>
      <c r="F48" s="26"/>
      <c r="G48" s="27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8" enableFormatConditionsCalculation="0"/>
  <dimension ref="A1:AV70"/>
  <sheetViews>
    <sheetView workbookViewId="0">
      <selection activeCell="O24" sqref="O24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8" t="s">
        <v>68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B4" s="89">
        <v>22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61">
        <v>1700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64">
        <v>68673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0"/>
      <c r="AI9" s="40"/>
    </row>
    <row r="10" spans="1:35" ht="16" x14ac:dyDescent="0.2">
      <c r="A10" s="8" t="s">
        <v>15</v>
      </c>
      <c r="B10" s="61">
        <f>SUM(B4:B9)</f>
        <v>70395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/>
      <c r="J17" s="49"/>
      <c r="K17" s="49"/>
      <c r="L17" s="49"/>
      <c r="M17" s="49"/>
      <c r="N17" s="49"/>
      <c r="O17" s="49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49">
        <v>31947</v>
      </c>
      <c r="C18" s="49">
        <v>107</v>
      </c>
      <c r="D18" s="49">
        <v>0</v>
      </c>
      <c r="E18" s="49">
        <v>0</v>
      </c>
      <c r="F18" s="49">
        <v>0</v>
      </c>
      <c r="G18" s="49">
        <v>32603</v>
      </c>
      <c r="H18" s="49">
        <v>0</v>
      </c>
      <c r="I18" s="49"/>
      <c r="J18" s="49"/>
      <c r="K18" s="49"/>
      <c r="L18" s="49"/>
      <c r="M18" s="49"/>
      <c r="N18" s="49">
        <v>400</v>
      </c>
      <c r="O18" s="49">
        <f>SUM(C18:N18)</f>
        <v>33110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2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/>
      <c r="K19" s="49"/>
      <c r="L19" s="49"/>
      <c r="M19" s="49"/>
      <c r="N19" s="49"/>
      <c r="O19" s="49">
        <v>0</v>
      </c>
      <c r="P19" s="3"/>
      <c r="Q19" s="3"/>
      <c r="R19" s="3"/>
      <c r="S19" s="3" t="s">
        <v>25</v>
      </c>
      <c r="T19" s="13">
        <f>O42/1000</f>
        <v>301.62076000000002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/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/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/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95.171759999999992</v>
      </c>
      <c r="U22" s="14">
        <f>N43</f>
        <v>0.31553451426884538</v>
      </c>
    </row>
    <row r="23" spans="1:21" ht="16" x14ac:dyDescent="0.2">
      <c r="A23" s="8" t="s">
        <v>15</v>
      </c>
      <c r="B23" s="49">
        <v>31947</v>
      </c>
      <c r="C23" s="49">
        <v>107</v>
      </c>
      <c r="D23" s="49">
        <v>0</v>
      </c>
      <c r="E23" s="49">
        <v>0</v>
      </c>
      <c r="F23" s="49">
        <v>0</v>
      </c>
      <c r="G23" s="49">
        <v>32603</v>
      </c>
      <c r="H23" s="49">
        <v>0</v>
      </c>
      <c r="I23" s="49"/>
      <c r="J23" s="49"/>
      <c r="K23" s="49"/>
      <c r="L23" s="49"/>
      <c r="M23" s="49"/>
      <c r="N23" s="49"/>
      <c r="O23" s="49">
        <f>SUM(O17:O22)</f>
        <v>33110</v>
      </c>
      <c r="P23" s="39"/>
      <c r="Q23" s="3"/>
      <c r="R23" s="3"/>
      <c r="S23" s="44" t="s">
        <v>59</v>
      </c>
      <c r="T23" s="13">
        <f>G42/1000</f>
        <v>103.23399999999999</v>
      </c>
      <c r="U23" s="15">
        <f>G43</f>
        <v>0.34226423937132178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0</v>
      </c>
      <c r="U24" s="14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6.8849999999999998</v>
      </c>
      <c r="U25" s="14">
        <f>F43</f>
        <v>2.2826678110618115E-2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0</v>
      </c>
      <c r="U26" s="14">
        <f>E43</f>
        <v>0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2414</v>
      </c>
      <c r="D31" s="49">
        <v>0</v>
      </c>
      <c r="E31" s="49">
        <v>0</v>
      </c>
      <c r="F31" s="49">
        <v>248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3357</v>
      </c>
      <c r="O31" s="49">
        <v>6019</v>
      </c>
      <c r="P31" s="16">
        <f>O31/$O$39</f>
        <v>2.0711321546794028E-2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0</v>
      </c>
      <c r="C32" s="61">
        <v>2902</v>
      </c>
      <c r="D32" s="49">
        <v>0</v>
      </c>
      <c r="E32" s="49">
        <v>0</v>
      </c>
      <c r="F32" s="49">
        <v>0</v>
      </c>
      <c r="G32" s="61">
        <v>47390</v>
      </c>
      <c r="H32" s="49">
        <v>0</v>
      </c>
      <c r="I32" s="49"/>
      <c r="J32" s="49"/>
      <c r="K32" s="49"/>
      <c r="L32" s="49"/>
      <c r="M32" s="40"/>
      <c r="N32" s="61">
        <v>12497</v>
      </c>
      <c r="O32" s="49">
        <v>62789</v>
      </c>
      <c r="P32" s="16">
        <f t="shared" ref="P32:P35" si="0">O32/$O$39</f>
        <v>0.21605634965968604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6692</v>
      </c>
      <c r="C33" s="49">
        <v>346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10002</v>
      </c>
      <c r="O33" s="49">
        <v>17040</v>
      </c>
      <c r="P33" s="16">
        <f t="shared" si="0"/>
        <v>5.8634477347959839E-2</v>
      </c>
      <c r="Q33" s="17" t="s">
        <v>38</v>
      </c>
      <c r="R33" s="3"/>
      <c r="S33" s="44" t="s">
        <v>34</v>
      </c>
      <c r="T33" s="13">
        <f>C42/1000</f>
        <v>96.33</v>
      </c>
      <c r="U33" s="15">
        <f>C43</f>
        <v>0.31937456824921467</v>
      </c>
    </row>
    <row r="34" spans="1:48" ht="16" x14ac:dyDescent="0.2">
      <c r="A34" s="8" t="s">
        <v>39</v>
      </c>
      <c r="B34" s="49">
        <v>0</v>
      </c>
      <c r="C34" s="49">
        <v>79576</v>
      </c>
      <c r="D34" s="49">
        <v>0</v>
      </c>
      <c r="E34" s="49">
        <v>0</v>
      </c>
      <c r="F34" s="49">
        <v>6637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45</v>
      </c>
      <c r="O34" s="49">
        <v>86259</v>
      </c>
      <c r="P34" s="16">
        <f t="shared" si="0"/>
        <v>0.29681639563131851</v>
      </c>
      <c r="Q34" s="17" t="s">
        <v>40</v>
      </c>
      <c r="R34" s="3"/>
      <c r="S34" s="3"/>
      <c r="T34" s="13">
        <f>SUM(T22:T33)</f>
        <v>301.62075999999996</v>
      </c>
      <c r="U34" s="14">
        <f>SUM(U22:U33)</f>
        <v>1</v>
      </c>
    </row>
    <row r="35" spans="1:48" ht="16" x14ac:dyDescent="0.2">
      <c r="A35" s="8" t="s">
        <v>41</v>
      </c>
      <c r="B35" s="49">
        <v>2525</v>
      </c>
      <c r="C35" s="49">
        <v>10875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12532</v>
      </c>
      <c r="O35" s="49">
        <v>25932</v>
      </c>
      <c r="P35" s="16">
        <f t="shared" si="0"/>
        <v>8.9231764471085356E-2</v>
      </c>
      <c r="Q35" s="17" t="s">
        <v>42</v>
      </c>
      <c r="R35" s="17"/>
    </row>
    <row r="36" spans="1:48" ht="16" x14ac:dyDescent="0.2">
      <c r="A36" s="8" t="s">
        <v>43</v>
      </c>
      <c r="B36" s="49">
        <v>9073</v>
      </c>
      <c r="C36" s="49">
        <v>110</v>
      </c>
      <c r="D36" s="49">
        <v>0</v>
      </c>
      <c r="E36" s="49">
        <v>0</v>
      </c>
      <c r="F36" s="49">
        <v>0</v>
      </c>
      <c r="G36" s="49">
        <v>23241</v>
      </c>
      <c r="H36" s="49">
        <v>0</v>
      </c>
      <c r="I36" s="49"/>
      <c r="J36" s="49"/>
      <c r="K36" s="49"/>
      <c r="L36" s="49"/>
      <c r="M36" s="40"/>
      <c r="N36" s="49">
        <v>39794</v>
      </c>
      <c r="O36" s="49">
        <v>72218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10462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2246</v>
      </c>
      <c r="O37" s="49">
        <v>12708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7649</v>
      </c>
      <c r="O38" s="49">
        <v>7649</v>
      </c>
      <c r="P38" s="17">
        <f>SUM(P31:P35)</f>
        <v>0.68145030865684375</v>
      </c>
      <c r="Q38" s="17"/>
      <c r="R38" s="3"/>
      <c r="S38" s="7" t="s">
        <v>46</v>
      </c>
      <c r="T38" s="18">
        <f>O45/1000</f>
        <v>10.244759999999999</v>
      </c>
      <c r="U38" s="7"/>
    </row>
    <row r="39" spans="1:48" ht="16" x14ac:dyDescent="0.2">
      <c r="A39" s="8" t="s">
        <v>15</v>
      </c>
      <c r="B39" s="49">
        <v>28752</v>
      </c>
      <c r="C39" s="61">
        <f>SUM(C31:C38)</f>
        <v>96223</v>
      </c>
      <c r="D39" s="49">
        <v>0</v>
      </c>
      <c r="E39" s="49">
        <v>0</v>
      </c>
      <c r="F39" s="49">
        <v>6885</v>
      </c>
      <c r="G39" s="61">
        <f>SUM(G31:G38)</f>
        <v>70631</v>
      </c>
      <c r="H39" s="49">
        <v>0</v>
      </c>
      <c r="I39" s="49"/>
      <c r="J39" s="49"/>
      <c r="K39" s="49"/>
      <c r="L39" s="49"/>
      <c r="M39" s="40"/>
      <c r="N39" s="61">
        <f>SUM(N31:N38)</f>
        <v>88122</v>
      </c>
      <c r="O39" s="49">
        <v>290614</v>
      </c>
      <c r="P39" s="3"/>
      <c r="Q39" s="3"/>
      <c r="R39" s="3"/>
      <c r="S39" s="7" t="s">
        <v>47</v>
      </c>
      <c r="T39" s="19">
        <f>O41/1000</f>
        <v>92.575000000000003</v>
      </c>
      <c r="U39" s="14">
        <f>P41</f>
        <v>0.31854969134315619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72.218000000000004</v>
      </c>
      <c r="U40" s="15">
        <f>P35</f>
        <v>8.9231764471085356E-2</v>
      </c>
    </row>
    <row r="41" spans="1:48" ht="16" x14ac:dyDescent="0.2">
      <c r="A41" s="20" t="s">
        <v>49</v>
      </c>
      <c r="B41" s="21">
        <f>B38+B37+B36</f>
        <v>19535</v>
      </c>
      <c r="C41" s="21">
        <f t="shared" ref="C41:O41" si="1">C38+C37+C36</f>
        <v>110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23241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49689</v>
      </c>
      <c r="O41" s="21">
        <f t="shared" si="1"/>
        <v>92575</v>
      </c>
      <c r="P41" s="16">
        <f>O41/$O$39</f>
        <v>0.31854969134315619</v>
      </c>
      <c r="Q41" s="16" t="s">
        <v>50</v>
      </c>
      <c r="R41" s="7"/>
      <c r="S41" s="7" t="s">
        <v>51</v>
      </c>
      <c r="T41" s="19">
        <f>O33/1000</f>
        <v>17.04</v>
      </c>
      <c r="U41" s="14">
        <f>P33</f>
        <v>5.8634477347959839E-2</v>
      </c>
    </row>
    <row r="42" spans="1:48" ht="16" x14ac:dyDescent="0.2">
      <c r="A42" s="22" t="s">
        <v>52</v>
      </c>
      <c r="B42" s="21"/>
      <c r="C42" s="23">
        <f>C10+C23+C39</f>
        <v>96330</v>
      </c>
      <c r="D42" s="23">
        <f t="shared" ref="D42:M42" si="2">D39+D23+D10</f>
        <v>0</v>
      </c>
      <c r="E42" s="23">
        <f t="shared" si="2"/>
        <v>0</v>
      </c>
      <c r="F42" s="23">
        <f t="shared" si="2"/>
        <v>6885</v>
      </c>
      <c r="G42" s="23">
        <f t="shared" si="2"/>
        <v>103234</v>
      </c>
      <c r="H42" s="23">
        <f t="shared" si="2"/>
        <v>0</v>
      </c>
      <c r="I42" s="23">
        <f t="shared" si="2"/>
        <v>0</v>
      </c>
      <c r="J42" s="23">
        <f t="shared" si="2"/>
        <v>0</v>
      </c>
      <c r="K42" s="23">
        <f t="shared" si="2"/>
        <v>0</v>
      </c>
      <c r="L42" s="23">
        <f t="shared" si="2"/>
        <v>0</v>
      </c>
      <c r="M42" s="23">
        <f t="shared" si="2"/>
        <v>0</v>
      </c>
      <c r="N42" s="23">
        <f>N39+N23-B6+N45</f>
        <v>95171.76</v>
      </c>
      <c r="O42" s="24">
        <f>SUM(C42:N42)</f>
        <v>301620.76</v>
      </c>
      <c r="P42" s="7"/>
      <c r="Q42" s="7"/>
      <c r="R42" s="7"/>
      <c r="S42" s="7" t="s">
        <v>33</v>
      </c>
      <c r="T42" s="19">
        <f>O31/1000</f>
        <v>6.0190000000000001</v>
      </c>
      <c r="U42" s="14">
        <f>P31</f>
        <v>2.0711321546794028E-2</v>
      </c>
    </row>
    <row r="43" spans="1:48" ht="16" x14ac:dyDescent="0.2">
      <c r="A43" s="22" t="s">
        <v>53</v>
      </c>
      <c r="B43" s="21"/>
      <c r="C43" s="16">
        <f t="shared" ref="C43:N43" si="3">C42/$O42</f>
        <v>0.31937456824921467</v>
      </c>
      <c r="D43" s="16">
        <f t="shared" si="3"/>
        <v>0</v>
      </c>
      <c r="E43" s="16">
        <f t="shared" si="3"/>
        <v>0</v>
      </c>
      <c r="F43" s="16">
        <f t="shared" si="3"/>
        <v>2.2826678110618115E-2</v>
      </c>
      <c r="G43" s="16">
        <f t="shared" si="3"/>
        <v>0.34226423937132178</v>
      </c>
      <c r="H43" s="16">
        <f t="shared" si="3"/>
        <v>0</v>
      </c>
      <c r="I43" s="16">
        <f t="shared" si="3"/>
        <v>0</v>
      </c>
      <c r="J43" s="16">
        <f t="shared" si="3"/>
        <v>0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0.31553451426884538</v>
      </c>
      <c r="O43" s="16">
        <f>SUM(C43:N43)</f>
        <v>0.99999999999999989</v>
      </c>
      <c r="P43" s="7"/>
      <c r="Q43" s="7"/>
      <c r="R43" s="7"/>
      <c r="S43" s="7" t="s">
        <v>54</v>
      </c>
      <c r="T43" s="19">
        <f>O32/1000</f>
        <v>62.789000000000001</v>
      </c>
      <c r="U43" s="15">
        <f>P32</f>
        <v>0.21605634965968604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86.259</v>
      </c>
      <c r="U44" s="15">
        <f>P34</f>
        <v>0.29681639563131851</v>
      </c>
    </row>
    <row r="45" spans="1:48" ht="16" x14ac:dyDescent="0.2">
      <c r="A45" s="6" t="s">
        <v>56</v>
      </c>
      <c r="B45" s="6">
        <f>B23-B39</f>
        <v>3195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7049.76</v>
      </c>
      <c r="O45" s="24">
        <f>B45+N45</f>
        <v>10244.76</v>
      </c>
      <c r="P45" s="7"/>
      <c r="Q45" s="7"/>
      <c r="R45" s="7"/>
      <c r="S45" s="7" t="s">
        <v>57</v>
      </c>
      <c r="T45" s="19">
        <f>SUM(T39:T44)</f>
        <v>336.90000000000003</v>
      </c>
      <c r="U45" s="14">
        <f>SUM(U39:U44)</f>
        <v>1</v>
      </c>
    </row>
    <row r="46" spans="1:48" ht="16" x14ac:dyDescent="0.2">
      <c r="A46" s="6"/>
      <c r="B46" s="56">
        <f>B45/B23</f>
        <v>0.10000939055310358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7"/>
      <c r="E48" s="26"/>
      <c r="F48" s="27"/>
      <c r="G48" s="26"/>
      <c r="H48" s="27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7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7"/>
      <c r="E52" s="26"/>
      <c r="F52" s="26"/>
      <c r="G52" s="26"/>
      <c r="H52" s="27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7"/>
      <c r="E55" s="26"/>
      <c r="F55" s="27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7"/>
      <c r="E56" s="26"/>
      <c r="F56" s="27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9" enableFormatConditionsCalculation="0"/>
  <dimension ref="A1:AV70"/>
  <sheetViews>
    <sheetView workbookViewId="0">
      <selection activeCell="C40" sqref="C40"/>
    </sheetView>
  </sheetViews>
  <sheetFormatPr baseColWidth="10" defaultColWidth="8.83203125" defaultRowHeight="15" x14ac:dyDescent="0.2"/>
  <cols>
    <col min="1" max="1" width="22.5" style="2" customWidth="1"/>
    <col min="2" max="8" width="9.33203125" style="2" customWidth="1"/>
    <col min="9" max="11" width="8.83203125" style="2"/>
    <col min="12" max="12" width="5.6640625" style="2" customWidth="1"/>
    <col min="13" max="13" width="5.83203125" style="2" customWidth="1"/>
    <col min="14" max="14" width="10.6640625" style="2" customWidth="1"/>
    <col min="15" max="15" width="11.1640625" style="2" customWidth="1"/>
    <col min="16" max="20" width="8.83203125" style="2"/>
    <col min="21" max="21" width="10.16406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8" t="s">
        <v>69</v>
      </c>
      <c r="Q2" s="40"/>
      <c r="R2" s="8"/>
      <c r="AH2" s="40"/>
      <c r="AI2" s="8"/>
    </row>
    <row r="3" spans="1:35" ht="16" x14ac:dyDescent="0.2">
      <c r="A3" s="5">
        <v>2015</v>
      </c>
      <c r="B3" s="6" t="s">
        <v>1</v>
      </c>
      <c r="C3" s="6" t="s">
        <v>34</v>
      </c>
      <c r="D3" s="6" t="s">
        <v>2</v>
      </c>
      <c r="E3" s="6" t="s">
        <v>3</v>
      </c>
      <c r="F3" s="6" t="s">
        <v>18</v>
      </c>
      <c r="G3" s="6" t="s">
        <v>59</v>
      </c>
      <c r="H3" s="6" t="s">
        <v>5</v>
      </c>
      <c r="I3" s="6" t="s">
        <v>4</v>
      </c>
      <c r="J3" s="6" t="s">
        <v>6</v>
      </c>
      <c r="K3" s="6" t="s">
        <v>7</v>
      </c>
      <c r="L3" s="6"/>
      <c r="M3" s="6"/>
      <c r="N3" s="6"/>
      <c r="O3" s="7" t="s">
        <v>10</v>
      </c>
      <c r="Q3" s="40"/>
      <c r="R3" s="40"/>
      <c r="AH3" s="40"/>
      <c r="AI3" s="40"/>
    </row>
    <row r="4" spans="1:35" ht="15.75" x14ac:dyDescent="0.25">
      <c r="A4" s="8" t="s">
        <v>81</v>
      </c>
      <c r="Q4" s="40"/>
      <c r="R4" s="40"/>
      <c r="AH4" s="40"/>
      <c r="AI4" s="40"/>
    </row>
    <row r="5" spans="1:35" ht="15.75" x14ac:dyDescent="0.25">
      <c r="A5" s="40"/>
      <c r="Q5" s="40"/>
      <c r="R5" s="40"/>
      <c r="AH5" s="40"/>
      <c r="AI5" s="40"/>
    </row>
    <row r="6" spans="1:35" ht="16" x14ac:dyDescent="0.2">
      <c r="A6" s="8" t="s">
        <v>11</v>
      </c>
      <c r="B6" s="49">
        <v>29440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/>
      <c r="J6" s="49"/>
      <c r="K6" s="49"/>
      <c r="L6" s="49"/>
      <c r="M6" s="49"/>
      <c r="N6" s="49"/>
      <c r="O6" s="49">
        <v>0</v>
      </c>
      <c r="Q6" s="40"/>
      <c r="R6" s="40"/>
      <c r="AH6" s="40"/>
      <c r="AI6" s="40"/>
    </row>
    <row r="7" spans="1:35" ht="16" x14ac:dyDescent="0.2">
      <c r="A7" s="8" t="s">
        <v>12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/>
      <c r="J7" s="49"/>
      <c r="K7" s="49"/>
      <c r="L7" s="49"/>
      <c r="M7" s="49"/>
      <c r="N7" s="49"/>
      <c r="O7" s="49">
        <v>0</v>
      </c>
      <c r="P7" s="49"/>
      <c r="Q7" s="40"/>
      <c r="R7" s="40"/>
      <c r="AH7" s="40"/>
      <c r="AI7" s="40"/>
    </row>
    <row r="8" spans="1:35" ht="15.75" x14ac:dyDescent="0.25">
      <c r="A8" s="8" t="s">
        <v>13</v>
      </c>
      <c r="B8" s="49">
        <v>1640176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/>
      <c r="J8" s="49"/>
      <c r="K8" s="49"/>
      <c r="L8" s="49"/>
      <c r="M8" s="49"/>
      <c r="N8" s="49"/>
      <c r="O8" s="49">
        <v>0</v>
      </c>
      <c r="P8" s="49"/>
      <c r="Q8" s="40"/>
      <c r="R8" s="40"/>
      <c r="AH8" s="40"/>
      <c r="AI8" s="40"/>
    </row>
    <row r="9" spans="1:35" ht="15.75" x14ac:dyDescent="0.25">
      <c r="A9" s="8" t="s">
        <v>14</v>
      </c>
      <c r="B9" s="64">
        <v>198389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/>
      <c r="L9" s="49"/>
      <c r="M9" s="49"/>
      <c r="N9" s="49"/>
      <c r="O9" s="49">
        <v>0</v>
      </c>
      <c r="P9" s="49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6" x14ac:dyDescent="0.2">
      <c r="A10" s="8" t="s">
        <v>15</v>
      </c>
      <c r="B10" s="64">
        <f>SUM(B6:B9)</f>
        <v>1868005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/>
      <c r="J10" s="49"/>
      <c r="K10" s="49"/>
      <c r="L10" s="49"/>
      <c r="M10" s="49"/>
      <c r="N10" s="49"/>
      <c r="O10" s="49">
        <v>0</v>
      </c>
      <c r="P10" s="4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35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35" ht="15.75" x14ac:dyDescent="0.25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35" ht="16" x14ac:dyDescent="0.2">
      <c r="B15" s="6" t="s">
        <v>17</v>
      </c>
      <c r="C15" s="6" t="s">
        <v>34</v>
      </c>
      <c r="D15" s="6" t="s">
        <v>2</v>
      </c>
      <c r="E15" s="6" t="s">
        <v>3</v>
      </c>
      <c r="F15" s="6" t="s">
        <v>18</v>
      </c>
      <c r="G15" s="6" t="s">
        <v>59</v>
      </c>
      <c r="H15" s="6" t="s">
        <v>5</v>
      </c>
      <c r="I15" s="6" t="s">
        <v>4</v>
      </c>
      <c r="J15" s="6" t="s">
        <v>6</v>
      </c>
      <c r="K15" s="6" t="s">
        <v>7</v>
      </c>
      <c r="L15" s="6"/>
      <c r="M15" s="6"/>
      <c r="N15" s="6" t="s">
        <v>9</v>
      </c>
      <c r="O15" s="11" t="s">
        <v>10</v>
      </c>
      <c r="P15" s="3"/>
      <c r="Q15" s="3"/>
      <c r="R15" s="3"/>
      <c r="S15" s="3"/>
      <c r="T15" s="3"/>
      <c r="U15" s="3"/>
    </row>
    <row r="16" spans="1:35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19</v>
      </c>
      <c r="B17" s="49">
        <f>156734+24367</f>
        <v>181101</v>
      </c>
      <c r="C17" s="49">
        <v>1367</v>
      </c>
      <c r="D17" s="49">
        <v>0</v>
      </c>
      <c r="E17" s="49">
        <v>0</v>
      </c>
      <c r="F17" s="49">
        <v>0</v>
      </c>
      <c r="G17" s="49">
        <v>122443</v>
      </c>
      <c r="H17" s="49">
        <v>0</v>
      </c>
      <c r="I17" s="49"/>
      <c r="J17" s="63">
        <v>106008</v>
      </c>
      <c r="K17" s="49"/>
      <c r="L17" s="49"/>
      <c r="M17" s="49"/>
      <c r="N17" s="49"/>
      <c r="O17" s="49">
        <v>229818</v>
      </c>
      <c r="P17" s="3"/>
      <c r="Q17" s="3"/>
      <c r="R17" s="3"/>
      <c r="S17" s="3"/>
      <c r="T17" s="3"/>
      <c r="U17" s="3"/>
    </row>
    <row r="18" spans="1:21" ht="16" x14ac:dyDescent="0.2">
      <c r="A18" s="8" t="s">
        <v>20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/>
      <c r="J18" s="49">
        <v>0</v>
      </c>
      <c r="K18" s="49"/>
      <c r="L18" s="49"/>
      <c r="M18" s="49"/>
      <c r="N18" s="49"/>
      <c r="O18" s="49">
        <v>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/>
      <c r="J19" s="49">
        <v>0</v>
      </c>
      <c r="K19" s="49"/>
      <c r="L19" s="49"/>
      <c r="M19" s="49"/>
      <c r="N19" s="49"/>
      <c r="O19" s="49">
        <v>0</v>
      </c>
      <c r="P19" s="3"/>
      <c r="Q19" s="3"/>
      <c r="R19" s="3"/>
      <c r="S19" s="3" t="s">
        <v>60</v>
      </c>
      <c r="T19" s="13">
        <f>O42/1000</f>
        <v>2638.8844800000002</v>
      </c>
      <c r="U19" s="3"/>
    </row>
    <row r="20" spans="1:21" ht="16" x14ac:dyDescent="0.2">
      <c r="A20" s="8" t="s">
        <v>22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/>
      <c r="J20" s="49">
        <v>0</v>
      </c>
      <c r="K20" s="49"/>
      <c r="L20" s="49"/>
      <c r="M20" s="49"/>
      <c r="N20" s="49"/>
      <c r="O20" s="49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/>
      <c r="J21" s="49">
        <v>0</v>
      </c>
      <c r="K21" s="49"/>
      <c r="L21" s="49"/>
      <c r="M21" s="49"/>
      <c r="N21" s="49"/>
      <c r="O21" s="49">
        <v>0</v>
      </c>
      <c r="P21" s="3"/>
      <c r="Q21" s="3"/>
      <c r="R21" s="3"/>
      <c r="S21" s="3"/>
      <c r="T21" s="3" t="s">
        <v>26</v>
      </c>
      <c r="U21" s="3" t="s">
        <v>27</v>
      </c>
    </row>
    <row r="22" spans="1:21" ht="16" x14ac:dyDescent="0.2">
      <c r="A22" s="8" t="s">
        <v>24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/>
      <c r="J22" s="49">
        <v>0</v>
      </c>
      <c r="K22" s="49"/>
      <c r="L22" s="49"/>
      <c r="M22" s="49"/>
      <c r="N22" s="49"/>
      <c r="O22" s="49">
        <v>0</v>
      </c>
      <c r="P22" s="3"/>
      <c r="Q22" s="3"/>
      <c r="R22" s="3"/>
      <c r="S22" s="44" t="s">
        <v>9</v>
      </c>
      <c r="T22" s="13">
        <f>N42/1000</f>
        <v>1753.83548</v>
      </c>
      <c r="U22" s="14">
        <f>N43</f>
        <v>0.6646124501819799</v>
      </c>
    </row>
    <row r="23" spans="1:21" ht="16" x14ac:dyDescent="0.2">
      <c r="A23" s="8" t="s">
        <v>15</v>
      </c>
      <c r="B23" s="49">
        <v>181101</v>
      </c>
      <c r="C23" s="49">
        <v>1367</v>
      </c>
      <c r="D23" s="49">
        <v>0</v>
      </c>
      <c r="E23" s="49">
        <v>0</v>
      </c>
      <c r="F23" s="49">
        <v>0</v>
      </c>
      <c r="G23" s="49">
        <v>122443</v>
      </c>
      <c r="H23" s="49">
        <v>0</v>
      </c>
      <c r="I23" s="49"/>
      <c r="J23" s="63">
        <v>106008</v>
      </c>
      <c r="K23" s="49"/>
      <c r="L23" s="49"/>
      <c r="M23" s="49"/>
      <c r="N23" s="49"/>
      <c r="O23" s="49">
        <v>229818</v>
      </c>
      <c r="P23" s="39"/>
      <c r="Q23" s="3"/>
      <c r="R23" s="3"/>
      <c r="S23" s="44" t="s">
        <v>59</v>
      </c>
      <c r="T23" s="13">
        <f>G42/1000</f>
        <v>135.67400000000001</v>
      </c>
      <c r="U23" s="15">
        <f>G43</f>
        <v>5.1413391161404684E-2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2" t="str">
        <f>J29</f>
        <v>Torv</v>
      </c>
      <c r="T24" s="13">
        <f>J42/1000</f>
        <v>106.008</v>
      </c>
      <c r="U24" s="14">
        <f>J43</f>
        <v>4.0171519747616992E-2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4" t="s">
        <v>30</v>
      </c>
      <c r="T25" s="13">
        <f>F42/1000</f>
        <v>19.920000000000002</v>
      </c>
      <c r="U25" s="14">
        <f>F43</f>
        <v>7.548644190745326E-3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4" t="s">
        <v>3</v>
      </c>
      <c r="T26" s="13">
        <f>E42/1000</f>
        <v>32.066000000000003</v>
      </c>
      <c r="U26" s="14">
        <f>E43</f>
        <v>1.2151346617491949E-2</v>
      </c>
    </row>
    <row r="27" spans="1:21" ht="19" x14ac:dyDescent="0.25">
      <c r="A27" s="1" t="s">
        <v>28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3" t="str">
        <f>D29</f>
        <v>Kol och koks</v>
      </c>
      <c r="T27" s="54">
        <f>D42/1000</f>
        <v>0</v>
      </c>
      <c r="U27" s="50">
        <f>D43</f>
        <v>0</v>
      </c>
    </row>
    <row r="28" spans="1:21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3" t="str">
        <f>K29</f>
        <v>Avfall</v>
      </c>
      <c r="T28" s="54">
        <f>K42/1000</f>
        <v>0</v>
      </c>
      <c r="U28" s="50">
        <f>K43</f>
        <v>0</v>
      </c>
    </row>
    <row r="29" spans="1:21" ht="16" x14ac:dyDescent="0.2">
      <c r="B29" s="6" t="s">
        <v>29</v>
      </c>
      <c r="C29" s="6" t="s">
        <v>34</v>
      </c>
      <c r="D29" s="6" t="s">
        <v>2</v>
      </c>
      <c r="E29" s="6" t="s">
        <v>3</v>
      </c>
      <c r="F29" s="6" t="s">
        <v>30</v>
      </c>
      <c r="G29" s="6" t="s">
        <v>59</v>
      </c>
      <c r="H29" s="6" t="s">
        <v>5</v>
      </c>
      <c r="I29" s="6" t="s">
        <v>4</v>
      </c>
      <c r="J29" s="6" t="s">
        <v>6</v>
      </c>
      <c r="K29" s="6" t="s">
        <v>7</v>
      </c>
      <c r="L29" s="6" t="s">
        <v>8</v>
      </c>
      <c r="M29" s="6" t="s">
        <v>8</v>
      </c>
      <c r="N29" s="6" t="s">
        <v>9</v>
      </c>
      <c r="O29" s="6" t="s">
        <v>31</v>
      </c>
      <c r="P29" s="3"/>
      <c r="Q29" s="3"/>
      <c r="R29" s="3"/>
      <c r="S29" s="52" t="str">
        <f>I29</f>
        <v>Avlutar</v>
      </c>
      <c r="T29" s="13">
        <f>I42/1000</f>
        <v>0</v>
      </c>
      <c r="U29" s="14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2" t="str">
        <f>H29</f>
        <v>Biogas</v>
      </c>
      <c r="T30" s="13">
        <f>H42/1000</f>
        <v>0</v>
      </c>
      <c r="U30" s="14">
        <f>H43</f>
        <v>0</v>
      </c>
    </row>
    <row r="31" spans="1:21" ht="16" x14ac:dyDescent="0.2">
      <c r="A31" s="8" t="s">
        <v>32</v>
      </c>
      <c r="B31" s="49">
        <v>0</v>
      </c>
      <c r="C31" s="49">
        <v>2666</v>
      </c>
      <c r="D31" s="49">
        <v>0</v>
      </c>
      <c r="E31" s="49">
        <v>0</v>
      </c>
      <c r="F31" s="49">
        <v>276</v>
      </c>
      <c r="G31" s="49">
        <v>0</v>
      </c>
      <c r="H31" s="49">
        <v>0</v>
      </c>
      <c r="I31" s="49"/>
      <c r="J31" s="49"/>
      <c r="K31" s="49"/>
      <c r="L31" s="49"/>
      <c r="M31" s="40"/>
      <c r="N31" s="49">
        <v>975</v>
      </c>
      <c r="O31" s="49">
        <v>3918</v>
      </c>
      <c r="P31" s="16">
        <f>O31/$O$39</f>
        <v>1.5932081674080358E-3</v>
      </c>
      <c r="Q31" s="17" t="s">
        <v>33</v>
      </c>
      <c r="R31" s="3"/>
      <c r="S31" s="53" t="str">
        <f>L29</f>
        <v>Övrigt</v>
      </c>
      <c r="T31" s="13">
        <f>L42/1000</f>
        <v>0</v>
      </c>
      <c r="U31" s="50">
        <f>L43</f>
        <v>0</v>
      </c>
    </row>
    <row r="32" spans="1:21" ht="16" x14ac:dyDescent="0.2">
      <c r="A32" s="8" t="s">
        <v>35</v>
      </c>
      <c r="B32" s="49">
        <v>3653</v>
      </c>
      <c r="C32" s="49">
        <v>345209</v>
      </c>
      <c r="D32" s="49">
        <v>0</v>
      </c>
      <c r="E32" s="49">
        <v>32066</v>
      </c>
      <c r="F32" s="49">
        <v>0</v>
      </c>
      <c r="G32" s="49">
        <v>0</v>
      </c>
      <c r="H32" s="49">
        <v>0</v>
      </c>
      <c r="I32" s="49"/>
      <c r="J32" s="49"/>
      <c r="K32" s="49"/>
      <c r="L32" s="49"/>
      <c r="M32" s="40"/>
      <c r="N32" s="61">
        <v>1447830</v>
      </c>
      <c r="O32" s="61">
        <f>SUM(B32:N32)</f>
        <v>1828758</v>
      </c>
      <c r="P32" s="16">
        <f t="shared" ref="P32:P35" si="0">O32/$O$39</f>
        <v>0.74364272123858721</v>
      </c>
      <c r="Q32" s="17" t="s">
        <v>36</v>
      </c>
      <c r="R32" s="3"/>
      <c r="S32" s="53" t="str">
        <f>M29</f>
        <v>Övrigt</v>
      </c>
      <c r="T32" s="54">
        <f>M42/1000</f>
        <v>0</v>
      </c>
      <c r="U32" s="50">
        <f>M43</f>
        <v>0</v>
      </c>
    </row>
    <row r="33" spans="1:48" ht="16" x14ac:dyDescent="0.2">
      <c r="A33" s="8" t="s">
        <v>37</v>
      </c>
      <c r="B33" s="49">
        <v>29214</v>
      </c>
      <c r="C33" s="49">
        <v>510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/>
      <c r="J33" s="49"/>
      <c r="K33" s="49"/>
      <c r="L33" s="49"/>
      <c r="M33" s="40"/>
      <c r="N33" s="49">
        <v>35610</v>
      </c>
      <c r="O33" s="49">
        <v>65333</v>
      </c>
      <c r="P33" s="16">
        <f t="shared" si="0"/>
        <v>2.656688851487218E-2</v>
      </c>
      <c r="Q33" s="17" t="s">
        <v>38</v>
      </c>
      <c r="R33" s="3"/>
      <c r="S33" s="44" t="s">
        <v>34</v>
      </c>
      <c r="T33" s="13">
        <f>C42/1000</f>
        <v>591.38099999999997</v>
      </c>
      <c r="U33" s="15">
        <f>C43</f>
        <v>0.22410264810076114</v>
      </c>
    </row>
    <row r="34" spans="1:48" ht="16" x14ac:dyDescent="0.2">
      <c r="A34" s="8" t="s">
        <v>39</v>
      </c>
      <c r="B34" s="49">
        <v>0</v>
      </c>
      <c r="C34" s="49">
        <v>234666</v>
      </c>
      <c r="D34" s="49">
        <v>0</v>
      </c>
      <c r="E34" s="49">
        <v>0</v>
      </c>
      <c r="F34" s="49">
        <v>19644</v>
      </c>
      <c r="G34" s="49">
        <v>0</v>
      </c>
      <c r="H34" s="49">
        <v>0</v>
      </c>
      <c r="I34" s="49"/>
      <c r="J34" s="49"/>
      <c r="K34" s="49"/>
      <c r="L34" s="49"/>
      <c r="M34" s="40"/>
      <c r="N34" s="49">
        <v>23638</v>
      </c>
      <c r="O34" s="49">
        <v>277949</v>
      </c>
      <c r="P34" s="16">
        <f t="shared" si="0"/>
        <v>0.11302465975571621</v>
      </c>
      <c r="Q34" s="17" t="s">
        <v>40</v>
      </c>
      <c r="R34" s="3"/>
      <c r="S34" s="3"/>
      <c r="T34" s="13">
        <f>SUM(T22:T33)</f>
        <v>2638.8844800000002</v>
      </c>
      <c r="U34" s="14">
        <f>SUM(U22:U33)</f>
        <v>1</v>
      </c>
    </row>
    <row r="35" spans="1:48" ht="16" x14ac:dyDescent="0.2">
      <c r="A35" s="8" t="s">
        <v>41</v>
      </c>
      <c r="B35" s="49">
        <v>23712</v>
      </c>
      <c r="C35" s="49">
        <v>5232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/>
      <c r="J35" s="49"/>
      <c r="K35" s="49"/>
      <c r="L35" s="49"/>
      <c r="M35" s="40"/>
      <c r="N35" s="49">
        <v>45209</v>
      </c>
      <c r="O35" s="49">
        <v>74153</v>
      </c>
      <c r="P35" s="16">
        <f t="shared" si="0"/>
        <v>3.0153436763095474E-2</v>
      </c>
      <c r="Q35" s="17" t="s">
        <v>42</v>
      </c>
      <c r="R35" s="17"/>
    </row>
    <row r="36" spans="1:48" ht="16" x14ac:dyDescent="0.2">
      <c r="A36" s="8" t="s">
        <v>43</v>
      </c>
      <c r="B36" s="49">
        <v>35165</v>
      </c>
      <c r="C36" s="49">
        <v>99</v>
      </c>
      <c r="D36" s="49">
        <v>0</v>
      </c>
      <c r="E36" s="49">
        <v>0</v>
      </c>
      <c r="F36" s="49">
        <v>0</v>
      </c>
      <c r="G36" s="49">
        <v>13231</v>
      </c>
      <c r="H36" s="49">
        <v>0</v>
      </c>
      <c r="I36" s="49"/>
      <c r="J36" s="49"/>
      <c r="K36" s="49"/>
      <c r="L36" s="49"/>
      <c r="M36" s="40"/>
      <c r="N36" s="49">
        <v>80140</v>
      </c>
      <c r="O36" s="49">
        <v>128634</v>
      </c>
      <c r="P36" s="17"/>
      <c r="Q36" s="17"/>
      <c r="R36" s="3"/>
      <c r="S36" s="7"/>
      <c r="T36" s="7"/>
      <c r="U36" s="7"/>
    </row>
    <row r="37" spans="1:48" ht="16" x14ac:dyDescent="0.2">
      <c r="A37" s="8" t="s">
        <v>44</v>
      </c>
      <c r="B37" s="49">
        <v>61034</v>
      </c>
      <c r="C37" s="49">
        <v>1632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/>
      <c r="J37" s="49"/>
      <c r="K37" s="49"/>
      <c r="L37" s="49"/>
      <c r="M37" s="40"/>
      <c r="N37" s="49">
        <v>7387</v>
      </c>
      <c r="O37" s="49">
        <v>70052</v>
      </c>
      <c r="P37" s="17"/>
      <c r="Q37" s="17"/>
      <c r="R37" s="3"/>
      <c r="S37" s="7"/>
      <c r="T37" s="7" t="s">
        <v>26</v>
      </c>
      <c r="U37" s="7" t="s">
        <v>27</v>
      </c>
    </row>
    <row r="38" spans="1:48" ht="16" x14ac:dyDescent="0.2">
      <c r="A38" s="8" t="s">
        <v>45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/>
      <c r="J38" s="49"/>
      <c r="K38" s="49"/>
      <c r="L38" s="49"/>
      <c r="M38" s="40"/>
      <c r="N38" s="49">
        <v>10392</v>
      </c>
      <c r="O38" s="49">
        <v>10392</v>
      </c>
      <c r="P38" s="17">
        <f>SUM(P31:P35)</f>
        <v>0.9149809144396791</v>
      </c>
      <c r="Q38" s="17"/>
      <c r="R38" s="3"/>
      <c r="S38" s="7" t="s">
        <v>46</v>
      </c>
      <c r="T38" s="18">
        <f>O45/1000</f>
        <v>160.41748000000001</v>
      </c>
      <c r="U38" s="7"/>
    </row>
    <row r="39" spans="1:48" ht="16" x14ac:dyDescent="0.2">
      <c r="A39" s="8" t="s">
        <v>15</v>
      </c>
      <c r="B39" s="49">
        <v>152778</v>
      </c>
      <c r="C39" s="49">
        <v>590014</v>
      </c>
      <c r="D39" s="49">
        <v>0</v>
      </c>
      <c r="E39" s="49">
        <v>32066</v>
      </c>
      <c r="F39" s="49">
        <v>19920</v>
      </c>
      <c r="G39" s="49">
        <v>13231</v>
      </c>
      <c r="H39" s="49">
        <v>0</v>
      </c>
      <c r="I39" s="49"/>
      <c r="J39" s="49"/>
      <c r="K39" s="49"/>
      <c r="L39" s="49"/>
      <c r="M39" s="40"/>
      <c r="N39" s="61">
        <f>SUM(N31:N38)</f>
        <v>1651181</v>
      </c>
      <c r="O39" s="61">
        <f>SUM(O31:O38)</f>
        <v>2459189</v>
      </c>
      <c r="P39" s="3"/>
      <c r="Q39" s="3"/>
      <c r="R39" s="3"/>
      <c r="S39" s="7" t="s">
        <v>47</v>
      </c>
      <c r="T39" s="19">
        <f>O41/1000</f>
        <v>209.078</v>
      </c>
      <c r="U39" s="14">
        <f>P41</f>
        <v>8.5019085560320909E-2</v>
      </c>
    </row>
    <row r="40" spans="1:48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7" t="s">
        <v>48</v>
      </c>
      <c r="T40" s="19">
        <f>O36/1000</f>
        <v>128.63399999999999</v>
      </c>
      <c r="U40" s="15">
        <f>P35</f>
        <v>3.0153436763095474E-2</v>
      </c>
    </row>
    <row r="41" spans="1:48" ht="16" x14ac:dyDescent="0.2">
      <c r="A41" s="20" t="s">
        <v>49</v>
      </c>
      <c r="B41" s="21">
        <f>B38+B37+B36</f>
        <v>96199</v>
      </c>
      <c r="C41" s="21">
        <f t="shared" ref="C41:O41" si="1">C38+C37+C36</f>
        <v>1731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13231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97919</v>
      </c>
      <c r="O41" s="21">
        <f t="shared" si="1"/>
        <v>209078</v>
      </c>
      <c r="P41" s="16">
        <f>O41/$O$39</f>
        <v>8.5019085560320909E-2</v>
      </c>
      <c r="Q41" s="16" t="s">
        <v>50</v>
      </c>
      <c r="R41" s="7"/>
      <c r="S41" s="7" t="s">
        <v>51</v>
      </c>
      <c r="T41" s="19">
        <f>O33/1000</f>
        <v>65.332999999999998</v>
      </c>
      <c r="U41" s="14">
        <f>P33</f>
        <v>2.656688851487218E-2</v>
      </c>
    </row>
    <row r="42" spans="1:48" ht="16" x14ac:dyDescent="0.2">
      <c r="A42" s="22" t="s">
        <v>52</v>
      </c>
      <c r="B42" s="21"/>
      <c r="C42" s="23">
        <f>C10+C23+C39</f>
        <v>591381</v>
      </c>
      <c r="D42" s="23">
        <f>D39+D23+D10</f>
        <v>0</v>
      </c>
      <c r="E42" s="23">
        <f t="shared" ref="E42:M42" si="2">E39+E23+E10</f>
        <v>32066</v>
      </c>
      <c r="F42" s="23">
        <f t="shared" si="2"/>
        <v>19920</v>
      </c>
      <c r="G42" s="23">
        <f t="shared" si="2"/>
        <v>135674</v>
      </c>
      <c r="H42" s="23">
        <f t="shared" si="2"/>
        <v>0</v>
      </c>
      <c r="I42" s="23">
        <f t="shared" si="2"/>
        <v>0</v>
      </c>
      <c r="J42" s="23">
        <f t="shared" si="2"/>
        <v>106008</v>
      </c>
      <c r="K42" s="23">
        <f t="shared" si="2"/>
        <v>0</v>
      </c>
      <c r="L42" s="23">
        <f t="shared" si="2"/>
        <v>0</v>
      </c>
      <c r="M42" s="23">
        <f t="shared" si="2"/>
        <v>0</v>
      </c>
      <c r="N42" s="23">
        <f>N39+N23-B6+N45</f>
        <v>1753835.48</v>
      </c>
      <c r="O42" s="24">
        <f>SUM(C42:N42)</f>
        <v>2638884.48</v>
      </c>
      <c r="P42" s="7"/>
      <c r="Q42" s="7"/>
      <c r="R42" s="7"/>
      <c r="S42" s="7" t="s">
        <v>33</v>
      </c>
      <c r="T42" s="19">
        <f>O31/1000</f>
        <v>3.9180000000000001</v>
      </c>
      <c r="U42" s="14">
        <f>P31</f>
        <v>1.5932081674080358E-3</v>
      </c>
    </row>
    <row r="43" spans="1:48" ht="16" x14ac:dyDescent="0.2">
      <c r="A43" s="22" t="s">
        <v>53</v>
      </c>
      <c r="B43" s="21"/>
      <c r="C43" s="16">
        <f t="shared" ref="C43:N43" si="3">C42/$O42</f>
        <v>0.22410264810076114</v>
      </c>
      <c r="D43" s="16">
        <f t="shared" si="3"/>
        <v>0</v>
      </c>
      <c r="E43" s="16">
        <f t="shared" si="3"/>
        <v>1.2151346617491949E-2</v>
      </c>
      <c r="F43" s="16">
        <f t="shared" si="3"/>
        <v>7.548644190745326E-3</v>
      </c>
      <c r="G43" s="16">
        <f t="shared" si="3"/>
        <v>5.1413391161404684E-2</v>
      </c>
      <c r="H43" s="16">
        <f t="shared" si="3"/>
        <v>0</v>
      </c>
      <c r="I43" s="16">
        <f t="shared" si="3"/>
        <v>0</v>
      </c>
      <c r="J43" s="16">
        <f t="shared" si="3"/>
        <v>4.0171519747616992E-2</v>
      </c>
      <c r="K43" s="16">
        <f t="shared" si="3"/>
        <v>0</v>
      </c>
      <c r="L43" s="16">
        <f t="shared" si="3"/>
        <v>0</v>
      </c>
      <c r="M43" s="16">
        <f t="shared" si="3"/>
        <v>0</v>
      </c>
      <c r="N43" s="16">
        <f t="shared" si="3"/>
        <v>0.6646124501819799</v>
      </c>
      <c r="O43" s="16">
        <f>SUM(C43:N43)</f>
        <v>1</v>
      </c>
      <c r="P43" s="7"/>
      <c r="Q43" s="7"/>
      <c r="R43" s="7"/>
      <c r="S43" s="7" t="s">
        <v>54</v>
      </c>
      <c r="T43" s="19">
        <f>O32/1000</f>
        <v>1828.758</v>
      </c>
      <c r="U43" s="15">
        <f>P32</f>
        <v>0.74364272123858721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55</v>
      </c>
      <c r="T44" s="19">
        <f>O34/1000</f>
        <v>277.94900000000001</v>
      </c>
      <c r="U44" s="15">
        <f>P34</f>
        <v>0.11302465975571621</v>
      </c>
    </row>
    <row r="45" spans="1:48" ht="16" x14ac:dyDescent="0.2">
      <c r="A45" s="6" t="s">
        <v>56</v>
      </c>
      <c r="B45" s="6">
        <f>B23-B39</f>
        <v>28323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5">
        <f>N39*0.08</f>
        <v>132094.48000000001</v>
      </c>
      <c r="O45" s="24">
        <f>B45+N45</f>
        <v>160417.48000000001</v>
      </c>
      <c r="P45" s="7"/>
      <c r="Q45" s="7"/>
      <c r="R45" s="7"/>
      <c r="S45" s="7" t="s">
        <v>57</v>
      </c>
      <c r="T45" s="19">
        <f>SUM(T39:T44)</f>
        <v>2513.67</v>
      </c>
      <c r="U45" s="14">
        <f>SUM(U39:U44)</f>
        <v>1</v>
      </c>
    </row>
    <row r="46" spans="1:48" ht="16" x14ac:dyDescent="0.2">
      <c r="A46" s="6"/>
      <c r="B46" s="56">
        <f>B45/B23</f>
        <v>0.15639339374161379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6"/>
      <c r="D47" s="27"/>
      <c r="E47" s="26"/>
      <c r="F47" s="26"/>
      <c r="G47" s="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4"/>
      <c r="S47" s="4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4"/>
      <c r="AI47" s="4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x14ac:dyDescent="0.2">
      <c r="A48" s="26"/>
      <c r="B48" s="4"/>
      <c r="C48" s="26"/>
      <c r="D48" s="27"/>
      <c r="E48" s="26"/>
      <c r="F48" s="26"/>
      <c r="G48" s="27"/>
      <c r="H48" s="27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4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4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x14ac:dyDescent="0.2">
      <c r="A49" s="26"/>
      <c r="B49" s="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4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4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x14ac:dyDescent="0.2">
      <c r="A50" s="26"/>
      <c r="B50" s="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4"/>
      <c r="AJ50" s="27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x14ac:dyDescent="0.2">
      <c r="A51" s="26"/>
      <c r="B51" s="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4"/>
      <c r="AJ51" s="27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x14ac:dyDescent="0.2">
      <c r="A52" s="26"/>
      <c r="B52" s="4"/>
      <c r="C52" s="26"/>
      <c r="D52" s="27"/>
      <c r="E52" s="26"/>
      <c r="F52" s="26"/>
      <c r="G52" s="26"/>
      <c r="H52" s="27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4"/>
      <c r="AJ52" s="27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x14ac:dyDescent="0.2">
      <c r="A53" s="26"/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4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"/>
      <c r="AJ53" s="27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x14ac:dyDescent="0.2">
      <c r="A54" s="26"/>
      <c r="B54" s="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"/>
      <c r="AJ54" s="27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">
      <c r="A55" s="26"/>
      <c r="B55" s="4"/>
      <c r="C55" s="26"/>
      <c r="D55" s="27"/>
      <c r="E55" s="26"/>
      <c r="F55" s="26"/>
      <c r="G55" s="26"/>
      <c r="H55" s="27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4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4"/>
      <c r="AJ55" s="27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">
      <c r="A56" s="26"/>
      <c r="B56" s="4"/>
      <c r="C56" s="26"/>
      <c r="D56" s="27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"/>
      <c r="AJ56" s="27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4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4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4"/>
      <c r="R59" s="7"/>
      <c r="S59" s="7"/>
      <c r="T59" s="6"/>
      <c r="U59" s="30"/>
    </row>
    <row r="60" spans="1:48" ht="16" x14ac:dyDescent="0.2">
      <c r="A60" s="22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4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FB2EC39-7DE6-43DD-B24E-6BEB7DF8235B}"/>
</file>

<file path=customXml/itemProps2.xml><?xml version="1.0" encoding="utf-8"?>
<ds:datastoreItem xmlns:ds="http://schemas.openxmlformats.org/officeDocument/2006/customXml" ds:itemID="{A9D7292B-F0EF-4F85-A163-B4CBC6BEE95F}"/>
</file>

<file path=customXml/itemProps3.xml><?xml version="1.0" encoding="utf-8"?>
<ds:datastoreItem xmlns:ds="http://schemas.openxmlformats.org/officeDocument/2006/customXml" ds:itemID="{91470606-5977-4121-B4BE-DC5F85379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Norrbotten</vt:lpstr>
      <vt:lpstr>Arvidsjaur</vt:lpstr>
      <vt:lpstr>Arjeplog</vt:lpstr>
      <vt:lpstr>Jokkmokk</vt:lpstr>
      <vt:lpstr>Överkalix</vt:lpstr>
      <vt:lpstr>Kalix</vt:lpstr>
      <vt:lpstr>Övertorneå</vt:lpstr>
      <vt:lpstr>Pajala</vt:lpstr>
      <vt:lpstr>Gällivare</vt:lpstr>
      <vt:lpstr>Älvsbyn</vt:lpstr>
      <vt:lpstr>Luleå</vt:lpstr>
      <vt:lpstr>Piteå</vt:lpstr>
      <vt:lpstr>Boden</vt:lpstr>
      <vt:lpstr>Haparanda</vt:lpstr>
      <vt:lpstr>Kiruna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2016-02-06T14:03:54Z</dcterms:created>
  <dcterms:modified xsi:type="dcterms:W3CDTF">2017-08-28T21:55:05Z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