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8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xl/comments12.xml" ContentType="application/vnd.openxmlformats-officedocument.spreadsheetml.comments+xml"/>
  <Override PartName="/xl/comments11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360" yWindow="680" windowWidth="34960" windowHeight="16280" tabRatio="840"/>
  </bookViews>
  <sheets>
    <sheet name="Örebro län" sheetId="16" r:id="rId1"/>
    <sheet name="Lekeberg" sheetId="13" r:id="rId2"/>
    <sheet name="Laxå" sheetId="2" r:id="rId3"/>
    <sheet name="Hallsberg" sheetId="3" r:id="rId4"/>
    <sheet name="Degerfors" sheetId="4" r:id="rId5"/>
    <sheet name="Hällefors" sheetId="5" r:id="rId6"/>
    <sheet name="Ljusnarsberg" sheetId="6" r:id="rId7"/>
    <sheet name="Örebro" sheetId="7" r:id="rId8"/>
    <sheet name="Kumla" sheetId="8" r:id="rId9"/>
    <sheet name="Askersund" sheetId="9" r:id="rId10"/>
    <sheet name="Karlskoga" sheetId="10" r:id="rId11"/>
    <sheet name="Nora" sheetId="11" r:id="rId12"/>
    <sheet name="Lindesberg" sheetId="12" r:id="rId1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8" i="16" l="1"/>
  <c r="N37" i="16"/>
  <c r="N36" i="16"/>
  <c r="N41" i="16"/>
  <c r="N31" i="16"/>
  <c r="N32" i="16"/>
  <c r="N33" i="16"/>
  <c r="N34" i="16"/>
  <c r="N35" i="16"/>
  <c r="N39" i="16"/>
  <c r="O41" i="16"/>
  <c r="T42" i="16"/>
  <c r="O35" i="16"/>
  <c r="T43" i="16"/>
  <c r="O33" i="16"/>
  <c r="T44" i="16"/>
  <c r="O31" i="16"/>
  <c r="T45" i="16"/>
  <c r="O32" i="16"/>
  <c r="T46" i="16"/>
  <c r="O34" i="16"/>
  <c r="T47" i="16"/>
  <c r="T48" i="16"/>
  <c r="S42" i="16"/>
  <c r="S43" i="16"/>
  <c r="S44" i="16"/>
  <c r="S45" i="16"/>
  <c r="S46" i="16"/>
  <c r="S47" i="16"/>
  <c r="S48" i="16"/>
  <c r="B23" i="16"/>
  <c r="B39" i="16"/>
  <c r="B45" i="16"/>
  <c r="M39" i="16"/>
  <c r="M45" i="16"/>
  <c r="N45" i="16"/>
  <c r="C39" i="16"/>
  <c r="C23" i="16"/>
  <c r="C10" i="16"/>
  <c r="C42" i="16"/>
  <c r="D39" i="16"/>
  <c r="D23" i="16"/>
  <c r="D10" i="16"/>
  <c r="D42" i="16"/>
  <c r="E39" i="16"/>
  <c r="E23" i="16"/>
  <c r="E10" i="16"/>
  <c r="E42" i="16"/>
  <c r="F39" i="16"/>
  <c r="F23" i="16"/>
  <c r="F10" i="16"/>
  <c r="F42" i="16"/>
  <c r="G39" i="16"/>
  <c r="G23" i="16"/>
  <c r="G10" i="16"/>
  <c r="G42" i="16"/>
  <c r="H39" i="16"/>
  <c r="H23" i="16"/>
  <c r="H10" i="16"/>
  <c r="H42" i="16"/>
  <c r="I39" i="16"/>
  <c r="I23" i="16"/>
  <c r="I10" i="16"/>
  <c r="I42" i="16"/>
  <c r="J39" i="16"/>
  <c r="J23" i="16"/>
  <c r="J10" i="16"/>
  <c r="J42" i="16"/>
  <c r="K39" i="16"/>
  <c r="K23" i="16"/>
  <c r="K10" i="16"/>
  <c r="K42" i="16"/>
  <c r="L39" i="16"/>
  <c r="L23" i="16"/>
  <c r="L10" i="16"/>
  <c r="L42" i="16"/>
  <c r="M23" i="16"/>
  <c r="M42" i="16"/>
  <c r="N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S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O38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23" i="16"/>
  <c r="N17" i="16"/>
  <c r="N18" i="16"/>
  <c r="N19" i="16"/>
  <c r="N20" i="16"/>
  <c r="N23" i="16"/>
  <c r="N7" i="16"/>
  <c r="N10" i="16"/>
  <c r="B10" i="16"/>
  <c r="N18" i="10"/>
  <c r="N17" i="10"/>
  <c r="C23" i="10"/>
  <c r="K23" i="10"/>
  <c r="J23" i="10"/>
  <c r="G25" i="10"/>
  <c r="G26" i="10"/>
  <c r="P17" i="10"/>
  <c r="N16" i="10"/>
  <c r="G17" i="7"/>
  <c r="C17" i="7"/>
  <c r="C18" i="7"/>
  <c r="J17" i="7"/>
  <c r="D17" i="7"/>
  <c r="N17" i="7"/>
  <c r="D18" i="7"/>
  <c r="G18" i="7"/>
  <c r="J18" i="7"/>
  <c r="N18" i="7"/>
  <c r="M19" i="7"/>
  <c r="N19" i="7"/>
  <c r="M20" i="7"/>
  <c r="N20" i="7"/>
  <c r="N23" i="7"/>
  <c r="J23" i="7"/>
  <c r="B23" i="3"/>
  <c r="B45" i="3"/>
  <c r="B23" i="8"/>
  <c r="B45" i="8"/>
  <c r="B23" i="7"/>
  <c r="B44" i="7"/>
  <c r="B45" i="7"/>
  <c r="B46" i="8"/>
  <c r="B46" i="3"/>
  <c r="M36" i="3"/>
  <c r="M33" i="3"/>
  <c r="N33" i="3"/>
  <c r="N35" i="3"/>
  <c r="B35" i="3"/>
  <c r="B32" i="3"/>
  <c r="E32" i="3"/>
  <c r="C32" i="4"/>
  <c r="F31" i="6"/>
  <c r="F32" i="6"/>
  <c r="C32" i="6"/>
  <c r="G32" i="9"/>
  <c r="N32" i="9"/>
  <c r="G32" i="2"/>
  <c r="G32" i="12"/>
  <c r="E52" i="12"/>
  <c r="I32" i="12"/>
  <c r="N36" i="8"/>
  <c r="N32" i="8"/>
  <c r="E32" i="8"/>
  <c r="M32" i="12"/>
  <c r="E32" i="12"/>
  <c r="F31" i="13"/>
  <c r="F32" i="13"/>
  <c r="C32" i="13"/>
  <c r="C32" i="5"/>
  <c r="C36" i="7"/>
  <c r="C32" i="7"/>
  <c r="C32" i="10"/>
  <c r="C31" i="11"/>
  <c r="C32" i="11"/>
  <c r="B32" i="5"/>
  <c r="F31" i="11"/>
  <c r="F32" i="11"/>
  <c r="H32" i="7"/>
  <c r="N32" i="5"/>
  <c r="B33" i="5"/>
  <c r="N33" i="5"/>
  <c r="N34" i="5"/>
  <c r="B35" i="5"/>
  <c r="N35" i="5"/>
  <c r="B36" i="5"/>
  <c r="C36" i="13"/>
  <c r="C36" i="10"/>
  <c r="N36" i="5"/>
  <c r="B37" i="5"/>
  <c r="N37" i="5"/>
  <c r="N38" i="5"/>
  <c r="G39" i="9"/>
  <c r="G39" i="3"/>
  <c r="G39" i="13"/>
  <c r="G39" i="2"/>
  <c r="G39" i="7"/>
  <c r="G39" i="8"/>
  <c r="G39" i="10"/>
  <c r="G39" i="12"/>
  <c r="I39" i="9"/>
  <c r="I39" i="12"/>
  <c r="E39" i="9"/>
  <c r="E39" i="3"/>
  <c r="E39" i="4"/>
  <c r="E39" i="5"/>
  <c r="E39" i="6"/>
  <c r="E39" i="7"/>
  <c r="E39" i="8"/>
  <c r="E39" i="12"/>
  <c r="M39" i="9"/>
  <c r="M39" i="12"/>
  <c r="B39" i="5"/>
  <c r="C31" i="13"/>
  <c r="C39" i="13"/>
  <c r="C39" i="4"/>
  <c r="C39" i="5"/>
  <c r="C31" i="6"/>
  <c r="C39" i="6"/>
  <c r="C39" i="10"/>
  <c r="C39" i="12"/>
  <c r="F39" i="9"/>
  <c r="F39" i="12"/>
  <c r="H39" i="7"/>
  <c r="N39" i="9"/>
  <c r="N39" i="2"/>
  <c r="N31" i="5"/>
  <c r="N39" i="5"/>
  <c r="C31" i="9"/>
  <c r="B10" i="9"/>
  <c r="I41" i="12"/>
  <c r="N23" i="10"/>
  <c r="B10" i="8"/>
  <c r="D23" i="10"/>
  <c r="G23" i="10"/>
  <c r="N10" i="8"/>
  <c r="N23" i="8"/>
  <c r="C23" i="8"/>
  <c r="M23" i="7"/>
  <c r="C23" i="7"/>
  <c r="D23" i="7"/>
  <c r="G23" i="7"/>
  <c r="N23" i="4"/>
  <c r="C18" i="3"/>
  <c r="C23" i="3"/>
  <c r="G18" i="3"/>
  <c r="G23" i="3"/>
  <c r="N18" i="3"/>
  <c r="N23" i="3"/>
  <c r="M19" i="4"/>
  <c r="M20" i="4"/>
  <c r="B23" i="5"/>
  <c r="B8" i="13"/>
  <c r="B9" i="3"/>
  <c r="B9" i="4"/>
  <c r="B10" i="3"/>
  <c r="B10" i="4"/>
  <c r="B10" i="12"/>
  <c r="I62" i="12"/>
  <c r="C12" i="12"/>
  <c r="E49" i="12"/>
  <c r="B46" i="7"/>
  <c r="B45" i="12"/>
  <c r="B46" i="12"/>
  <c r="B45" i="11"/>
  <c r="B46" i="11"/>
  <c r="B45" i="10"/>
  <c r="B46" i="10"/>
  <c r="B45" i="9"/>
  <c r="B46" i="9"/>
  <c r="B45" i="6"/>
  <c r="B46" i="6"/>
  <c r="B45" i="5"/>
  <c r="B46" i="5"/>
  <c r="B45" i="4"/>
  <c r="B46" i="4"/>
  <c r="B45" i="2"/>
  <c r="B46" i="2"/>
  <c r="B45" i="13"/>
  <c r="B46" i="13"/>
  <c r="N41" i="13"/>
  <c r="O41" i="13"/>
  <c r="T39" i="13"/>
  <c r="O35" i="13"/>
  <c r="T40" i="13"/>
  <c r="O33" i="13"/>
  <c r="T41" i="13"/>
  <c r="O31" i="13"/>
  <c r="T42" i="13"/>
  <c r="O32" i="13"/>
  <c r="T43" i="13"/>
  <c r="O34" i="13"/>
  <c r="T44" i="13"/>
  <c r="T45" i="13"/>
  <c r="S39" i="13"/>
  <c r="S40" i="13"/>
  <c r="S41" i="13"/>
  <c r="S42" i="13"/>
  <c r="S43" i="13"/>
  <c r="S44" i="13"/>
  <c r="S45" i="13"/>
  <c r="M45" i="13"/>
  <c r="N45" i="13"/>
  <c r="C42" i="13"/>
  <c r="G42" i="13"/>
  <c r="D42" i="13"/>
  <c r="E42" i="13"/>
  <c r="F42" i="13"/>
  <c r="H42" i="13"/>
  <c r="I42" i="13"/>
  <c r="J42" i="13"/>
  <c r="K42" i="13"/>
  <c r="L42" i="13"/>
  <c r="M42" i="13"/>
  <c r="N42" i="13"/>
  <c r="C43" i="13"/>
  <c r="D43" i="13"/>
  <c r="E43" i="13"/>
  <c r="F43" i="13"/>
  <c r="G43" i="13"/>
  <c r="H43" i="13"/>
  <c r="I43" i="13"/>
  <c r="J43" i="13"/>
  <c r="K43" i="13"/>
  <c r="L43" i="13"/>
  <c r="M43" i="13"/>
  <c r="N43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S38" i="13"/>
  <c r="O38" i="13"/>
  <c r="T26" i="13"/>
  <c r="T27" i="13"/>
  <c r="T28" i="13"/>
  <c r="T29" i="13"/>
  <c r="T30" i="13"/>
  <c r="T31" i="13"/>
  <c r="T32" i="13"/>
  <c r="T33" i="13"/>
  <c r="T34" i="13"/>
  <c r="S26" i="13"/>
  <c r="S27" i="13"/>
  <c r="S28" i="13"/>
  <c r="S29" i="13"/>
  <c r="S30" i="13"/>
  <c r="S31" i="13"/>
  <c r="S32" i="13"/>
  <c r="S33" i="13"/>
  <c r="S34" i="13"/>
  <c r="S23" i="13"/>
  <c r="N41" i="12"/>
  <c r="O41" i="12"/>
  <c r="T39" i="12"/>
  <c r="O35" i="12"/>
  <c r="T40" i="12"/>
  <c r="O33" i="12"/>
  <c r="T41" i="12"/>
  <c r="O31" i="12"/>
  <c r="T42" i="12"/>
  <c r="O32" i="12"/>
  <c r="T43" i="12"/>
  <c r="O34" i="12"/>
  <c r="T44" i="12"/>
  <c r="T45" i="12"/>
  <c r="S39" i="12"/>
  <c r="S40" i="12"/>
  <c r="S41" i="12"/>
  <c r="S42" i="12"/>
  <c r="S43" i="12"/>
  <c r="S44" i="12"/>
  <c r="S45" i="12"/>
  <c r="M45" i="12"/>
  <c r="N45" i="12"/>
  <c r="C42" i="12"/>
  <c r="D42" i="12"/>
  <c r="E42" i="12"/>
  <c r="M42" i="12"/>
  <c r="F42" i="12"/>
  <c r="I42" i="12"/>
  <c r="G42" i="12"/>
  <c r="H42" i="12"/>
  <c r="J42" i="12"/>
  <c r="K42" i="12"/>
  <c r="L42" i="12"/>
  <c r="N42" i="12"/>
  <c r="C43" i="12"/>
  <c r="D43" i="12"/>
  <c r="E43" i="12"/>
  <c r="F43" i="12"/>
  <c r="G43" i="12"/>
  <c r="H43" i="12"/>
  <c r="I43" i="12"/>
  <c r="J43" i="12"/>
  <c r="K43" i="12"/>
  <c r="L43" i="12"/>
  <c r="M43" i="12"/>
  <c r="N43" i="12"/>
  <c r="M41" i="12"/>
  <c r="L41" i="12"/>
  <c r="K41" i="12"/>
  <c r="J41" i="12"/>
  <c r="H41" i="12"/>
  <c r="G41" i="12"/>
  <c r="F41" i="12"/>
  <c r="E41" i="12"/>
  <c r="D41" i="12"/>
  <c r="C41" i="12"/>
  <c r="B41" i="12"/>
  <c r="S38" i="12"/>
  <c r="O38" i="12"/>
  <c r="T26" i="12"/>
  <c r="T27" i="12"/>
  <c r="T28" i="12"/>
  <c r="T29" i="12"/>
  <c r="T30" i="12"/>
  <c r="T31" i="12"/>
  <c r="T32" i="12"/>
  <c r="T33" i="12"/>
  <c r="T34" i="12"/>
  <c r="S26" i="12"/>
  <c r="S27" i="12"/>
  <c r="S29" i="12"/>
  <c r="S30" i="12"/>
  <c r="S31" i="12"/>
  <c r="S32" i="12"/>
  <c r="S28" i="12"/>
  <c r="S33" i="12"/>
  <c r="S34" i="12"/>
  <c r="S23" i="12"/>
  <c r="N41" i="11"/>
  <c r="O41" i="11"/>
  <c r="T39" i="11"/>
  <c r="O35" i="11"/>
  <c r="T40" i="11"/>
  <c r="O33" i="11"/>
  <c r="T41" i="11"/>
  <c r="O31" i="11"/>
  <c r="T42" i="11"/>
  <c r="O32" i="11"/>
  <c r="T43" i="11"/>
  <c r="O34" i="11"/>
  <c r="T44" i="11"/>
  <c r="T45" i="11"/>
  <c r="S39" i="11"/>
  <c r="S40" i="11"/>
  <c r="S41" i="11"/>
  <c r="S42" i="11"/>
  <c r="S43" i="11"/>
  <c r="S44" i="11"/>
  <c r="S45" i="11"/>
  <c r="M45" i="11"/>
  <c r="N45" i="11"/>
  <c r="C42" i="11"/>
  <c r="D42" i="11"/>
  <c r="E42" i="11"/>
  <c r="F42" i="11"/>
  <c r="G42" i="11"/>
  <c r="H42" i="11"/>
  <c r="I42" i="11"/>
  <c r="J42" i="11"/>
  <c r="K42" i="11"/>
  <c r="L42" i="11"/>
  <c r="M42" i="11"/>
  <c r="N42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M41" i="11"/>
  <c r="L41" i="11"/>
  <c r="K41" i="11"/>
  <c r="J41" i="11"/>
  <c r="I41" i="11"/>
  <c r="H41" i="11"/>
  <c r="G41" i="11"/>
  <c r="F41" i="11"/>
  <c r="E41" i="11"/>
  <c r="D41" i="11"/>
  <c r="C41" i="11"/>
  <c r="B41" i="11"/>
  <c r="S38" i="11"/>
  <c r="O38" i="11"/>
  <c r="T26" i="11"/>
  <c r="T27" i="11"/>
  <c r="T28" i="11"/>
  <c r="T29" i="11"/>
  <c r="T30" i="11"/>
  <c r="T31" i="11"/>
  <c r="T32" i="11"/>
  <c r="T33" i="11"/>
  <c r="T34" i="11"/>
  <c r="S26" i="11"/>
  <c r="S27" i="11"/>
  <c r="S28" i="11"/>
  <c r="S29" i="11"/>
  <c r="S30" i="11"/>
  <c r="S31" i="11"/>
  <c r="S32" i="11"/>
  <c r="S33" i="11"/>
  <c r="S34" i="11"/>
  <c r="S23" i="11"/>
  <c r="N41" i="10"/>
  <c r="O41" i="10"/>
  <c r="T39" i="10"/>
  <c r="O35" i="10"/>
  <c r="T40" i="10"/>
  <c r="O33" i="10"/>
  <c r="T41" i="10"/>
  <c r="O31" i="10"/>
  <c r="T42" i="10"/>
  <c r="O32" i="10"/>
  <c r="T43" i="10"/>
  <c r="O34" i="10"/>
  <c r="T44" i="10"/>
  <c r="T45" i="10"/>
  <c r="S39" i="10"/>
  <c r="S40" i="10"/>
  <c r="S41" i="10"/>
  <c r="S42" i="10"/>
  <c r="S43" i="10"/>
  <c r="S44" i="10"/>
  <c r="S45" i="10"/>
  <c r="M45" i="10"/>
  <c r="N45" i="10"/>
  <c r="C42" i="10"/>
  <c r="G42" i="10"/>
  <c r="D42" i="10"/>
  <c r="E42" i="10"/>
  <c r="F42" i="10"/>
  <c r="H42" i="10"/>
  <c r="I42" i="10"/>
  <c r="J42" i="10"/>
  <c r="K42" i="10"/>
  <c r="L42" i="10"/>
  <c r="M42" i="10"/>
  <c r="N42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M41" i="10"/>
  <c r="L41" i="10"/>
  <c r="K41" i="10"/>
  <c r="J41" i="10"/>
  <c r="I41" i="10"/>
  <c r="H41" i="10"/>
  <c r="G41" i="10"/>
  <c r="F41" i="10"/>
  <c r="E41" i="10"/>
  <c r="D41" i="10"/>
  <c r="C41" i="10"/>
  <c r="B41" i="10"/>
  <c r="S38" i="10"/>
  <c r="O38" i="10"/>
  <c r="T26" i="10"/>
  <c r="T27" i="10"/>
  <c r="T28" i="10"/>
  <c r="T29" i="10"/>
  <c r="T30" i="10"/>
  <c r="T31" i="10"/>
  <c r="T32" i="10"/>
  <c r="T33" i="10"/>
  <c r="T34" i="10"/>
  <c r="S26" i="10"/>
  <c r="S27" i="10"/>
  <c r="S31" i="10"/>
  <c r="S28" i="10"/>
  <c r="S29" i="10"/>
  <c r="S30" i="10"/>
  <c r="S32" i="10"/>
  <c r="S33" i="10"/>
  <c r="S34" i="10"/>
  <c r="S23" i="10"/>
  <c r="N41" i="9"/>
  <c r="O41" i="9"/>
  <c r="T39" i="9"/>
  <c r="O35" i="9"/>
  <c r="T40" i="9"/>
  <c r="O33" i="9"/>
  <c r="T41" i="9"/>
  <c r="O31" i="9"/>
  <c r="T42" i="9"/>
  <c r="O32" i="9"/>
  <c r="T43" i="9"/>
  <c r="O34" i="9"/>
  <c r="T44" i="9"/>
  <c r="T45" i="9"/>
  <c r="S39" i="9"/>
  <c r="S40" i="9"/>
  <c r="S41" i="9"/>
  <c r="S42" i="9"/>
  <c r="S43" i="9"/>
  <c r="S44" i="9"/>
  <c r="S45" i="9"/>
  <c r="M45" i="9"/>
  <c r="N45" i="9"/>
  <c r="C42" i="9"/>
  <c r="D42" i="9"/>
  <c r="E42" i="9"/>
  <c r="F42" i="9"/>
  <c r="G42" i="9"/>
  <c r="M42" i="9"/>
  <c r="H42" i="9"/>
  <c r="I42" i="9"/>
  <c r="J42" i="9"/>
  <c r="K42" i="9"/>
  <c r="L42" i="9"/>
  <c r="N42" i="9"/>
  <c r="C43" i="9"/>
  <c r="D43" i="9"/>
  <c r="E43" i="9"/>
  <c r="F43" i="9"/>
  <c r="G43" i="9"/>
  <c r="H43" i="9"/>
  <c r="I43" i="9"/>
  <c r="J43" i="9"/>
  <c r="K43" i="9"/>
  <c r="L43" i="9"/>
  <c r="M43" i="9"/>
  <c r="N43" i="9"/>
  <c r="M41" i="9"/>
  <c r="L41" i="9"/>
  <c r="K41" i="9"/>
  <c r="J41" i="9"/>
  <c r="I41" i="9"/>
  <c r="H41" i="9"/>
  <c r="G41" i="9"/>
  <c r="F41" i="9"/>
  <c r="E41" i="9"/>
  <c r="D41" i="9"/>
  <c r="C41" i="9"/>
  <c r="B41" i="9"/>
  <c r="S38" i="9"/>
  <c r="O38" i="9"/>
  <c r="T26" i="9"/>
  <c r="T27" i="9"/>
  <c r="T28" i="9"/>
  <c r="T29" i="9"/>
  <c r="T30" i="9"/>
  <c r="T31" i="9"/>
  <c r="T32" i="9"/>
  <c r="T33" i="9"/>
  <c r="T34" i="9"/>
  <c r="S26" i="9"/>
  <c r="S29" i="9"/>
  <c r="S27" i="9"/>
  <c r="S28" i="9"/>
  <c r="S30" i="9"/>
  <c r="S31" i="9"/>
  <c r="S32" i="9"/>
  <c r="S33" i="9"/>
  <c r="S34" i="9"/>
  <c r="S23" i="9"/>
  <c r="N41" i="8"/>
  <c r="O41" i="8"/>
  <c r="T39" i="8"/>
  <c r="O32" i="8"/>
  <c r="T43" i="8"/>
  <c r="O35" i="8"/>
  <c r="T40" i="8"/>
  <c r="O33" i="8"/>
  <c r="T41" i="8"/>
  <c r="O31" i="8"/>
  <c r="T42" i="8"/>
  <c r="O34" i="8"/>
  <c r="T44" i="8"/>
  <c r="T45" i="8"/>
  <c r="S39" i="8"/>
  <c r="S43" i="8"/>
  <c r="S40" i="8"/>
  <c r="S41" i="8"/>
  <c r="S42" i="8"/>
  <c r="S44" i="8"/>
  <c r="S45" i="8"/>
  <c r="M45" i="8"/>
  <c r="N45" i="8"/>
  <c r="C42" i="8"/>
  <c r="D42" i="8"/>
  <c r="E42" i="8"/>
  <c r="G42" i="8"/>
  <c r="F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M41" i="8"/>
  <c r="L41" i="8"/>
  <c r="K41" i="8"/>
  <c r="J41" i="8"/>
  <c r="I41" i="8"/>
  <c r="H41" i="8"/>
  <c r="G41" i="8"/>
  <c r="F41" i="8"/>
  <c r="E41" i="8"/>
  <c r="D41" i="8"/>
  <c r="C41" i="8"/>
  <c r="B41" i="8"/>
  <c r="S38" i="8"/>
  <c r="O38" i="8"/>
  <c r="T26" i="8"/>
  <c r="T27" i="8"/>
  <c r="T28" i="8"/>
  <c r="T29" i="8"/>
  <c r="T30" i="8"/>
  <c r="T31" i="8"/>
  <c r="T32" i="8"/>
  <c r="T33" i="8"/>
  <c r="T34" i="8"/>
  <c r="S26" i="8"/>
  <c r="S27" i="8"/>
  <c r="S28" i="8"/>
  <c r="S29" i="8"/>
  <c r="S30" i="8"/>
  <c r="S31" i="8"/>
  <c r="S32" i="8"/>
  <c r="S33" i="8"/>
  <c r="S34" i="8"/>
  <c r="S23" i="8"/>
  <c r="N41" i="7"/>
  <c r="O41" i="7"/>
  <c r="T39" i="7"/>
  <c r="O35" i="7"/>
  <c r="T40" i="7"/>
  <c r="O33" i="7"/>
  <c r="T41" i="7"/>
  <c r="O31" i="7"/>
  <c r="T42" i="7"/>
  <c r="O32" i="7"/>
  <c r="T43" i="7"/>
  <c r="O34" i="7"/>
  <c r="T44" i="7"/>
  <c r="T45" i="7"/>
  <c r="S39" i="7"/>
  <c r="S40" i="7"/>
  <c r="S41" i="7"/>
  <c r="S42" i="7"/>
  <c r="S43" i="7"/>
  <c r="S44" i="7"/>
  <c r="S45" i="7"/>
  <c r="M45" i="7"/>
  <c r="N45" i="7"/>
  <c r="C42" i="7"/>
  <c r="D42" i="7"/>
  <c r="E42" i="7"/>
  <c r="G42" i="7"/>
  <c r="M42" i="7"/>
  <c r="F42" i="7"/>
  <c r="H42" i="7"/>
  <c r="I42" i="7"/>
  <c r="J42" i="7"/>
  <c r="K42" i="7"/>
  <c r="L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M41" i="7"/>
  <c r="L41" i="7"/>
  <c r="K41" i="7"/>
  <c r="J41" i="7"/>
  <c r="I41" i="7"/>
  <c r="H41" i="7"/>
  <c r="G41" i="7"/>
  <c r="F41" i="7"/>
  <c r="E41" i="7"/>
  <c r="D41" i="7"/>
  <c r="C41" i="7"/>
  <c r="B41" i="7"/>
  <c r="S38" i="7"/>
  <c r="O38" i="7"/>
  <c r="T26" i="7"/>
  <c r="T27" i="7"/>
  <c r="T28" i="7"/>
  <c r="T29" i="7"/>
  <c r="T30" i="7"/>
  <c r="T31" i="7"/>
  <c r="T32" i="7"/>
  <c r="T33" i="7"/>
  <c r="T34" i="7"/>
  <c r="S26" i="7"/>
  <c r="S27" i="7"/>
  <c r="S30" i="7"/>
  <c r="S31" i="7"/>
  <c r="S28" i="7"/>
  <c r="S29" i="7"/>
  <c r="S32" i="7"/>
  <c r="S33" i="7"/>
  <c r="S34" i="7"/>
  <c r="S23" i="7"/>
  <c r="N41" i="6"/>
  <c r="O41" i="6"/>
  <c r="T39" i="6"/>
  <c r="O35" i="6"/>
  <c r="T40" i="6"/>
  <c r="O33" i="6"/>
  <c r="T41" i="6"/>
  <c r="O31" i="6"/>
  <c r="T42" i="6"/>
  <c r="O32" i="6"/>
  <c r="T43" i="6"/>
  <c r="O34" i="6"/>
  <c r="T44" i="6"/>
  <c r="T45" i="6"/>
  <c r="S39" i="6"/>
  <c r="S40" i="6"/>
  <c r="S41" i="6"/>
  <c r="S42" i="6"/>
  <c r="S43" i="6"/>
  <c r="S44" i="6"/>
  <c r="S45" i="6"/>
  <c r="M45" i="6"/>
  <c r="N45" i="6"/>
  <c r="C42" i="6"/>
  <c r="E42" i="6"/>
  <c r="D42" i="6"/>
  <c r="F42" i="6"/>
  <c r="G42" i="6"/>
  <c r="H42" i="6"/>
  <c r="I42" i="6"/>
  <c r="J42" i="6"/>
  <c r="K42" i="6"/>
  <c r="L42" i="6"/>
  <c r="M42" i="6"/>
  <c r="N42" i="6"/>
  <c r="C43" i="6"/>
  <c r="D43" i="6"/>
  <c r="E43" i="6"/>
  <c r="F43" i="6"/>
  <c r="G43" i="6"/>
  <c r="H43" i="6"/>
  <c r="I43" i="6"/>
  <c r="J43" i="6"/>
  <c r="K43" i="6"/>
  <c r="L43" i="6"/>
  <c r="M43" i="6"/>
  <c r="N43" i="6"/>
  <c r="M41" i="6"/>
  <c r="L41" i="6"/>
  <c r="K41" i="6"/>
  <c r="J41" i="6"/>
  <c r="I41" i="6"/>
  <c r="H41" i="6"/>
  <c r="G41" i="6"/>
  <c r="F41" i="6"/>
  <c r="E41" i="6"/>
  <c r="D41" i="6"/>
  <c r="C41" i="6"/>
  <c r="B41" i="6"/>
  <c r="S38" i="6"/>
  <c r="O38" i="6"/>
  <c r="T26" i="6"/>
  <c r="T27" i="6"/>
  <c r="T28" i="6"/>
  <c r="T29" i="6"/>
  <c r="T30" i="6"/>
  <c r="T31" i="6"/>
  <c r="T32" i="6"/>
  <c r="T33" i="6"/>
  <c r="T34" i="6"/>
  <c r="S26" i="6"/>
  <c r="S27" i="6"/>
  <c r="S28" i="6"/>
  <c r="S29" i="6"/>
  <c r="S30" i="6"/>
  <c r="S31" i="6"/>
  <c r="S32" i="6"/>
  <c r="S33" i="6"/>
  <c r="S34" i="6"/>
  <c r="S23" i="6"/>
  <c r="N41" i="5"/>
  <c r="O41" i="5"/>
  <c r="T39" i="5"/>
  <c r="O35" i="5"/>
  <c r="T40" i="5"/>
  <c r="O33" i="5"/>
  <c r="T41" i="5"/>
  <c r="O31" i="5"/>
  <c r="T42" i="5"/>
  <c r="O32" i="5"/>
  <c r="T43" i="5"/>
  <c r="O34" i="5"/>
  <c r="T44" i="5"/>
  <c r="T45" i="5"/>
  <c r="S39" i="5"/>
  <c r="S40" i="5"/>
  <c r="S41" i="5"/>
  <c r="S42" i="5"/>
  <c r="S43" i="5"/>
  <c r="S44" i="5"/>
  <c r="S45" i="5"/>
  <c r="M45" i="5"/>
  <c r="N45" i="5"/>
  <c r="C42" i="5"/>
  <c r="E42" i="5"/>
  <c r="D42" i="5"/>
  <c r="F42" i="5"/>
  <c r="G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M41" i="5"/>
  <c r="L41" i="5"/>
  <c r="K41" i="5"/>
  <c r="J41" i="5"/>
  <c r="I41" i="5"/>
  <c r="H41" i="5"/>
  <c r="G41" i="5"/>
  <c r="F41" i="5"/>
  <c r="E41" i="5"/>
  <c r="D41" i="5"/>
  <c r="C41" i="5"/>
  <c r="B41" i="5"/>
  <c r="S38" i="5"/>
  <c r="O38" i="5"/>
  <c r="T26" i="5"/>
  <c r="T27" i="5"/>
  <c r="T28" i="5"/>
  <c r="T29" i="5"/>
  <c r="T30" i="5"/>
  <c r="T31" i="5"/>
  <c r="T32" i="5"/>
  <c r="T33" i="5"/>
  <c r="T34" i="5"/>
  <c r="S26" i="5"/>
  <c r="S27" i="5"/>
  <c r="S28" i="5"/>
  <c r="S29" i="5"/>
  <c r="S30" i="5"/>
  <c r="S31" i="5"/>
  <c r="S32" i="5"/>
  <c r="S33" i="5"/>
  <c r="S34" i="5"/>
  <c r="S23" i="5"/>
  <c r="N41" i="4"/>
  <c r="O41" i="4"/>
  <c r="T39" i="4"/>
  <c r="O35" i="4"/>
  <c r="T40" i="4"/>
  <c r="O33" i="4"/>
  <c r="T41" i="4"/>
  <c r="O31" i="4"/>
  <c r="T42" i="4"/>
  <c r="O32" i="4"/>
  <c r="T43" i="4"/>
  <c r="O34" i="4"/>
  <c r="T44" i="4"/>
  <c r="T45" i="4"/>
  <c r="S39" i="4"/>
  <c r="S40" i="4"/>
  <c r="S41" i="4"/>
  <c r="S42" i="4"/>
  <c r="S43" i="4"/>
  <c r="S44" i="4"/>
  <c r="S45" i="4"/>
  <c r="M45" i="4"/>
  <c r="N45" i="4"/>
  <c r="C42" i="4"/>
  <c r="E42" i="4"/>
  <c r="D42" i="4"/>
  <c r="F42" i="4"/>
  <c r="G42" i="4"/>
  <c r="H42" i="4"/>
  <c r="I42" i="4"/>
  <c r="J42" i="4"/>
  <c r="K42" i="4"/>
  <c r="L42" i="4"/>
  <c r="M42" i="4"/>
  <c r="N42" i="4"/>
  <c r="C43" i="4"/>
  <c r="D43" i="4"/>
  <c r="E43" i="4"/>
  <c r="F43" i="4"/>
  <c r="G43" i="4"/>
  <c r="H43" i="4"/>
  <c r="I43" i="4"/>
  <c r="J43" i="4"/>
  <c r="K43" i="4"/>
  <c r="L43" i="4"/>
  <c r="M43" i="4"/>
  <c r="N43" i="4"/>
  <c r="M41" i="4"/>
  <c r="L41" i="4"/>
  <c r="K41" i="4"/>
  <c r="J41" i="4"/>
  <c r="I41" i="4"/>
  <c r="H41" i="4"/>
  <c r="G41" i="4"/>
  <c r="F41" i="4"/>
  <c r="E41" i="4"/>
  <c r="D41" i="4"/>
  <c r="C41" i="4"/>
  <c r="B41" i="4"/>
  <c r="S38" i="4"/>
  <c r="O38" i="4"/>
  <c r="T26" i="4"/>
  <c r="T27" i="4"/>
  <c r="T28" i="4"/>
  <c r="T29" i="4"/>
  <c r="T30" i="4"/>
  <c r="T31" i="4"/>
  <c r="T32" i="4"/>
  <c r="T33" i="4"/>
  <c r="T34" i="4"/>
  <c r="S26" i="4"/>
  <c r="S27" i="4"/>
  <c r="S28" i="4"/>
  <c r="S29" i="4"/>
  <c r="S30" i="4"/>
  <c r="S31" i="4"/>
  <c r="S32" i="4"/>
  <c r="S33" i="4"/>
  <c r="S34" i="4"/>
  <c r="S23" i="4"/>
  <c r="N41" i="3"/>
  <c r="O41" i="3"/>
  <c r="T39" i="3"/>
  <c r="O35" i="3"/>
  <c r="T40" i="3"/>
  <c r="O33" i="3"/>
  <c r="T41" i="3"/>
  <c r="O31" i="3"/>
  <c r="T42" i="3"/>
  <c r="O32" i="3"/>
  <c r="T43" i="3"/>
  <c r="O34" i="3"/>
  <c r="T44" i="3"/>
  <c r="T45" i="3"/>
  <c r="S39" i="3"/>
  <c r="S40" i="3"/>
  <c r="S41" i="3"/>
  <c r="S42" i="3"/>
  <c r="S43" i="3"/>
  <c r="S44" i="3"/>
  <c r="S45" i="3"/>
  <c r="M45" i="3"/>
  <c r="N45" i="3"/>
  <c r="C42" i="3"/>
  <c r="E42" i="3"/>
  <c r="G42" i="3"/>
  <c r="D42" i="3"/>
  <c r="F42" i="3"/>
  <c r="H42" i="3"/>
  <c r="I42" i="3"/>
  <c r="J42" i="3"/>
  <c r="K42" i="3"/>
  <c r="L42" i="3"/>
  <c r="M42" i="3"/>
  <c r="N42" i="3"/>
  <c r="C43" i="3"/>
  <c r="D43" i="3"/>
  <c r="E43" i="3"/>
  <c r="F43" i="3"/>
  <c r="G43" i="3"/>
  <c r="H43" i="3"/>
  <c r="I43" i="3"/>
  <c r="J43" i="3"/>
  <c r="K43" i="3"/>
  <c r="L43" i="3"/>
  <c r="M43" i="3"/>
  <c r="N43" i="3"/>
  <c r="M41" i="3"/>
  <c r="L41" i="3"/>
  <c r="K41" i="3"/>
  <c r="J41" i="3"/>
  <c r="I41" i="3"/>
  <c r="H41" i="3"/>
  <c r="G41" i="3"/>
  <c r="F41" i="3"/>
  <c r="E41" i="3"/>
  <c r="D41" i="3"/>
  <c r="C41" i="3"/>
  <c r="B41" i="3"/>
  <c r="S38" i="3"/>
  <c r="O38" i="3"/>
  <c r="T26" i="3"/>
  <c r="T27" i="3"/>
  <c r="T28" i="3"/>
  <c r="T29" i="3"/>
  <c r="T30" i="3"/>
  <c r="T31" i="3"/>
  <c r="T32" i="3"/>
  <c r="T33" i="3"/>
  <c r="T34" i="3"/>
  <c r="S26" i="3"/>
  <c r="S27" i="3"/>
  <c r="S30" i="3"/>
  <c r="S28" i="3"/>
  <c r="S29" i="3"/>
  <c r="S31" i="3"/>
  <c r="S32" i="3"/>
  <c r="S33" i="3"/>
  <c r="S34" i="3"/>
  <c r="S23" i="3"/>
  <c r="N41" i="2"/>
  <c r="O41" i="2"/>
  <c r="T39" i="2"/>
  <c r="O35" i="2"/>
  <c r="T40" i="2"/>
  <c r="O33" i="2"/>
  <c r="T41" i="2"/>
  <c r="O31" i="2"/>
  <c r="T42" i="2"/>
  <c r="O32" i="2"/>
  <c r="T43" i="2"/>
  <c r="O34" i="2"/>
  <c r="T44" i="2"/>
  <c r="T45" i="2"/>
  <c r="S39" i="2"/>
  <c r="S40" i="2"/>
  <c r="S41" i="2"/>
  <c r="S42" i="2"/>
  <c r="S43" i="2"/>
  <c r="S44" i="2"/>
  <c r="S45" i="2"/>
  <c r="M45" i="2"/>
  <c r="N45" i="2"/>
  <c r="C42" i="2"/>
  <c r="D42" i="2"/>
  <c r="E42" i="2"/>
  <c r="F42" i="2"/>
  <c r="G42" i="2"/>
  <c r="H42" i="2"/>
  <c r="I42" i="2"/>
  <c r="J42" i="2"/>
  <c r="K42" i="2"/>
  <c r="L42" i="2"/>
  <c r="M42" i="2"/>
  <c r="N42" i="2"/>
  <c r="C43" i="2"/>
  <c r="D43" i="2"/>
  <c r="E43" i="2"/>
  <c r="F43" i="2"/>
  <c r="G43" i="2"/>
  <c r="H43" i="2"/>
  <c r="I43" i="2"/>
  <c r="J43" i="2"/>
  <c r="K43" i="2"/>
  <c r="L43" i="2"/>
  <c r="M43" i="2"/>
  <c r="N43" i="2"/>
  <c r="M41" i="2"/>
  <c r="L41" i="2"/>
  <c r="K41" i="2"/>
  <c r="J41" i="2"/>
  <c r="I41" i="2"/>
  <c r="H41" i="2"/>
  <c r="G41" i="2"/>
  <c r="F41" i="2"/>
  <c r="E41" i="2"/>
  <c r="D41" i="2"/>
  <c r="C41" i="2"/>
  <c r="B41" i="2"/>
  <c r="S38" i="2"/>
  <c r="O38" i="2"/>
  <c r="T26" i="2"/>
  <c r="T27" i="2"/>
  <c r="T28" i="2"/>
  <c r="T29" i="2"/>
  <c r="T30" i="2"/>
  <c r="T31" i="2"/>
  <c r="T32" i="2"/>
  <c r="T33" i="2"/>
  <c r="T34" i="2"/>
  <c r="S26" i="2"/>
  <c r="S27" i="2"/>
  <c r="S28" i="2"/>
  <c r="S29" i="2"/>
  <c r="S30" i="2"/>
  <c r="S31" i="2"/>
  <c r="S32" i="2"/>
  <c r="S33" i="2"/>
  <c r="S34" i="2"/>
  <c r="S23" i="2"/>
</calcChain>
</file>

<file path=xl/comments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  <author>Magnus Strand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G32" authorId="1">
      <text>
        <r>
          <rPr>
            <b/>
            <sz val="9"/>
            <color indexed="81"/>
            <rFont val="Calibri"/>
            <family val="2"/>
          </rPr>
          <t>Magnus Strand:</t>
        </r>
        <r>
          <rPr>
            <sz val="9"/>
            <color indexed="81"/>
            <rFont val="Calibri"/>
            <family val="2"/>
          </rPr>
          <t xml:space="preserve">
2014 årsv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19" authorId="0">
      <text>
        <r>
          <rPr>
            <sz val="8"/>
            <color indexed="8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0" authorId="0">
      <text>
        <r>
          <rPr>
            <sz val="8"/>
            <color indexed="8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<sst xmlns="http://schemas.openxmlformats.org/spreadsheetml/2006/main" count="1305" uniqueCount="86">
  <si>
    <t>Elproduktion och bränsleanvändning (MWh) efter tid, region, produktionssätt och bränsletyp</t>
  </si>
  <si>
    <t>1860 Laxå</t>
  </si>
  <si>
    <t>Elproduktion</t>
  </si>
  <si>
    <t>Olja</t>
  </si>
  <si>
    <t>Kol och koks</t>
  </si>
  <si>
    <t>Gasol/naturgas</t>
  </si>
  <si>
    <t>Avlutar</t>
  </si>
  <si>
    <t>Träbränsle</t>
  </si>
  <si>
    <t>Biogas</t>
  </si>
  <si>
    <t>Spillvärme</t>
  </si>
  <si>
    <t>Torv</t>
  </si>
  <si>
    <t>Avfall</t>
  </si>
  <si>
    <t>Övrigt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</si>
  <si>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</si>
  <si>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</si>
  <si>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</si>
  <si>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</si>
  <si>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</si>
  <si>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</si>
  <si>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</si>
  <si>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</si>
  <si>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</si>
  <si>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</si>
  <si>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</si>
  <si>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</si>
  <si>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</si>
  <si>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</si>
  <si>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</si>
  <si>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</si>
  <si>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</si>
  <si>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</si>
  <si>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</si>
  <si>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</si>
  <si>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Fjärrvärme</t>
  </si>
  <si>
    <t>Biodrivmedel</t>
  </si>
  <si>
    <t>Biobränsle</t>
  </si>
  <si>
    <t>Summa förbrukarkategori</t>
  </si>
  <si>
    <t>Gasol</t>
  </si>
  <si>
    <t>slutanv. jordbruk,skogsbruk,fiske</t>
  </si>
  <si>
    <t>Jord, skog</t>
  </si>
  <si>
    <t>Oljeprodukter</t>
  </si>
  <si>
    <t>slutanv. industri, byggverks.</t>
  </si>
  <si>
    <t>industri</t>
  </si>
  <si>
    <t>Etanol</t>
  </si>
  <si>
    <t>slutanv. offentlig verksamhet</t>
  </si>
  <si>
    <t>offentligt</t>
  </si>
  <si>
    <t>slutanv. transporter</t>
  </si>
  <si>
    <t>transporter</t>
  </si>
  <si>
    <t>slutanv. övriga tjänster</t>
  </si>
  <si>
    <t>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</si>
  <si>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</si>
  <si>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</si>
  <si>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</si>
  <si>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</si>
  <si>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</si>
  <si>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</si>
  <si>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</si>
  <si>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</si>
  <si>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</si>
  <si>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</si>
  <si>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</si>
  <si>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</si>
  <si>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</si>
  <si>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</si>
  <si>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</si>
  <si>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1861 Hallsberg</t>
  </si>
  <si>
    <t>1862 Degerfors</t>
  </si>
  <si>
    <t>1863 Hällefors</t>
  </si>
  <si>
    <t>1864 Ljusnarsberg</t>
  </si>
  <si>
    <t>1880 Örebro</t>
  </si>
  <si>
    <t>1881 Kumla</t>
  </si>
  <si>
    <t>1882 Askersund</t>
  </si>
  <si>
    <t>1883 Karlskoga</t>
  </si>
  <si>
    <t>1884 Nora</t>
  </si>
  <si>
    <t>1885 Lindesberg</t>
  </si>
  <si>
    <t>1814 Lekeberg</t>
  </si>
  <si>
    <t>Förluster i %</t>
  </si>
  <si>
    <t>Export</t>
  </si>
  <si>
    <t>Billerud</t>
  </si>
  <si>
    <t>Billerud Skog</t>
  </si>
  <si>
    <t>18 Örebro län</t>
  </si>
  <si>
    <t>VATTENKRAFT</t>
  </si>
  <si>
    <t>IMPORT</t>
  </si>
  <si>
    <t/>
  </si>
  <si>
    <t>Örebro län</t>
  </si>
  <si>
    <t>Kol/koks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</si>
</sst>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0.0"/>
    <numFmt numFmtId="167" formatCode="#,##0.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07A"/>
        <bgColor rgb="FFFFA07A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15">
    <xf numFmtId="0" fontId="0" fillId="0" borderId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78">
    <xf numFmtId="0" fontId="0" fillId="0" borderId="0" xfId="0"/>
    <xf numFmtId="0" fontId="5" fillId="0" borderId="0" xfId="1" applyFont="1" applyFill="1" applyProtection="1"/>
    <xf numFmtId="0" fontId="4" fillId="0" borderId="0" xfId="1" applyFill="1" applyProtection="1"/>
    <xf numFmtId="0" fontId="6" fillId="0" borderId="0" xfId="1" applyFont="1"/>
    <xf numFmtId="0" fontId="7" fillId="0" borderId="0" xfId="0" applyFont="1"/>
    <xf numFmtId="0" fontId="8" fillId="0" borderId="0" xfId="1" applyFont="1" applyFill="1" applyProtection="1"/>
    <xf numFmtId="3" fontId="4" fillId="0" borderId="0" xfId="1" applyNumberFormat="1"/>
    <xf numFmtId="0" fontId="4" fillId="0" borderId="0" xfId="1"/>
    <xf numFmtId="0" fontId="8" fillId="0" borderId="0" xfId="0" applyFont="1" applyFill="1" applyProtection="1"/>
    <xf numFmtId="3" fontId="9" fillId="0" borderId="0" xfId="0" applyNumberFormat="1" applyFont="1"/>
    <xf numFmtId="3" fontId="4" fillId="0" borderId="0" xfId="1" applyNumberFormat="1" applyFill="1" applyProtection="1"/>
    <xf numFmtId="3" fontId="10" fillId="0" borderId="0" xfId="1" applyNumberFormat="1" applyFont="1" applyFill="1" applyProtection="1"/>
    <xf numFmtId="164" fontId="4" fillId="0" borderId="0" xfId="1" applyNumberFormat="1"/>
    <xf numFmtId="4" fontId="4" fillId="0" borderId="0" xfId="1" applyNumberFormat="1"/>
    <xf numFmtId="165" fontId="4" fillId="0" borderId="0" xfId="1" applyNumberFormat="1"/>
    <xf numFmtId="10" fontId="4" fillId="0" borderId="0" xfId="1" applyNumberFormat="1"/>
    <xf numFmtId="165" fontId="11" fillId="0" borderId="0" xfId="1" applyNumberFormat="1" applyFont="1"/>
    <xf numFmtId="165" fontId="6" fillId="0" borderId="0" xfId="1" applyNumberFormat="1" applyFont="1"/>
    <xf numFmtId="3" fontId="9" fillId="0" borderId="0" xfId="0" applyNumberFormat="1" applyFont="1" applyAlignment="1">
      <alignment horizontal="right"/>
    </xf>
    <xf numFmtId="166" fontId="4" fillId="0" borderId="0" xfId="1" applyNumberFormat="1"/>
    <xf numFmtId="2" fontId="4" fillId="0" borderId="0" xfId="1" applyNumberFormat="1"/>
    <xf numFmtId="0" fontId="12" fillId="0" borderId="0" xfId="1" applyFont="1"/>
    <xf numFmtId="3" fontId="12" fillId="0" borderId="0" xfId="1" applyNumberFormat="1" applyFont="1"/>
    <xf numFmtId="3" fontId="11" fillId="0" borderId="0" xfId="1" applyNumberFormat="1" applyFont="1"/>
    <xf numFmtId="3" fontId="11" fillId="2" borderId="0" xfId="1" applyNumberFormat="1" applyFont="1" applyFill="1"/>
    <xf numFmtId="3" fontId="13" fillId="2" borderId="0" xfId="1" applyNumberFormat="1" applyFont="1" applyFill="1"/>
    <xf numFmtId="3" fontId="4" fillId="2" borderId="0" xfId="1" applyNumberFormat="1" applyFill="1"/>
    <xf numFmtId="0" fontId="9" fillId="0" borderId="0" xfId="0" applyFont="1"/>
    <xf numFmtId="1" fontId="4" fillId="0" borderId="0" xfId="1" applyNumberFormat="1"/>
    <xf numFmtId="165" fontId="11" fillId="0" borderId="0" xfId="2" applyNumberFormat="1" applyFont="1"/>
    <xf numFmtId="165" fontId="3" fillId="0" borderId="0" xfId="2" applyNumberFormat="1" applyFont="1"/>
    <xf numFmtId="3" fontId="13" fillId="0" borderId="0" xfId="1" applyNumberFormat="1" applyFont="1"/>
    <xf numFmtId="9" fontId="13" fillId="0" borderId="0" xfId="2" applyFont="1"/>
    <xf numFmtId="0" fontId="4" fillId="0" borderId="0" xfId="1" applyAlignment="1">
      <alignment horizontal="right"/>
    </xf>
    <xf numFmtId="3" fontId="4" fillId="0" borderId="0" xfId="1" applyNumberFormat="1" applyAlignment="1">
      <alignment horizontal="right"/>
    </xf>
    <xf numFmtId="9" fontId="13" fillId="0" borderId="0" xfId="2" applyNumberFormat="1" applyFont="1"/>
    <xf numFmtId="9" fontId="3" fillId="0" borderId="0" xfId="2" applyFont="1"/>
    <xf numFmtId="0" fontId="9" fillId="0" borderId="0" xfId="0" applyFont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applyNumberFormat="1" applyFill="1" applyProtection="1"/>
    <xf numFmtId="0" fontId="0" fillId="0" borderId="0" xfId="0" applyFill="1" applyProtection="1"/>
    <xf numFmtId="9" fontId="4" fillId="0" borderId="0" xfId="7" applyFont="1"/>
    <xf numFmtId="9" fontId="4" fillId="3" borderId="0" xfId="7" applyFont="1" applyFill="1"/>
    <xf numFmtId="3" fontId="9" fillId="4" borderId="0" xfId="0" applyNumberFormat="1" applyFont="1" applyFill="1"/>
    <xf numFmtId="3" fontId="7" fillId="0" borderId="0" xfId="0" applyNumberFormat="1" applyFont="1"/>
    <xf numFmtId="3" fontId="0" fillId="5" borderId="0" xfId="0" applyNumberFormat="1" applyFill="1" applyProtection="1"/>
    <xf numFmtId="3" fontId="9" fillId="5" borderId="0" xfId="0" applyNumberFormat="1" applyFont="1" applyFill="1"/>
    <xf numFmtId="3" fontId="9" fillId="6" borderId="0" xfId="0" applyNumberFormat="1" applyFont="1" applyFill="1" applyAlignment="1">
      <alignment horizontal="right"/>
    </xf>
    <xf numFmtId="3" fontId="9" fillId="4" borderId="0" xfId="0" applyNumberFormat="1" applyFont="1" applyFill="1" applyAlignment="1">
      <alignment horizontal="right"/>
    </xf>
    <xf numFmtId="1" fontId="9" fillId="0" borderId="0" xfId="0" applyNumberFormat="1" applyFont="1"/>
    <xf numFmtId="0" fontId="0" fillId="7" borderId="0" xfId="0" applyFill="1" applyAlignment="1" applyProtection="1">
      <alignment horizontal="right"/>
    </xf>
    <xf numFmtId="3" fontId="19" fillId="0" borderId="0" xfId="1" applyNumberFormat="1" applyFont="1" applyFill="1" applyProtection="1"/>
    <xf numFmtId="3" fontId="20" fillId="0" borderId="0" xfId="0" applyNumberFormat="1" applyFont="1"/>
    <xf numFmtId="3" fontId="9" fillId="8" borderId="0" xfId="0" applyNumberFormat="1" applyFont="1" applyFill="1"/>
    <xf numFmtId="3" fontId="8" fillId="8" borderId="0" xfId="1" applyNumberFormat="1" applyFont="1" applyFill="1" applyProtection="1"/>
    <xf numFmtId="3" fontId="8" fillId="0" borderId="0" xfId="1" applyNumberFormat="1" applyFont="1" applyFill="1" applyProtection="1"/>
    <xf numFmtId="3" fontId="20" fillId="0" borderId="0" xfId="0" applyNumberFormat="1" applyFont="1" applyAlignment="1">
      <alignment horizontal="right"/>
    </xf>
    <xf numFmtId="3" fontId="20" fillId="8" borderId="0" xfId="0" applyNumberFormat="1" applyFont="1" applyFill="1"/>
    <xf numFmtId="3" fontId="20" fillId="4" borderId="0" xfId="0" applyNumberFormat="1" applyFont="1" applyFill="1"/>
    <xf numFmtId="3" fontId="9" fillId="0" borderId="0" xfId="0" applyNumberFormat="1" applyFont="1" applyFill="1"/>
    <xf numFmtId="3" fontId="20" fillId="0" borderId="0" xfId="0" applyNumberFormat="1" applyFont="1" applyFill="1"/>
    <xf numFmtId="3" fontId="4" fillId="0" borderId="0" xfId="1" applyNumberFormat="1" applyFill="1"/>
    <xf numFmtId="3" fontId="20" fillId="0" borderId="0" xfId="0" applyNumberFormat="1" applyFont="1" applyFill="1" applyAlignment="1">
      <alignment horizontal="right"/>
    </xf>
    <xf numFmtId="3" fontId="4" fillId="0" borderId="0" xfId="1" quotePrefix="1" applyNumberFormat="1"/>
    <xf numFmtId="9" fontId="4" fillId="0" borderId="0" xfId="7" applyFont="1" applyFill="1"/>
    <xf numFmtId="0" fontId="7" fillId="0" borderId="0" xfId="0" applyFont="1" applyFill="1"/>
    <xf numFmtId="0" fontId="9" fillId="0" borderId="0" xfId="0" applyFont="1" applyFill="1"/>
    <xf numFmtId="0" fontId="9" fillId="0" borderId="0" xfId="0" applyFont="1" applyFill="1" applyAlignment="1">
      <alignment horizontal="right"/>
    </xf>
    <xf numFmtId="1" fontId="9" fillId="0" borderId="0" xfId="0" applyNumberFormat="1" applyFont="1" applyFill="1" applyAlignment="1">
      <alignment horizontal="right"/>
    </xf>
    <xf numFmtId="0" fontId="4" fillId="0" borderId="0" xfId="1" applyFill="1"/>
    <xf numFmtId="1" fontId="4" fillId="0" borderId="0" xfId="1" applyNumberFormat="1" applyFill="1"/>
    <xf numFmtId="0" fontId="4" fillId="0" borderId="0" xfId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1" fillId="0" borderId="0" xfId="0" applyNumberFormat="1" applyFont="1" applyFill="1" applyProtection="1"/>
    <xf numFmtId="0" fontId="22" fillId="0" borderId="0" xfId="0" applyFont="1"/>
    <xf numFmtId="3" fontId="0" fillId="0" borderId="0" xfId="0" applyNumberFormat="1" applyFont="1"/>
    <xf numFmtId="167" fontId="4" fillId="0" borderId="0" xfId="1" applyNumberFormat="1"/>
  </cellXfs>
  <cellStyles count="115">
    <cellStyle name="Followed Hyperlink" xfId="4" builtinId="9" hidden="1"/>
    <cellStyle name="Followed Hyperlink" xfId="6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3" builtinId="8" hidden="1"/>
    <cellStyle name="Hyperlink" xfId="5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  <cellStyle name="Normal 2" xfId="1"/>
    <cellStyle name="Percent" xfId="7" builtinId="5"/>
    <cellStyle name="Percent 2" xfId="2"/>
    <cellStyle name="Procent 2" xfId="7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7" Type="http://schemas.openxmlformats.org/officeDocument/2006/relationships/worksheet" Target="worksheets/sheet7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3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9.vml"/><Relationship Id="rId2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0.vml"/><Relationship Id="rId2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1.vml"/><Relationship Id="rId2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2.vml"/><Relationship Id="rId2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8.vml"/><Relationship Id="rId2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34998626667073579"/>
  </sheetPr>
  <dimension ref="A1:T48"/>
  <sheetViews>
    <sheetView tabSelected="1" zoomScale="125" zoomScaleNormal="125" zoomScalePageLayoutView="125" workbookViewId="0">
      <selection activeCell="C47" sqref="C47"/>
    </sheetView>
  </sheetViews>
  <sheetFormatPr baseColWidth="10" defaultRowHeight="15" x14ac:dyDescent="0"/>
  <cols>
    <col min="1" max="1" width="20.33203125" customWidth="1"/>
    <col min="13" max="13" width="12" customWidth="1"/>
    <col min="14" max="14" width="11.83203125" customWidth="1"/>
    <col min="19" max="19" width="11.83203125" customWidth="1"/>
  </cols>
  <sheetData>
    <row r="1" spans="1:14">
      <c r="A1" s="75" t="s">
        <v>0</v>
      </c>
    </row>
    <row r="2" spans="1:14">
      <c r="A2" s="75" t="s">
        <v>84</v>
      </c>
    </row>
    <row r="3" spans="1:14">
      <c r="A3">
        <v>2013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35</v>
      </c>
      <c r="H3" t="s">
        <v>8</v>
      </c>
      <c r="I3" t="s">
        <v>6</v>
      </c>
      <c r="J3" t="s">
        <v>10</v>
      </c>
      <c r="K3" t="s">
        <v>11</v>
      </c>
      <c r="L3" t="s">
        <v>12</v>
      </c>
      <c r="M3" t="s">
        <v>13</v>
      </c>
      <c r="N3" t="s">
        <v>14</v>
      </c>
    </row>
    <row r="6" spans="1:14">
      <c r="A6" t="s">
        <v>15</v>
      </c>
      <c r="B6" s="38">
        <v>177748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</row>
    <row r="7" spans="1:14">
      <c r="A7" t="s">
        <v>16</v>
      </c>
      <c r="B7" s="38">
        <v>8</v>
      </c>
      <c r="C7" s="38">
        <v>19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f>SUM(C7:M7)</f>
        <v>19</v>
      </c>
    </row>
    <row r="8" spans="1:14">
      <c r="A8" t="s">
        <v>17</v>
      </c>
      <c r="B8" s="38">
        <v>263076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>
        <v>0</v>
      </c>
    </row>
    <row r="9" spans="1:14">
      <c r="A9" t="s">
        <v>18</v>
      </c>
      <c r="B9" s="38">
        <v>83946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>
        <v>0</v>
      </c>
    </row>
    <row r="10" spans="1:14">
      <c r="A10" t="s">
        <v>19</v>
      </c>
      <c r="B10" s="38">
        <f>SUM(B6:B9)</f>
        <v>524778</v>
      </c>
      <c r="C10" s="38">
        <f>SUM(C6:C9)</f>
        <v>19</v>
      </c>
      <c r="D10" s="38">
        <f t="shared" ref="D10:L10" si="0">SUM(D6:D9)</f>
        <v>0</v>
      </c>
      <c r="E10" s="38">
        <f t="shared" si="0"/>
        <v>0</v>
      </c>
      <c r="F10" s="38">
        <f t="shared" si="0"/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v>0</v>
      </c>
      <c r="N10" s="38">
        <f>SUM(N6:N9)</f>
        <v>19</v>
      </c>
    </row>
    <row r="11" spans="1:14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4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>
      <c r="A13" s="75" t="s">
        <v>20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4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1:14">
      <c r="B15" s="38" t="s">
        <v>21</v>
      </c>
      <c r="C15" s="38" t="s">
        <v>3</v>
      </c>
      <c r="D15" s="38" t="s">
        <v>4</v>
      </c>
      <c r="E15" s="38" t="s">
        <v>5</v>
      </c>
      <c r="F15" s="38" t="s">
        <v>22</v>
      </c>
      <c r="G15" s="38" t="s">
        <v>35</v>
      </c>
      <c r="H15" s="38" t="s">
        <v>8</v>
      </c>
      <c r="I15" s="38" t="s">
        <v>6</v>
      </c>
      <c r="J15" s="38" t="s">
        <v>10</v>
      </c>
      <c r="K15" s="38" t="s">
        <v>11</v>
      </c>
      <c r="L15" s="38" t="s">
        <v>12</v>
      </c>
      <c r="M15" s="38" t="s">
        <v>13</v>
      </c>
      <c r="N15" s="38" t="s">
        <v>14</v>
      </c>
    </row>
    <row r="16" spans="1:14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20">
      <c r="A17" t="s">
        <v>23</v>
      </c>
      <c r="B17" s="38">
        <v>911432</v>
      </c>
      <c r="C17" s="38">
        <v>86696.65</v>
      </c>
      <c r="D17" s="38">
        <v>4018</v>
      </c>
      <c r="E17" s="38">
        <v>0</v>
      </c>
      <c r="F17" s="38">
        <v>0</v>
      </c>
      <c r="G17" s="38">
        <v>531658.88</v>
      </c>
      <c r="H17" s="38">
        <v>0</v>
      </c>
      <c r="I17" s="38">
        <v>0</v>
      </c>
      <c r="J17" s="38">
        <v>149731</v>
      </c>
      <c r="K17" s="38">
        <v>289000</v>
      </c>
      <c r="L17" s="38">
        <v>0</v>
      </c>
      <c r="M17" s="38">
        <v>0</v>
      </c>
      <c r="N17" s="38">
        <f>SUM(C17:M17)</f>
        <v>1061104.53</v>
      </c>
    </row>
    <row r="18" spans="1:20">
      <c r="A18" t="s">
        <v>24</v>
      </c>
      <c r="B18" s="38">
        <v>623223</v>
      </c>
      <c r="C18" s="38">
        <v>53595.6</v>
      </c>
      <c r="D18" s="38">
        <v>2863</v>
      </c>
      <c r="E18" s="38">
        <v>0</v>
      </c>
      <c r="F18" s="38">
        <v>692</v>
      </c>
      <c r="G18" s="38">
        <v>581912.6</v>
      </c>
      <c r="H18" s="38">
        <v>0</v>
      </c>
      <c r="I18" s="38">
        <v>0</v>
      </c>
      <c r="J18" s="38">
        <v>38514</v>
      </c>
      <c r="K18" s="38">
        <v>0</v>
      </c>
      <c r="L18" s="38">
        <v>0</v>
      </c>
      <c r="M18" s="38">
        <v>0</v>
      </c>
      <c r="N18" s="38">
        <f>SUM(C18:M18)</f>
        <v>677577.2</v>
      </c>
    </row>
    <row r="19" spans="1:20">
      <c r="A19" t="s">
        <v>25</v>
      </c>
      <c r="B19" s="76">
        <v>3867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3925.0049999999997</v>
      </c>
      <c r="N19" s="38">
        <f t="shared" ref="N19:N20" si="1">SUM(C19:M19)</f>
        <v>3925.0049999999997</v>
      </c>
    </row>
    <row r="20" spans="1:20">
      <c r="A20" t="s">
        <v>26</v>
      </c>
      <c r="B20" s="38">
        <v>44880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14810.400000000001</v>
      </c>
      <c r="N20" s="38">
        <f t="shared" si="1"/>
        <v>14810.400000000001</v>
      </c>
    </row>
    <row r="21" spans="1:20">
      <c r="A21" t="s">
        <v>27</v>
      </c>
      <c r="B21" s="38">
        <v>237930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</row>
    <row r="22" spans="1:20">
      <c r="A22" t="s">
        <v>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</row>
    <row r="23" spans="1:20">
      <c r="A23" t="s">
        <v>19</v>
      </c>
      <c r="B23" s="38">
        <f>SUM(B17:B22)</f>
        <v>1821332</v>
      </c>
      <c r="C23" s="38">
        <f t="shared" ref="C23:N23" si="2">SUM(C17:C22)</f>
        <v>140292.25</v>
      </c>
      <c r="D23" s="38">
        <f t="shared" si="2"/>
        <v>6881</v>
      </c>
      <c r="E23" s="38">
        <f t="shared" si="2"/>
        <v>0</v>
      </c>
      <c r="F23" s="38">
        <f t="shared" si="2"/>
        <v>692</v>
      </c>
      <c r="G23" s="38">
        <f t="shared" si="2"/>
        <v>1113571.48</v>
      </c>
      <c r="H23" s="38">
        <f t="shared" si="2"/>
        <v>0</v>
      </c>
      <c r="I23" s="38">
        <f t="shared" si="2"/>
        <v>0</v>
      </c>
      <c r="J23" s="38">
        <f t="shared" si="2"/>
        <v>188245</v>
      </c>
      <c r="K23" s="38">
        <f t="shared" si="2"/>
        <v>289000</v>
      </c>
      <c r="L23" s="38">
        <f t="shared" si="2"/>
        <v>0</v>
      </c>
      <c r="M23" s="38">
        <f t="shared" si="2"/>
        <v>18735.405000000002</v>
      </c>
      <c r="N23" s="38">
        <f t="shared" si="2"/>
        <v>1757417.1349999998</v>
      </c>
      <c r="R23" s="3" t="s">
        <v>29</v>
      </c>
      <c r="S23" s="12">
        <f>N42/1000</f>
        <v>12401.507015000001</v>
      </c>
      <c r="T23" s="3"/>
    </row>
    <row r="24" spans="1:20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R24" s="3"/>
      <c r="S24" s="3"/>
      <c r="T24" s="3"/>
    </row>
    <row r="25" spans="1:20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R25" s="3"/>
      <c r="S25" s="3" t="s">
        <v>30</v>
      </c>
      <c r="T25" s="3" t="s">
        <v>31</v>
      </c>
    </row>
    <row r="26" spans="1:20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R26" s="3" t="s">
        <v>13</v>
      </c>
      <c r="S26" s="13">
        <f>M42/1000</f>
        <v>3638.6140850000002</v>
      </c>
      <c r="T26" s="14">
        <f>M43</f>
        <v>0.29340096172174762</v>
      </c>
    </row>
    <row r="27" spans="1:20">
      <c r="A27" s="75" t="s">
        <v>32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R27" s="38" t="s">
        <v>35</v>
      </c>
      <c r="S27" s="13">
        <f>G42/1000</f>
        <v>2445.74548</v>
      </c>
      <c r="T27" s="15">
        <f>G43</f>
        <v>0.19721357066054926</v>
      </c>
    </row>
    <row r="28" spans="1:20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R28" s="3" t="s">
        <v>10</v>
      </c>
      <c r="S28" s="13">
        <f>J42/1000</f>
        <v>188.245</v>
      </c>
      <c r="T28" s="14">
        <f>J43</f>
        <v>1.5179203605844994E-2</v>
      </c>
    </row>
    <row r="29" spans="1:20">
      <c r="B29" s="38" t="s">
        <v>33</v>
      </c>
      <c r="C29" s="38" t="s">
        <v>3</v>
      </c>
      <c r="D29" s="38" t="s">
        <v>4</v>
      </c>
      <c r="E29" s="38" t="s">
        <v>5</v>
      </c>
      <c r="F29" s="38" t="s">
        <v>34</v>
      </c>
      <c r="G29" s="38" t="s">
        <v>35</v>
      </c>
      <c r="H29" s="38" t="s">
        <v>8</v>
      </c>
      <c r="I29" s="38" t="s">
        <v>6</v>
      </c>
      <c r="J29" s="38" t="s">
        <v>10</v>
      </c>
      <c r="K29" s="38" t="s">
        <v>11</v>
      </c>
      <c r="L29" s="38" t="s">
        <v>12</v>
      </c>
      <c r="M29" s="38" t="s">
        <v>13</v>
      </c>
      <c r="N29" s="38" t="s">
        <v>36</v>
      </c>
      <c r="R29" s="3" t="s">
        <v>11</v>
      </c>
      <c r="S29" s="13">
        <f>K42/1000</f>
        <v>289</v>
      </c>
      <c r="T29" s="14">
        <f>K43</f>
        <v>2.3303619443221353E-2</v>
      </c>
    </row>
    <row r="30" spans="1:20"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R30" s="3" t="s">
        <v>34</v>
      </c>
      <c r="S30" s="77">
        <f>F42/1000</f>
        <v>236.49799999999999</v>
      </c>
      <c r="T30" s="14">
        <f>F43</f>
        <v>1.9070101699249008E-2</v>
      </c>
    </row>
    <row r="31" spans="1:20">
      <c r="A31" t="s">
        <v>38</v>
      </c>
      <c r="B31" s="38">
        <v>0</v>
      </c>
      <c r="C31" s="38">
        <v>89736.01</v>
      </c>
      <c r="D31" s="38">
        <v>0</v>
      </c>
      <c r="E31" s="38">
        <v>0</v>
      </c>
      <c r="F31" s="38">
        <v>8733.9900000000016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81547</v>
      </c>
      <c r="N31" s="38">
        <f>SUM(B31:M31)</f>
        <v>180017</v>
      </c>
      <c r="O31" s="16">
        <f>N31/N$39</f>
        <v>1.4743467297216881E-2</v>
      </c>
      <c r="P31" s="17" t="s">
        <v>39</v>
      </c>
      <c r="Q31" s="3"/>
      <c r="R31" s="3" t="s">
        <v>37</v>
      </c>
      <c r="S31" s="12">
        <f>E42/1000</f>
        <v>327.66608999999994</v>
      </c>
      <c r="T31" s="14">
        <f>E43</f>
        <v>2.6421473584111822E-2</v>
      </c>
    </row>
    <row r="32" spans="1:20">
      <c r="A32" t="s">
        <v>41</v>
      </c>
      <c r="B32" s="38">
        <v>265225</v>
      </c>
      <c r="C32" s="38">
        <v>283602.09999999998</v>
      </c>
      <c r="D32" s="38">
        <v>0</v>
      </c>
      <c r="E32" s="38">
        <v>313021.08999999997</v>
      </c>
      <c r="F32" s="38">
        <v>3907.0099999999998</v>
      </c>
      <c r="G32" s="38">
        <v>852566</v>
      </c>
      <c r="H32" s="38">
        <v>2074</v>
      </c>
      <c r="I32" s="38">
        <v>2302943</v>
      </c>
      <c r="J32" s="38">
        <v>0</v>
      </c>
      <c r="K32" s="38">
        <v>0</v>
      </c>
      <c r="L32" s="38">
        <v>0</v>
      </c>
      <c r="M32" s="38">
        <v>1142262</v>
      </c>
      <c r="N32" s="38">
        <f t="shared" ref="N32:N38" si="3">SUM(B32:M32)</f>
        <v>5165600.2</v>
      </c>
      <c r="O32" s="16">
        <f>N32/N$39</f>
        <v>0.42306480843029814</v>
      </c>
      <c r="P32" s="17" t="s">
        <v>42</v>
      </c>
      <c r="Q32" s="3"/>
      <c r="R32" s="3" t="s">
        <v>85</v>
      </c>
      <c r="S32" s="12">
        <f>D42/1000</f>
        <v>6.8810000000000002</v>
      </c>
      <c r="T32" s="14">
        <f>D43</f>
        <v>5.5485192176057485E-4</v>
      </c>
    </row>
    <row r="33" spans="1:20">
      <c r="A33" t="s">
        <v>44</v>
      </c>
      <c r="B33" s="38">
        <v>176298.9</v>
      </c>
      <c r="C33" s="38">
        <v>6018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274912</v>
      </c>
      <c r="N33" s="38">
        <f t="shared" si="3"/>
        <v>457228.9</v>
      </c>
      <c r="O33" s="16">
        <f>N33/N$39</f>
        <v>3.7447237396981664E-2</v>
      </c>
      <c r="P33" s="17" t="s">
        <v>45</v>
      </c>
      <c r="Q33" s="3"/>
      <c r="R33" s="3" t="s">
        <v>6</v>
      </c>
      <c r="S33" s="12">
        <f>I42/1000</f>
        <v>2302.9430000000002</v>
      </c>
      <c r="T33" s="14">
        <f>I43</f>
        <v>0.18569864107761422</v>
      </c>
    </row>
    <row r="34" spans="1:20">
      <c r="A34" t="s">
        <v>46</v>
      </c>
      <c r="B34" s="38">
        <v>0</v>
      </c>
      <c r="C34" s="38">
        <v>2369981</v>
      </c>
      <c r="D34" s="38">
        <v>0</v>
      </c>
      <c r="E34" s="38">
        <v>14645</v>
      </c>
      <c r="F34" s="38">
        <v>223165</v>
      </c>
      <c r="G34" s="38">
        <v>0</v>
      </c>
      <c r="H34" s="38">
        <v>32059</v>
      </c>
      <c r="I34" s="38">
        <v>0</v>
      </c>
      <c r="J34" s="38">
        <v>0</v>
      </c>
      <c r="K34" s="38">
        <v>0</v>
      </c>
      <c r="L34" s="38">
        <v>0</v>
      </c>
      <c r="M34" s="38">
        <v>151404</v>
      </c>
      <c r="N34" s="38">
        <f t="shared" si="3"/>
        <v>2791254</v>
      </c>
      <c r="O34" s="16">
        <f>N34/N$39</f>
        <v>0.22860486546951569</v>
      </c>
      <c r="P34" s="17" t="s">
        <v>47</v>
      </c>
      <c r="Q34" s="3"/>
      <c r="R34" s="3" t="s">
        <v>40</v>
      </c>
      <c r="S34" s="13">
        <f>C42/1000</f>
        <v>2931.7813599999999</v>
      </c>
      <c r="T34" s="15">
        <f>C43</f>
        <v>0.23640524949539771</v>
      </c>
    </row>
    <row r="35" spans="1:20">
      <c r="A35" t="s">
        <v>48</v>
      </c>
      <c r="B35" s="38">
        <v>370171</v>
      </c>
      <c r="C35" s="38">
        <v>24249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833449</v>
      </c>
      <c r="N35" s="38">
        <f t="shared" si="3"/>
        <v>1227869</v>
      </c>
      <c r="O35" s="16">
        <f>N35/N$39</f>
        <v>0.10056298264478573</v>
      </c>
      <c r="P35" s="17" t="s">
        <v>49</v>
      </c>
      <c r="Q35" s="17"/>
      <c r="R35" s="3" t="s">
        <v>12</v>
      </c>
      <c r="S35" s="13">
        <f>L42/1000</f>
        <v>0</v>
      </c>
      <c r="T35" s="15">
        <f>L43</f>
        <v>0</v>
      </c>
    </row>
    <row r="36" spans="1:20">
      <c r="A36" t="s">
        <v>50</v>
      </c>
      <c r="B36" s="38">
        <v>154310</v>
      </c>
      <c r="C36" s="38">
        <v>16545</v>
      </c>
      <c r="D36" s="38">
        <v>0</v>
      </c>
      <c r="E36" s="38">
        <v>0</v>
      </c>
      <c r="F36" s="38">
        <v>0</v>
      </c>
      <c r="G36" s="38">
        <v>479608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808280</v>
      </c>
      <c r="N36" s="38">
        <f t="shared" si="3"/>
        <v>1458743</v>
      </c>
      <c r="O36" s="17"/>
      <c r="P36" s="17"/>
      <c r="Q36" s="3"/>
      <c r="R36" s="3" t="s">
        <v>8</v>
      </c>
      <c r="S36" s="13">
        <f>H42/1000</f>
        <v>34.133000000000003</v>
      </c>
      <c r="T36" s="14">
        <f>H43</f>
        <v>2.7523267905033718E-3</v>
      </c>
    </row>
    <row r="37" spans="1:20">
      <c r="A37" t="s">
        <v>51</v>
      </c>
      <c r="B37" s="38">
        <v>703432</v>
      </c>
      <c r="C37" s="38">
        <v>1339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171663</v>
      </c>
      <c r="N37" s="38">
        <f t="shared" si="3"/>
        <v>876434</v>
      </c>
      <c r="O37" s="17"/>
      <c r="P37" s="17"/>
      <c r="Q37" s="3"/>
      <c r="R37" s="3"/>
      <c r="S37" s="13">
        <f>SUM(S26:S36)</f>
        <v>12401.507015000001</v>
      </c>
      <c r="T37" s="14">
        <f>SUM(T26:T36)</f>
        <v>1</v>
      </c>
    </row>
    <row r="38" spans="1:20">
      <c r="A38" t="s">
        <v>52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52804</v>
      </c>
      <c r="N38" s="38">
        <f t="shared" si="3"/>
        <v>52804</v>
      </c>
      <c r="O38" s="17">
        <f>SUM(O31:O35)</f>
        <v>0.80442336123879798</v>
      </c>
      <c r="P38" s="17"/>
      <c r="Q38" s="3"/>
      <c r="R38" s="2"/>
      <c r="S38" s="2"/>
      <c r="T38" s="2"/>
    </row>
    <row r="39" spans="1:20">
      <c r="A39" t="s">
        <v>19</v>
      </c>
      <c r="B39" s="38">
        <f>SUM(B31:B38)</f>
        <v>1669436.9</v>
      </c>
      <c r="C39" s="38">
        <f t="shared" ref="C39:N39" si="4">SUM(C31:C38)</f>
        <v>2791470.11</v>
      </c>
      <c r="D39" s="38">
        <f t="shared" si="4"/>
        <v>0</v>
      </c>
      <c r="E39" s="38">
        <f t="shared" si="4"/>
        <v>327666.08999999997</v>
      </c>
      <c r="F39" s="38">
        <f t="shared" si="4"/>
        <v>235806</v>
      </c>
      <c r="G39" s="38">
        <f t="shared" si="4"/>
        <v>1332174</v>
      </c>
      <c r="H39" s="38">
        <f t="shared" si="4"/>
        <v>34133</v>
      </c>
      <c r="I39" s="38">
        <f t="shared" si="4"/>
        <v>2302943</v>
      </c>
      <c r="J39" s="38">
        <f t="shared" si="4"/>
        <v>0</v>
      </c>
      <c r="K39" s="38">
        <f t="shared" si="4"/>
        <v>0</v>
      </c>
      <c r="L39" s="38">
        <f t="shared" si="4"/>
        <v>0</v>
      </c>
      <c r="M39" s="38">
        <f t="shared" si="4"/>
        <v>3516321</v>
      </c>
      <c r="N39" s="38">
        <f t="shared" si="4"/>
        <v>12209950.100000001</v>
      </c>
      <c r="R39" s="7"/>
      <c r="S39" s="7"/>
      <c r="T39" s="7"/>
    </row>
    <row r="40" spans="1:20">
      <c r="R40" s="7"/>
      <c r="S40" s="7" t="s">
        <v>30</v>
      </c>
      <c r="T40" s="7" t="s">
        <v>31</v>
      </c>
    </row>
    <row r="41" spans="1:20">
      <c r="A41" s="21" t="s">
        <v>56</v>
      </c>
      <c r="B41" s="22">
        <f>B38+B37+B36</f>
        <v>857742</v>
      </c>
      <c r="C41" s="22">
        <f t="shared" ref="C41:N41" si="5">C38+C37+C36</f>
        <v>17884</v>
      </c>
      <c r="D41" s="22">
        <f t="shared" si="5"/>
        <v>0</v>
      </c>
      <c r="E41" s="22">
        <f t="shared" si="5"/>
        <v>0</v>
      </c>
      <c r="F41" s="22">
        <f t="shared" si="5"/>
        <v>0</v>
      </c>
      <c r="G41" s="22">
        <f t="shared" si="5"/>
        <v>479608</v>
      </c>
      <c r="H41" s="22">
        <f t="shared" si="5"/>
        <v>0</v>
      </c>
      <c r="I41" s="22">
        <f t="shared" si="5"/>
        <v>0</v>
      </c>
      <c r="J41" s="22">
        <f t="shared" si="5"/>
        <v>0</v>
      </c>
      <c r="K41" s="22">
        <f t="shared" si="5"/>
        <v>0</v>
      </c>
      <c r="L41" s="22">
        <f t="shared" si="5"/>
        <v>0</v>
      </c>
      <c r="M41" s="22">
        <f t="shared" si="5"/>
        <v>1032747</v>
      </c>
      <c r="N41" s="22">
        <f t="shared" si="5"/>
        <v>2387981</v>
      </c>
      <c r="O41" s="16">
        <f>N41/N$39</f>
        <v>0.19557663876120179</v>
      </c>
      <c r="P41" s="16" t="s">
        <v>57</v>
      </c>
      <c r="R41" s="7" t="s">
        <v>53</v>
      </c>
      <c r="S41" s="19">
        <f>N45/1000</f>
        <v>433.20078000000007</v>
      </c>
      <c r="T41" s="7"/>
    </row>
    <row r="42" spans="1:20">
      <c r="A42" s="23" t="s">
        <v>59</v>
      </c>
      <c r="B42" s="22"/>
      <c r="C42" s="24">
        <f>C39+C23+C10</f>
        <v>2931781.36</v>
      </c>
      <c r="D42" s="24">
        <f t="shared" ref="D42:L42" si="6">D39+D23+D10</f>
        <v>6881</v>
      </c>
      <c r="E42" s="24">
        <f t="shared" si="6"/>
        <v>327666.08999999997</v>
      </c>
      <c r="F42" s="24">
        <f t="shared" si="6"/>
        <v>236498</v>
      </c>
      <c r="G42" s="24">
        <f t="shared" si="6"/>
        <v>2445745.48</v>
      </c>
      <c r="H42" s="24">
        <f t="shared" si="6"/>
        <v>34133</v>
      </c>
      <c r="I42" s="24">
        <f t="shared" si="6"/>
        <v>2302943</v>
      </c>
      <c r="J42" s="24">
        <f t="shared" si="6"/>
        <v>188245</v>
      </c>
      <c r="K42" s="24">
        <f t="shared" si="6"/>
        <v>289000</v>
      </c>
      <c r="L42" s="24">
        <f t="shared" si="6"/>
        <v>0</v>
      </c>
      <c r="M42" s="24">
        <f>M39+M23-B6+M45</f>
        <v>3638614.085</v>
      </c>
      <c r="N42" s="25">
        <f>SUM(C42:M42)</f>
        <v>12401507.015000001</v>
      </c>
      <c r="O42" s="7"/>
      <c r="P42" s="7"/>
      <c r="R42" s="7" t="s">
        <v>54</v>
      </c>
      <c r="S42" s="20">
        <f>N41/1000</f>
        <v>2387.9810000000002</v>
      </c>
      <c r="T42" s="14">
        <f>O41</f>
        <v>0.19557663876120179</v>
      </c>
    </row>
    <row r="43" spans="1:20">
      <c r="A43" s="23" t="s">
        <v>60</v>
      </c>
      <c r="B43" s="22"/>
      <c r="C43" s="16">
        <f t="shared" ref="C43:M43" si="7">C42/$N42</f>
        <v>0.23640524949539771</v>
      </c>
      <c r="D43" s="16">
        <f t="shared" si="7"/>
        <v>5.5485192176057485E-4</v>
      </c>
      <c r="E43" s="16">
        <f t="shared" si="7"/>
        <v>2.6421473584111822E-2</v>
      </c>
      <c r="F43" s="16">
        <f t="shared" si="7"/>
        <v>1.9070101699249008E-2</v>
      </c>
      <c r="G43" s="16">
        <f t="shared" si="7"/>
        <v>0.19721357066054926</v>
      </c>
      <c r="H43" s="16">
        <f t="shared" si="7"/>
        <v>2.7523267905033718E-3</v>
      </c>
      <c r="I43" s="16">
        <f t="shared" si="7"/>
        <v>0.18569864107761422</v>
      </c>
      <c r="J43" s="16">
        <f t="shared" si="7"/>
        <v>1.5179203605844994E-2</v>
      </c>
      <c r="K43" s="16">
        <f t="shared" si="7"/>
        <v>2.3303619443221353E-2</v>
      </c>
      <c r="L43" s="16">
        <f t="shared" si="7"/>
        <v>0</v>
      </c>
      <c r="M43" s="16">
        <f t="shared" si="7"/>
        <v>0.29340096172174762</v>
      </c>
      <c r="N43" s="16">
        <f>SUM(C43:M43)</f>
        <v>1</v>
      </c>
      <c r="O43" s="7"/>
      <c r="P43" s="7"/>
      <c r="R43" s="7" t="s">
        <v>55</v>
      </c>
      <c r="S43" s="20">
        <f>N35/1000</f>
        <v>1227.8689999999999</v>
      </c>
      <c r="T43" s="15">
        <f>O35</f>
        <v>0.10056298264478573</v>
      </c>
    </row>
    <row r="44" spans="1:20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R44" s="7" t="s">
        <v>58</v>
      </c>
      <c r="S44" s="20">
        <f>N33/1000</f>
        <v>457.22890000000001</v>
      </c>
      <c r="T44" s="14">
        <f>O33</f>
        <v>3.7447237396981664E-2</v>
      </c>
    </row>
    <row r="45" spans="1:20">
      <c r="A45" s="6" t="s">
        <v>63</v>
      </c>
      <c r="B45" s="6">
        <f>B23-B39</f>
        <v>151895.10000000009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281305.68</v>
      </c>
      <c r="N45" s="25">
        <f>B45+M45</f>
        <v>433200.78000000009</v>
      </c>
      <c r="O45" s="7"/>
      <c r="P45" s="7"/>
      <c r="R45" s="7" t="s">
        <v>39</v>
      </c>
      <c r="S45" s="20">
        <f>N31/1000</f>
        <v>180.017</v>
      </c>
      <c r="T45" s="14">
        <f>O31</f>
        <v>1.4743467297216881E-2</v>
      </c>
    </row>
    <row r="46" spans="1:20">
      <c r="R46" s="7" t="s">
        <v>61</v>
      </c>
      <c r="S46" s="20">
        <f>N32/1000</f>
        <v>5165.6001999999999</v>
      </c>
      <c r="T46" s="15">
        <f>O32</f>
        <v>0.42306480843029814</v>
      </c>
    </row>
    <row r="47" spans="1:20">
      <c r="R47" s="7" t="s">
        <v>62</v>
      </c>
      <c r="S47" s="20">
        <f>N34/1000</f>
        <v>2791.2539999999999</v>
      </c>
      <c r="T47" s="15">
        <f>O34</f>
        <v>0.22860486546951569</v>
      </c>
    </row>
    <row r="48" spans="1:20">
      <c r="D48" s="38"/>
      <c r="R48" s="7" t="s">
        <v>64</v>
      </c>
      <c r="S48" s="20">
        <f>SUM(S42:S47)</f>
        <v>12209.950100000002</v>
      </c>
      <c r="T48" s="14">
        <f>SUM(T42:T47)</f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 enableFormatConditionsCalculation="0"/>
  <dimension ref="A1:AU70"/>
  <sheetViews>
    <sheetView topLeftCell="A2" zoomScale="125" zoomScaleNormal="125" zoomScalePageLayoutView="125" workbookViewId="0">
      <selection activeCell="B22" sqref="B22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61">
        <v>0</v>
      </c>
      <c r="C6" s="9">
        <v>0</v>
      </c>
      <c r="D6" s="9">
        <v>0</v>
      </c>
      <c r="E6" s="9">
        <v>0</v>
      </c>
      <c r="F6" s="61">
        <v>0</v>
      </c>
      <c r="G6" s="9">
        <v>0</v>
      </c>
      <c r="H6" s="9">
        <v>0</v>
      </c>
      <c r="I6" s="9"/>
      <c r="J6" s="9"/>
      <c r="K6" s="9"/>
      <c r="L6" s="9"/>
      <c r="M6" s="9"/>
      <c r="N6" s="61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582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47752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61">
        <f>B9+B8</f>
        <v>48334</v>
      </c>
      <c r="C10" s="9">
        <v>0</v>
      </c>
      <c r="D10" s="9">
        <v>0</v>
      </c>
      <c r="E10" s="9">
        <v>0</v>
      </c>
      <c r="F10" s="61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6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21672</v>
      </c>
      <c r="C18" s="9">
        <v>726</v>
      </c>
      <c r="D18" s="9">
        <v>0</v>
      </c>
      <c r="E18" s="9">
        <v>0</v>
      </c>
      <c r="F18" s="9">
        <v>0</v>
      </c>
      <c r="G18" s="9">
        <v>20653</v>
      </c>
      <c r="H18" s="9">
        <v>0</v>
      </c>
      <c r="I18" s="9"/>
      <c r="J18" s="9"/>
      <c r="K18" s="9"/>
      <c r="L18" s="9"/>
      <c r="M18" s="9"/>
      <c r="N18" s="9">
        <v>21379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53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21672</v>
      </c>
      <c r="C23" s="9">
        <v>726</v>
      </c>
      <c r="D23" s="9">
        <v>0</v>
      </c>
      <c r="E23" s="9">
        <v>0</v>
      </c>
      <c r="F23" s="9">
        <v>0</v>
      </c>
      <c r="G23" s="9">
        <v>20653</v>
      </c>
      <c r="H23" s="9">
        <v>0</v>
      </c>
      <c r="I23" s="9"/>
      <c r="J23" s="9"/>
      <c r="K23" s="9"/>
      <c r="L23" s="9"/>
      <c r="M23" s="9"/>
      <c r="N23" s="9">
        <v>21379</v>
      </c>
      <c r="O23" s="3"/>
      <c r="P23" s="3"/>
      <c r="Q23" s="3"/>
      <c r="R23" s="3" t="s">
        <v>29</v>
      </c>
      <c r="S23" s="12">
        <f>N42/1000</f>
        <v>1854.26432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194.02632</v>
      </c>
      <c r="T26" s="14">
        <f>M43</f>
        <v>0.10463789757870119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234.16300000000001</v>
      </c>
      <c r="T27" s="15">
        <f>G43</f>
        <v>0.12628350633419944</v>
      </c>
    </row>
    <row r="28" spans="1:20" ht="15">
      <c r="A28" s="4" t="s">
        <v>71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15.388</v>
      </c>
      <c r="T29" s="14">
        <f>F43</f>
        <v>8.2987089995885804E-3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0.90800000000000003</v>
      </c>
      <c r="T30" s="14">
        <f>E43</f>
        <v>4.8968207509919625E-4</v>
      </c>
    </row>
    <row r="31" spans="1:20" ht="15">
      <c r="A31" s="5" t="s">
        <v>38</v>
      </c>
      <c r="B31" s="9">
        <v>0</v>
      </c>
      <c r="C31" s="63">
        <f>N31-M31-F31</f>
        <v>9692</v>
      </c>
      <c r="D31" s="9">
        <v>0</v>
      </c>
      <c r="E31" s="9">
        <v>0</v>
      </c>
      <c r="F31" s="9">
        <v>965</v>
      </c>
      <c r="G31" s="9">
        <v>0</v>
      </c>
      <c r="H31" s="9">
        <v>0</v>
      </c>
      <c r="I31" s="9"/>
      <c r="J31" s="9"/>
      <c r="K31" s="9"/>
      <c r="L31" s="9"/>
      <c r="M31" s="63">
        <v>5143</v>
      </c>
      <c r="N31" s="9">
        <v>15800</v>
      </c>
      <c r="O31" s="16">
        <f>N31/N$39</f>
        <v>8.599514617269894E-3</v>
      </c>
      <c r="P31" s="17" t="s">
        <v>39</v>
      </c>
      <c r="Q31" s="3"/>
      <c r="R31" s="3" t="s">
        <v>40</v>
      </c>
      <c r="S31" s="13">
        <f>C42/1000</f>
        <v>254.83600000000001</v>
      </c>
      <c r="T31" s="15">
        <f>C43</f>
        <v>0.13743240230173873</v>
      </c>
    </row>
    <row r="32" spans="1:20" ht="15">
      <c r="A32" s="5" t="s">
        <v>41</v>
      </c>
      <c r="B32" s="9">
        <v>100</v>
      </c>
      <c r="C32" s="6">
        <v>92519</v>
      </c>
      <c r="D32" s="9">
        <v>0</v>
      </c>
      <c r="E32" s="63">
        <v>908</v>
      </c>
      <c r="G32" s="63">
        <f>180000</f>
        <v>180000</v>
      </c>
      <c r="H32" s="9">
        <v>0</v>
      </c>
      <c r="I32" s="6">
        <v>1154943</v>
      </c>
      <c r="J32" s="9"/>
      <c r="K32" s="9"/>
      <c r="L32" s="9"/>
      <c r="M32" s="63">
        <v>58957</v>
      </c>
      <c r="N32" s="61">
        <f>M32+G32+I32+E32+C32+B32</f>
        <v>1487427</v>
      </c>
      <c r="O32" s="16">
        <f>N32/N$39</f>
        <v>0.80956647016594341</v>
      </c>
      <c r="P32" s="17" t="s">
        <v>42</v>
      </c>
      <c r="Q32" s="3"/>
      <c r="R32" s="3" t="s">
        <v>43</v>
      </c>
      <c r="S32" s="13">
        <f>I42/1000</f>
        <v>1154.943</v>
      </c>
      <c r="T32" s="14">
        <f>I43</f>
        <v>0.62285780271067281</v>
      </c>
    </row>
    <row r="33" spans="1:47" ht="15">
      <c r="A33" s="5" t="s">
        <v>44</v>
      </c>
      <c r="B33" s="9">
        <v>0</v>
      </c>
      <c r="C33" s="9">
        <v>315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10499</v>
      </c>
      <c r="N33" s="9">
        <v>10814</v>
      </c>
      <c r="O33" s="16">
        <f>N33/N$39</f>
        <v>5.8857690551364951E-3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150030</v>
      </c>
      <c r="D34" s="9">
        <v>0</v>
      </c>
      <c r="E34" s="9">
        <v>0</v>
      </c>
      <c r="F34" s="9">
        <v>14423</v>
      </c>
      <c r="G34" s="9">
        <v>0</v>
      </c>
      <c r="H34" s="9">
        <v>0</v>
      </c>
      <c r="I34" s="9"/>
      <c r="J34" s="9"/>
      <c r="K34" s="9"/>
      <c r="L34" s="9"/>
      <c r="M34" s="9">
        <v>22524</v>
      </c>
      <c r="N34" s="9">
        <v>186977</v>
      </c>
      <c r="O34" s="16">
        <f>N34/N$39</f>
        <v>0.10176654712615651</v>
      </c>
      <c r="P34" s="17" t="s">
        <v>47</v>
      </c>
      <c r="Q34" s="3"/>
      <c r="R34" s="3"/>
      <c r="S34" s="13">
        <f>SUM(S26:S33)</f>
        <v>1854.26432</v>
      </c>
      <c r="T34" s="14">
        <f>SUM(T26:T33)</f>
        <v>0.99999999999999989</v>
      </c>
    </row>
    <row r="35" spans="1:47" ht="15">
      <c r="A35" s="5" t="s">
        <v>48</v>
      </c>
      <c r="B35" s="9">
        <v>0</v>
      </c>
      <c r="C35" s="9">
        <v>515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19541</v>
      </c>
      <c r="N35" s="9">
        <v>20056</v>
      </c>
      <c r="O35" s="16">
        <f>N35/N$39</f>
        <v>1.091594083316234E-2</v>
      </c>
      <c r="P35" s="17" t="s">
        <v>49</v>
      </c>
      <c r="Q35" s="17"/>
    </row>
    <row r="36" spans="1:47" ht="15">
      <c r="A36" s="5" t="s">
        <v>50</v>
      </c>
      <c r="B36" s="9">
        <v>200</v>
      </c>
      <c r="C36" s="9">
        <v>944</v>
      </c>
      <c r="D36" s="9">
        <v>0</v>
      </c>
      <c r="E36" s="9">
        <v>0</v>
      </c>
      <c r="F36" s="9">
        <v>0</v>
      </c>
      <c r="G36" s="9">
        <v>33510</v>
      </c>
      <c r="H36" s="9">
        <v>0</v>
      </c>
      <c r="I36" s="9"/>
      <c r="J36" s="9"/>
      <c r="K36" s="9"/>
      <c r="L36" s="9"/>
      <c r="M36" s="9">
        <v>47038</v>
      </c>
      <c r="N36" s="9">
        <v>81693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18500</v>
      </c>
      <c r="C37" s="9">
        <v>95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6781</v>
      </c>
      <c r="N37" s="9">
        <v>25375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9171</v>
      </c>
      <c r="N38" s="9">
        <v>9171</v>
      </c>
      <c r="O38" s="17">
        <f>SUM(O31:O35)</f>
        <v>0.93673424179766873</v>
      </c>
      <c r="P38" s="17"/>
      <c r="Q38" s="3"/>
      <c r="R38" s="7" t="s">
        <v>53</v>
      </c>
      <c r="S38" s="19">
        <f>N45/1000</f>
        <v>17.244319999999998</v>
      </c>
      <c r="T38" s="7"/>
    </row>
    <row r="39" spans="1:47" ht="15">
      <c r="A39" s="5" t="s">
        <v>19</v>
      </c>
      <c r="B39" s="9">
        <v>18800</v>
      </c>
      <c r="C39" s="9">
        <v>254110</v>
      </c>
      <c r="D39" s="9">
        <v>0</v>
      </c>
      <c r="E39" s="63">
        <f>SUM(E31:E38)</f>
        <v>908</v>
      </c>
      <c r="F39" s="63">
        <f>SUM(F31:F38)</f>
        <v>15388</v>
      </c>
      <c r="G39" s="63">
        <f>SUM(G31:G38)</f>
        <v>213510</v>
      </c>
      <c r="H39" s="9">
        <v>0</v>
      </c>
      <c r="I39" s="9">
        <f>SUM(I31:I38)</f>
        <v>1154943</v>
      </c>
      <c r="J39" s="9"/>
      <c r="K39" s="9"/>
      <c r="L39" s="9"/>
      <c r="M39" s="63">
        <f>M31+M32+M33+M34+M35+M36+M37+M38</f>
        <v>179654</v>
      </c>
      <c r="N39" s="61">
        <f>SUM(N31:N38)</f>
        <v>1837313</v>
      </c>
      <c r="O39" s="3"/>
      <c r="P39" s="3"/>
      <c r="Q39" s="3"/>
      <c r="R39" s="7" t="s">
        <v>54</v>
      </c>
      <c r="S39" s="20">
        <f>N41/1000</f>
        <v>116.239</v>
      </c>
      <c r="T39" s="14">
        <f>O41</f>
        <v>6.3265758202331338E-2</v>
      </c>
    </row>
    <row r="40" spans="1:47">
      <c r="R40" s="7" t="s">
        <v>55</v>
      </c>
      <c r="S40" s="20">
        <f>N35/1000</f>
        <v>20.056000000000001</v>
      </c>
      <c r="T40" s="15">
        <f>O35</f>
        <v>1.091594083316234E-2</v>
      </c>
    </row>
    <row r="41" spans="1:47" ht="15">
      <c r="A41" s="21" t="s">
        <v>56</v>
      </c>
      <c r="B41" s="22">
        <f>B38+B37+B36</f>
        <v>18700</v>
      </c>
      <c r="C41" s="22">
        <f t="shared" ref="C41:N41" si="0">C38+C37+C36</f>
        <v>1039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33510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62990</v>
      </c>
      <c r="N41" s="22">
        <f t="shared" si="0"/>
        <v>116239</v>
      </c>
      <c r="O41" s="16">
        <f>N41/N$39</f>
        <v>6.3265758202331338E-2</v>
      </c>
      <c r="P41" s="16" t="s">
        <v>57</v>
      </c>
      <c r="Q41" s="7"/>
      <c r="R41" s="7" t="s">
        <v>58</v>
      </c>
      <c r="S41" s="20">
        <f>N33/1000</f>
        <v>10.814</v>
      </c>
      <c r="T41" s="14">
        <f>O33</f>
        <v>5.8857690551364951E-3</v>
      </c>
    </row>
    <row r="42" spans="1:47" ht="15">
      <c r="A42" s="23" t="s">
        <v>59</v>
      </c>
      <c r="B42" s="22"/>
      <c r="C42" s="24">
        <f>C39+C23+C10</f>
        <v>254836</v>
      </c>
      <c r="D42" s="24">
        <f t="shared" ref="D42:L42" si="1">D39+D23+D10</f>
        <v>0</v>
      </c>
      <c r="E42" s="24">
        <f t="shared" si="1"/>
        <v>908</v>
      </c>
      <c r="F42" s="24">
        <f t="shared" si="1"/>
        <v>15388</v>
      </c>
      <c r="G42" s="24">
        <f t="shared" si="1"/>
        <v>234163</v>
      </c>
      <c r="H42" s="24">
        <f t="shared" si="1"/>
        <v>0</v>
      </c>
      <c r="I42" s="24">
        <f t="shared" si="1"/>
        <v>1154943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194026.32</v>
      </c>
      <c r="N42" s="25">
        <f>SUM(C42:M42)</f>
        <v>1854264.3200000001</v>
      </c>
      <c r="O42" s="7"/>
      <c r="P42" s="7"/>
      <c r="Q42" s="7"/>
      <c r="R42" s="7" t="s">
        <v>39</v>
      </c>
      <c r="S42" s="20">
        <f>N31/1000</f>
        <v>15.8</v>
      </c>
      <c r="T42" s="14">
        <f>O31</f>
        <v>8.599514617269894E-3</v>
      </c>
    </row>
    <row r="43" spans="1:47" ht="15">
      <c r="A43" s="23" t="s">
        <v>60</v>
      </c>
      <c r="B43" s="22"/>
      <c r="C43" s="16">
        <f t="shared" ref="C43:M43" si="2">C42/$N42</f>
        <v>0.13743240230173873</v>
      </c>
      <c r="D43" s="16">
        <f t="shared" si="2"/>
        <v>0</v>
      </c>
      <c r="E43" s="16">
        <f t="shared" si="2"/>
        <v>4.8968207509919625E-4</v>
      </c>
      <c r="F43" s="16">
        <f t="shared" si="2"/>
        <v>8.2987089995885804E-3</v>
      </c>
      <c r="G43" s="16">
        <f t="shared" si="2"/>
        <v>0.12628350633419944</v>
      </c>
      <c r="H43" s="16">
        <f t="shared" si="2"/>
        <v>0</v>
      </c>
      <c r="I43" s="16">
        <f t="shared" si="2"/>
        <v>0.62285780271067281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0.10463789757870119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1487.4269999999999</v>
      </c>
      <c r="T43" s="15">
        <f>O32</f>
        <v>0.80956647016594341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186.977</v>
      </c>
      <c r="T44" s="15">
        <f>O34</f>
        <v>0.10176654712615651</v>
      </c>
    </row>
    <row r="45" spans="1:47" ht="15">
      <c r="A45" s="6" t="s">
        <v>63</v>
      </c>
      <c r="B45" s="6">
        <f>B23-B39</f>
        <v>2872</v>
      </c>
      <c r="C45" s="64" t="s">
        <v>83</v>
      </c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14372.32</v>
      </c>
      <c r="N45" s="25">
        <f>B45+M45</f>
        <v>17244.32</v>
      </c>
      <c r="O45" s="7"/>
      <c r="P45" s="7"/>
      <c r="Q45" s="7"/>
      <c r="R45" s="7" t="s">
        <v>64</v>
      </c>
      <c r="S45" s="20">
        <f>SUM(S39:S44)</f>
        <v>1837.3130000000001</v>
      </c>
      <c r="T45" s="14">
        <f>SUM(T39:T44)</f>
        <v>1</v>
      </c>
    </row>
    <row r="46" spans="1:47" ht="15">
      <c r="A46" s="6" t="s">
        <v>76</v>
      </c>
      <c r="B46" s="65">
        <f>B45/B23</f>
        <v>0.13252122554448137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37"/>
      <c r="E47" s="27"/>
      <c r="F47" s="27"/>
      <c r="G47" s="27"/>
      <c r="H47" s="27"/>
      <c r="I47" s="27"/>
      <c r="J47" s="27"/>
      <c r="K47" s="27"/>
      <c r="L47" s="27"/>
      <c r="M47" s="27"/>
      <c r="N47" s="3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37"/>
      <c r="E48" s="27"/>
      <c r="F48" s="37"/>
      <c r="G48" s="37"/>
      <c r="H48" s="37"/>
      <c r="I48" s="27"/>
      <c r="J48" s="27"/>
      <c r="K48" s="27"/>
      <c r="L48" s="27"/>
      <c r="M48" s="27"/>
      <c r="N48" s="3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50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37"/>
      <c r="G55" s="37"/>
      <c r="H55" s="37"/>
      <c r="I55" s="27"/>
      <c r="J55" s="27"/>
      <c r="K55" s="27"/>
      <c r="L55" s="27"/>
      <c r="M55" s="27"/>
      <c r="N55" s="3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37"/>
      <c r="G56" s="37"/>
      <c r="H56" s="37"/>
      <c r="I56" s="27"/>
      <c r="J56" s="27"/>
      <c r="K56" s="27"/>
      <c r="L56" s="27"/>
      <c r="M56" s="27"/>
      <c r="N56" s="3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 enableFormatConditionsCalculation="0"/>
  <dimension ref="A1:AU70"/>
  <sheetViews>
    <sheetView topLeftCell="A27" zoomScale="125" zoomScaleNormal="125" zoomScalePageLayoutView="125" workbookViewId="0">
      <selection activeCell="B19" sqref="B1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72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60">
        <v>25541</v>
      </c>
      <c r="C6" s="61">
        <v>0</v>
      </c>
      <c r="D6" s="61">
        <v>0</v>
      </c>
      <c r="E6" s="61">
        <v>0</v>
      </c>
      <c r="F6" s="61">
        <v>0</v>
      </c>
      <c r="G6" s="61">
        <v>0</v>
      </c>
      <c r="H6" s="61">
        <v>0</v>
      </c>
      <c r="I6" s="61"/>
      <c r="J6" s="61"/>
      <c r="K6" s="61"/>
      <c r="L6" s="61"/>
      <c r="M6" s="61"/>
      <c r="N6" s="61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60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/>
      <c r="J7" s="60"/>
      <c r="K7" s="60"/>
      <c r="L7" s="60"/>
      <c r="M7" s="60"/>
      <c r="N7" s="60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60">
        <v>50925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/>
      <c r="J8" s="60"/>
      <c r="K8" s="60"/>
      <c r="L8" s="60"/>
      <c r="M8" s="60"/>
      <c r="N8" s="60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/>
      <c r="J9" s="60"/>
      <c r="K9" s="60"/>
      <c r="L9" s="60"/>
      <c r="M9" s="60"/>
      <c r="N9" s="60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60">
        <v>76466</v>
      </c>
      <c r="C10" s="61">
        <v>0</v>
      </c>
      <c r="D10" s="61">
        <v>0</v>
      </c>
      <c r="E10" s="60">
        <v>0</v>
      </c>
      <c r="F10" s="60">
        <v>0</v>
      </c>
      <c r="G10" s="61">
        <v>0</v>
      </c>
      <c r="H10" s="60">
        <v>0</v>
      </c>
      <c r="I10" s="60"/>
      <c r="J10" s="60"/>
      <c r="K10" s="60"/>
      <c r="L10" s="60"/>
      <c r="M10" s="60"/>
      <c r="N10" s="61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52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2" t="s">
        <v>21</v>
      </c>
      <c r="C15" s="62" t="s">
        <v>3</v>
      </c>
      <c r="D15" s="62" t="s">
        <v>4</v>
      </c>
      <c r="E15" s="62" t="s">
        <v>5</v>
      </c>
      <c r="F15" s="62" t="s">
        <v>22</v>
      </c>
      <c r="G15" s="62" t="s">
        <v>7</v>
      </c>
      <c r="H15" s="62" t="s">
        <v>8</v>
      </c>
      <c r="I15" s="62" t="s">
        <v>9</v>
      </c>
      <c r="J15" s="62" t="s">
        <v>10</v>
      </c>
      <c r="K15" s="62" t="s">
        <v>11</v>
      </c>
      <c r="L15" s="62" t="s">
        <v>12</v>
      </c>
      <c r="M15" s="62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61">
        <f>SUM(C16:K16)</f>
        <v>0</v>
      </c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60">
        <v>329663</v>
      </c>
      <c r="C17" s="61">
        <v>48600</v>
      </c>
      <c r="D17" s="61">
        <v>0</v>
      </c>
      <c r="E17" s="60">
        <v>0</v>
      </c>
      <c r="F17" s="60">
        <v>0</v>
      </c>
      <c r="G17" s="61">
        <v>26900</v>
      </c>
      <c r="H17" s="60">
        <v>0</v>
      </c>
      <c r="I17" s="60"/>
      <c r="J17" s="61">
        <v>54700</v>
      </c>
      <c r="K17" s="61">
        <v>289000</v>
      </c>
      <c r="L17" s="60"/>
      <c r="M17" s="60"/>
      <c r="N17" s="61">
        <f>SUM(C17:M17)</f>
        <v>419200</v>
      </c>
      <c r="O17" s="3"/>
      <c r="P17" s="3">
        <f>(B17+B6)/N17</f>
        <v>0.84733778625954204</v>
      </c>
      <c r="Q17" s="3"/>
      <c r="R17" s="3"/>
      <c r="S17" s="3"/>
      <c r="T17" s="3"/>
    </row>
    <row r="18" spans="1:20" ht="15">
      <c r="A18" s="8" t="s">
        <v>24</v>
      </c>
      <c r="B18" s="61">
        <v>0</v>
      </c>
      <c r="C18" s="61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/>
      <c r="K18" s="60"/>
      <c r="L18" s="60"/>
      <c r="M18" s="60"/>
      <c r="N18" s="61">
        <f>SUM(C18:M18)</f>
        <v>0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/>
      <c r="J19" s="60"/>
      <c r="K19" s="60"/>
      <c r="L19" s="60"/>
      <c r="M19" s="60">
        <v>0</v>
      </c>
      <c r="N19" s="60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/>
      <c r="J20" s="60"/>
      <c r="K20" s="60"/>
      <c r="L20" s="60"/>
      <c r="M20" s="60">
        <v>0</v>
      </c>
      <c r="N20" s="60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/>
      <c r="J21" s="60"/>
      <c r="K21" s="60"/>
      <c r="L21" s="60"/>
      <c r="M21" s="60"/>
      <c r="N21" s="60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61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/>
      <c r="J22" s="60"/>
      <c r="K22" s="60"/>
      <c r="L22" s="60"/>
      <c r="M22" s="60"/>
      <c r="N22" s="60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60">
        <v>329663</v>
      </c>
      <c r="C23" s="61">
        <f>SUM(C17:C22)</f>
        <v>48600</v>
      </c>
      <c r="D23" s="61">
        <f>D17</f>
        <v>0</v>
      </c>
      <c r="E23" s="60">
        <v>0</v>
      </c>
      <c r="F23" s="60">
        <v>0</v>
      </c>
      <c r="G23" s="61">
        <f>G17</f>
        <v>26900</v>
      </c>
      <c r="H23" s="60">
        <v>0</v>
      </c>
      <c r="I23" s="60"/>
      <c r="J23" s="61">
        <f>J17</f>
        <v>54700</v>
      </c>
      <c r="K23" s="61">
        <f>K17</f>
        <v>289000</v>
      </c>
      <c r="L23" s="60"/>
      <c r="M23" s="60"/>
      <c r="N23" s="61">
        <f>N17</f>
        <v>419200</v>
      </c>
      <c r="O23" s="3"/>
      <c r="P23" s="3"/>
      <c r="Q23" s="3"/>
      <c r="R23" s="3" t="s">
        <v>29</v>
      </c>
      <c r="S23" s="12">
        <f>N42/1000</f>
        <v>1194.3533200000002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>
        <f>K16/2</f>
        <v>0</v>
      </c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>
        <f>G16+G25</f>
        <v>0</v>
      </c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448.09732000000002</v>
      </c>
      <c r="T26" s="14">
        <f>M43</f>
        <v>0.37517986721048341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58.923999999999999</v>
      </c>
      <c r="T27" s="15">
        <f>G43</f>
        <v>4.9335484745837183E-2</v>
      </c>
    </row>
    <row r="28" spans="1:20" ht="15">
      <c r="A28" s="4" t="s">
        <v>72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54.7</v>
      </c>
      <c r="T28" s="14">
        <f>J43</f>
        <v>4.5798842841580575E-2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24.626999999999999</v>
      </c>
      <c r="T29" s="14">
        <f>F43</f>
        <v>2.0619526556848351E-2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1.0489999999999999</v>
      </c>
      <c r="T30" s="14">
        <f>E43</f>
        <v>8.7829956381751419E-4</v>
      </c>
    </row>
    <row r="31" spans="1:20" ht="15">
      <c r="A31" s="5" t="s">
        <v>38</v>
      </c>
      <c r="B31" s="9">
        <v>0</v>
      </c>
      <c r="C31" s="9">
        <v>1824</v>
      </c>
      <c r="D31" s="9">
        <v>0</v>
      </c>
      <c r="E31" s="9">
        <v>0</v>
      </c>
      <c r="F31" s="9">
        <v>186</v>
      </c>
      <c r="G31" s="9">
        <v>0</v>
      </c>
      <c r="H31" s="9">
        <v>0</v>
      </c>
      <c r="I31" s="9"/>
      <c r="J31" s="9"/>
      <c r="K31" s="9"/>
      <c r="L31" s="9"/>
      <c r="M31" s="9">
        <v>4999</v>
      </c>
      <c r="N31" s="9">
        <v>7009</v>
      </c>
      <c r="O31" s="16">
        <f>N31/N$39</f>
        <v>6.4171759481791756E-3</v>
      </c>
      <c r="P31" s="17" t="s">
        <v>39</v>
      </c>
      <c r="Q31" s="3"/>
      <c r="R31" s="3" t="s">
        <v>40</v>
      </c>
      <c r="S31" s="13">
        <f>C42/1000</f>
        <v>317.95600000000002</v>
      </c>
      <c r="T31" s="15">
        <f>C43</f>
        <v>0.26621603061311871</v>
      </c>
    </row>
    <row r="32" spans="1:20" ht="15">
      <c r="A32" s="5" t="s">
        <v>41</v>
      </c>
      <c r="B32" s="9">
        <v>153675</v>
      </c>
      <c r="C32" s="63">
        <f>N32-B32-M32-G32-F32-E32</f>
        <v>12099</v>
      </c>
      <c r="D32" s="60">
        <v>0</v>
      </c>
      <c r="E32" s="60">
        <v>1049</v>
      </c>
      <c r="F32" s="60">
        <v>397</v>
      </c>
      <c r="G32" s="63">
        <v>224</v>
      </c>
      <c r="H32" s="9">
        <v>0</v>
      </c>
      <c r="I32" s="9"/>
      <c r="J32" s="9"/>
      <c r="K32" s="9"/>
      <c r="L32" s="9"/>
      <c r="M32" s="9">
        <v>157684</v>
      </c>
      <c r="N32" s="9">
        <v>325128</v>
      </c>
      <c r="O32" s="16">
        <f>N32/N$39</f>
        <v>0.2976749296161505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31290</v>
      </c>
      <c r="C33" s="60">
        <v>228</v>
      </c>
      <c r="D33" s="60">
        <v>0</v>
      </c>
      <c r="E33" s="60">
        <v>0</v>
      </c>
      <c r="F33" s="60">
        <v>0</v>
      </c>
      <c r="G33" s="60">
        <v>0</v>
      </c>
      <c r="H33" s="9">
        <v>0</v>
      </c>
      <c r="I33" s="9"/>
      <c r="J33" s="9"/>
      <c r="K33" s="9"/>
      <c r="L33" s="9"/>
      <c r="M33" s="9">
        <v>36358</v>
      </c>
      <c r="N33" s="9">
        <v>67876</v>
      </c>
      <c r="O33" s="16">
        <f>N33/N$39</f>
        <v>6.2144704616722744E-2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60">
        <v>253218</v>
      </c>
      <c r="D34" s="60">
        <v>0</v>
      </c>
      <c r="E34" s="60">
        <v>0</v>
      </c>
      <c r="F34" s="60">
        <v>24044</v>
      </c>
      <c r="G34" s="60">
        <v>0</v>
      </c>
      <c r="H34" s="9">
        <v>0</v>
      </c>
      <c r="I34" s="9"/>
      <c r="J34" s="9"/>
      <c r="K34" s="9"/>
      <c r="L34" s="9"/>
      <c r="M34" s="9">
        <v>965</v>
      </c>
      <c r="N34" s="9">
        <v>278227</v>
      </c>
      <c r="O34" s="16">
        <f>N34/N$39</f>
        <v>0.25473414360594199</v>
      </c>
      <c r="P34" s="17" t="s">
        <v>47</v>
      </c>
      <c r="Q34" s="3"/>
      <c r="R34" s="3"/>
      <c r="S34" s="13">
        <f>SUM(S26:S33)</f>
        <v>905.35331999999994</v>
      </c>
      <c r="T34" s="14">
        <f>SUM(T26:T33)</f>
        <v>0.75802805153168573</v>
      </c>
    </row>
    <row r="35" spans="1:47" ht="15">
      <c r="A35" s="5" t="s">
        <v>48</v>
      </c>
      <c r="B35" s="9">
        <v>25183</v>
      </c>
      <c r="C35" s="60">
        <v>238</v>
      </c>
      <c r="D35" s="60">
        <v>0</v>
      </c>
      <c r="E35" s="60">
        <v>0</v>
      </c>
      <c r="F35" s="60">
        <v>0</v>
      </c>
      <c r="G35" s="60">
        <v>0</v>
      </c>
      <c r="H35" s="9">
        <v>0</v>
      </c>
      <c r="I35" s="9"/>
      <c r="J35" s="9"/>
      <c r="K35" s="9"/>
      <c r="L35" s="9"/>
      <c r="M35" s="9">
        <v>118005</v>
      </c>
      <c r="N35" s="9">
        <v>143426</v>
      </c>
      <c r="O35" s="16">
        <f>N35/N$39</f>
        <v>0.13131543409096111</v>
      </c>
      <c r="P35" s="17" t="s">
        <v>49</v>
      </c>
      <c r="Q35" s="17"/>
    </row>
    <row r="36" spans="1:47" ht="15">
      <c r="A36" s="5" t="s">
        <v>50</v>
      </c>
      <c r="B36" s="9">
        <v>20857</v>
      </c>
      <c r="C36" s="63">
        <f>N36-B36-G36-M36</f>
        <v>1649</v>
      </c>
      <c r="D36" s="60">
        <v>0</v>
      </c>
      <c r="E36" s="60">
        <v>0</v>
      </c>
      <c r="F36" s="60">
        <v>0</v>
      </c>
      <c r="G36" s="63">
        <v>31800</v>
      </c>
      <c r="H36" s="9">
        <v>0</v>
      </c>
      <c r="I36" s="9"/>
      <c r="J36" s="9"/>
      <c r="K36" s="9"/>
      <c r="L36" s="9"/>
      <c r="M36" s="9">
        <v>99963</v>
      </c>
      <c r="N36" s="9">
        <v>154269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95611</v>
      </c>
      <c r="C37" s="9">
        <v>100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17846</v>
      </c>
      <c r="N37" s="9">
        <v>113557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2734</v>
      </c>
      <c r="N38" s="9">
        <v>2734</v>
      </c>
      <c r="O38" s="17">
        <f>SUM(O31:O35)</f>
        <v>0.75228638787795554</v>
      </c>
      <c r="P38" s="17"/>
      <c r="Q38" s="3"/>
      <c r="R38" s="7" t="s">
        <v>53</v>
      </c>
      <c r="S38" s="19">
        <f>N45/1000</f>
        <v>38.131320000000002</v>
      </c>
      <c r="T38" s="7"/>
    </row>
    <row r="39" spans="1:47" ht="15">
      <c r="A39" s="5" t="s">
        <v>19</v>
      </c>
      <c r="B39" s="9">
        <v>326616</v>
      </c>
      <c r="C39" s="57">
        <f>C31+C32+C33+C34+C35+C36+C37</f>
        <v>269356</v>
      </c>
      <c r="D39" s="9">
        <v>0</v>
      </c>
      <c r="E39" s="9">
        <v>1049</v>
      </c>
      <c r="F39" s="9">
        <v>24627</v>
      </c>
      <c r="G39" s="57">
        <f>G36+G32</f>
        <v>32024</v>
      </c>
      <c r="H39" s="9">
        <v>0</v>
      </c>
      <c r="I39" s="9"/>
      <c r="J39" s="9"/>
      <c r="K39" s="9"/>
      <c r="L39" s="9"/>
      <c r="M39" s="9">
        <v>438554</v>
      </c>
      <c r="N39" s="9">
        <v>1092225</v>
      </c>
      <c r="O39" s="3"/>
      <c r="P39" s="3"/>
      <c r="Q39" s="3"/>
      <c r="R39" s="7" t="s">
        <v>54</v>
      </c>
      <c r="S39" s="20">
        <f>N41/1000</f>
        <v>270.56</v>
      </c>
      <c r="T39" s="14">
        <f>O41</f>
        <v>0.24771452768431412</v>
      </c>
    </row>
    <row r="40" spans="1:47">
      <c r="R40" s="7" t="s">
        <v>55</v>
      </c>
      <c r="S40" s="20">
        <f>N35/1000</f>
        <v>143.42599999999999</v>
      </c>
      <c r="T40" s="15">
        <f>O35</f>
        <v>0.13131543409096111</v>
      </c>
    </row>
    <row r="41" spans="1:47" ht="15">
      <c r="A41" s="21" t="s">
        <v>56</v>
      </c>
      <c r="B41" s="22">
        <f>B38+B37+B36</f>
        <v>116468</v>
      </c>
      <c r="C41" s="22">
        <f t="shared" ref="C41:N41" si="0">C38+C37+C36</f>
        <v>1749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31800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120543</v>
      </c>
      <c r="N41" s="22">
        <f t="shared" si="0"/>
        <v>270560</v>
      </c>
      <c r="O41" s="16">
        <f>N41/N$39</f>
        <v>0.24771452768431412</v>
      </c>
      <c r="P41" s="16" t="s">
        <v>57</v>
      </c>
      <c r="Q41" s="7"/>
      <c r="R41" s="7" t="s">
        <v>58</v>
      </c>
      <c r="S41" s="20">
        <f>N33/1000</f>
        <v>67.876000000000005</v>
      </c>
      <c r="T41" s="14">
        <f>O33</f>
        <v>6.2144704616722744E-2</v>
      </c>
    </row>
    <row r="42" spans="1:47" ht="15">
      <c r="A42" s="23" t="s">
        <v>59</v>
      </c>
      <c r="B42" s="22"/>
      <c r="C42" s="24">
        <f>C39+C23+C10</f>
        <v>317956</v>
      </c>
      <c r="D42" s="24">
        <f t="shared" ref="D42:L42" si="1">D39+D23+D10</f>
        <v>0</v>
      </c>
      <c r="E42" s="24">
        <f t="shared" si="1"/>
        <v>1049</v>
      </c>
      <c r="F42" s="24">
        <f t="shared" si="1"/>
        <v>24627</v>
      </c>
      <c r="G42" s="24">
        <f t="shared" si="1"/>
        <v>58924</v>
      </c>
      <c r="H42" s="24">
        <f t="shared" si="1"/>
        <v>0</v>
      </c>
      <c r="I42" s="24">
        <f t="shared" si="1"/>
        <v>0</v>
      </c>
      <c r="J42" s="24">
        <f t="shared" si="1"/>
        <v>54700</v>
      </c>
      <c r="K42" s="24">
        <f t="shared" si="1"/>
        <v>289000</v>
      </c>
      <c r="L42" s="24">
        <f t="shared" si="1"/>
        <v>0</v>
      </c>
      <c r="M42" s="24">
        <f>M39+M23-B6+M45</f>
        <v>448097.32</v>
      </c>
      <c r="N42" s="25">
        <f>SUM(C42:M42)</f>
        <v>1194353.32</v>
      </c>
      <c r="O42" s="7"/>
      <c r="P42" s="7"/>
      <c r="Q42" s="7"/>
      <c r="R42" s="7" t="s">
        <v>39</v>
      </c>
      <c r="S42" s="20">
        <f>N31/1000</f>
        <v>7.0090000000000003</v>
      </c>
      <c r="T42" s="14">
        <f>O31</f>
        <v>6.4171759481791756E-3</v>
      </c>
    </row>
    <row r="43" spans="1:47" ht="15">
      <c r="A43" s="23" t="s">
        <v>60</v>
      </c>
      <c r="B43" s="22"/>
      <c r="C43" s="16">
        <f t="shared" ref="C43:M43" si="2">C42/$N42</f>
        <v>0.26621603061311871</v>
      </c>
      <c r="D43" s="16">
        <f t="shared" si="2"/>
        <v>0</v>
      </c>
      <c r="E43" s="16">
        <f t="shared" si="2"/>
        <v>8.7829956381751419E-4</v>
      </c>
      <c r="F43" s="16">
        <f t="shared" si="2"/>
        <v>2.0619526556848351E-2</v>
      </c>
      <c r="G43" s="16">
        <f t="shared" si="2"/>
        <v>4.9335484745837183E-2</v>
      </c>
      <c r="H43" s="16">
        <f t="shared" si="2"/>
        <v>0</v>
      </c>
      <c r="I43" s="16">
        <f t="shared" si="2"/>
        <v>0</v>
      </c>
      <c r="J43" s="16">
        <f t="shared" si="2"/>
        <v>4.5798842841580575E-2</v>
      </c>
      <c r="K43" s="16">
        <f t="shared" si="2"/>
        <v>0.24197194846831421</v>
      </c>
      <c r="L43" s="16">
        <f t="shared" si="2"/>
        <v>0</v>
      </c>
      <c r="M43" s="16">
        <f t="shared" si="2"/>
        <v>0.37517986721048341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325.12799999999999</v>
      </c>
      <c r="T43" s="15">
        <f>O32</f>
        <v>0.2976749296161505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278.22699999999998</v>
      </c>
      <c r="T44" s="15">
        <f>O34</f>
        <v>0.25473414360594199</v>
      </c>
    </row>
    <row r="45" spans="1:47" ht="15">
      <c r="A45" s="6" t="s">
        <v>63</v>
      </c>
      <c r="B45" s="6">
        <f>B23-B39</f>
        <v>3047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35084.32</v>
      </c>
      <c r="N45" s="25">
        <f>B45+M45</f>
        <v>38131.32</v>
      </c>
      <c r="O45" s="7"/>
      <c r="P45" s="7"/>
      <c r="Q45" s="7"/>
      <c r="R45" s="7" t="s">
        <v>64</v>
      </c>
      <c r="S45" s="20">
        <f>SUM(S39:S44)</f>
        <v>1092.2260000000001</v>
      </c>
      <c r="T45" s="14">
        <f>SUM(T39:T44)</f>
        <v>1.0000009155622698</v>
      </c>
    </row>
    <row r="46" spans="1:47" ht="15">
      <c r="A46" s="6" t="s">
        <v>76</v>
      </c>
      <c r="B46" s="65">
        <f>B45/B23</f>
        <v>9.2427721643011194E-3</v>
      </c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ht="15">
      <c r="A47" s="4"/>
      <c r="C47"/>
      <c r="D47"/>
      <c r="E47"/>
      <c r="F4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5">
      <c r="A48" s="27"/>
      <c r="B48" s="4"/>
      <c r="C48"/>
      <c r="D48"/>
      <c r="E48"/>
      <c r="F48"/>
      <c r="G48" s="2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5">
      <c r="A49" s="27"/>
      <c r="B49" s="4"/>
      <c r="C49"/>
      <c r="D49"/>
      <c r="E49"/>
      <c r="F49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">
      <c r="A50" s="27"/>
      <c r="B50" s="4"/>
      <c r="C50"/>
      <c r="D50"/>
      <c r="E50"/>
      <c r="F50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5">
      <c r="A51" s="27"/>
      <c r="B51" s="4"/>
      <c r="C51"/>
      <c r="D51"/>
      <c r="E51"/>
      <c r="F51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5">
      <c r="A52" s="27"/>
      <c r="B52" s="4"/>
      <c r="C52"/>
      <c r="D52"/>
      <c r="E52"/>
      <c r="F52"/>
      <c r="G52" s="27"/>
      <c r="H52" s="3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37"/>
      <c r="E55" s="27"/>
      <c r="F55" s="27"/>
      <c r="G55" s="27"/>
      <c r="H55" s="3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37"/>
      <c r="E56" s="27"/>
      <c r="F56" s="27"/>
      <c r="G56" s="27"/>
      <c r="H56" s="3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 enableFormatConditionsCalculation="0"/>
  <dimension ref="A1:AU70"/>
  <sheetViews>
    <sheetView zoomScale="125" zoomScaleNormal="125" zoomScalePageLayoutView="125" workbookViewId="0">
      <selection activeCell="B23" sqref="B23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73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22147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v>22147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36497</v>
      </c>
      <c r="C18" s="9">
        <v>1502</v>
      </c>
      <c r="D18" s="9">
        <v>0</v>
      </c>
      <c r="E18" s="9">
        <v>0</v>
      </c>
      <c r="F18" s="9">
        <v>692</v>
      </c>
      <c r="G18" s="9">
        <v>34066</v>
      </c>
      <c r="H18" s="9">
        <v>0</v>
      </c>
      <c r="I18" s="9"/>
      <c r="J18" s="9"/>
      <c r="K18" s="9"/>
      <c r="L18" s="9"/>
      <c r="M18" s="9"/>
      <c r="N18" s="9">
        <v>36260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36497</v>
      </c>
      <c r="C23" s="9">
        <v>1502</v>
      </c>
      <c r="D23" s="9">
        <v>0</v>
      </c>
      <c r="E23" s="9">
        <v>0</v>
      </c>
      <c r="F23" s="9">
        <v>692</v>
      </c>
      <c r="G23" s="9">
        <v>34066</v>
      </c>
      <c r="H23" s="9">
        <v>0</v>
      </c>
      <c r="I23" s="9"/>
      <c r="J23" s="9"/>
      <c r="K23" s="9"/>
      <c r="L23" s="9"/>
      <c r="M23" s="9"/>
      <c r="N23" s="9">
        <v>36260</v>
      </c>
      <c r="O23" s="3"/>
      <c r="P23" s="3"/>
      <c r="Q23" s="3"/>
      <c r="R23" s="3" t="s">
        <v>29</v>
      </c>
      <c r="S23" s="12">
        <f>N42/1000</f>
        <v>267.11003999999997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95.297039999999996</v>
      </c>
      <c r="T26" s="14">
        <f>M43</f>
        <v>0.35677071517042191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58.454000000000001</v>
      </c>
      <c r="T27" s="15">
        <f>G43</f>
        <v>0.21883864792203245</v>
      </c>
    </row>
    <row r="28" spans="1:20" ht="15">
      <c r="A28" s="4" t="s">
        <v>73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8.9749999999999996</v>
      </c>
      <c r="T29" s="14">
        <f>F43</f>
        <v>3.3600384321008675E-2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0</v>
      </c>
      <c r="T30" s="14">
        <f>E43</f>
        <v>0</v>
      </c>
    </row>
    <row r="31" spans="1:20" ht="15">
      <c r="A31" s="5" t="s">
        <v>38</v>
      </c>
      <c r="B31" s="9">
        <v>0</v>
      </c>
      <c r="C31" s="48">
        <f>(N31-M31)*0.91</f>
        <v>2180.36</v>
      </c>
      <c r="D31" s="9">
        <v>0</v>
      </c>
      <c r="E31" s="9">
        <v>0</v>
      </c>
      <c r="F31" s="48">
        <f>(N31-M31)*0.09</f>
        <v>215.64</v>
      </c>
      <c r="G31" s="9">
        <v>0</v>
      </c>
      <c r="H31" s="9">
        <v>0</v>
      </c>
      <c r="I31" s="9"/>
      <c r="J31" s="9"/>
      <c r="K31" s="9"/>
      <c r="L31" s="9"/>
      <c r="M31" s="9">
        <v>2100</v>
      </c>
      <c r="N31" s="9">
        <v>4496</v>
      </c>
      <c r="O31" s="16">
        <f>N31/N$39</f>
        <v>1.7543038192005745E-2</v>
      </c>
      <c r="P31" s="17" t="s">
        <v>39</v>
      </c>
      <c r="Q31" s="3"/>
      <c r="R31" s="3" t="s">
        <v>40</v>
      </c>
      <c r="S31" s="13">
        <f>C42/1000</f>
        <v>104.384</v>
      </c>
      <c r="T31" s="15">
        <f>C43</f>
        <v>0.39079025258653705</v>
      </c>
    </row>
    <row r="32" spans="1:20" ht="15">
      <c r="A32" s="5" t="s">
        <v>41</v>
      </c>
      <c r="B32" s="9">
        <v>401</v>
      </c>
      <c r="C32" s="48">
        <f>C39-C31-C33-C34-C35-C36-C37</f>
        <v>17641.64</v>
      </c>
      <c r="D32" s="9">
        <v>0</v>
      </c>
      <c r="E32" s="9">
        <v>0</v>
      </c>
      <c r="F32" s="48">
        <f>F39-F31-F34</f>
        <v>1035.3599999999997</v>
      </c>
      <c r="G32" s="9">
        <v>0</v>
      </c>
      <c r="H32" s="9">
        <v>0</v>
      </c>
      <c r="I32" s="9"/>
      <c r="J32" s="9"/>
      <c r="K32" s="9"/>
      <c r="L32" s="9"/>
      <c r="M32" s="9">
        <v>6610</v>
      </c>
      <c r="N32" s="9">
        <v>25687</v>
      </c>
      <c r="O32" s="16">
        <f>N32/N$39</f>
        <v>0.1002286525885346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3260</v>
      </c>
      <c r="C33" s="9">
        <v>256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2916</v>
      </c>
      <c r="N33" s="9">
        <v>6432</v>
      </c>
      <c r="O33" s="16">
        <f>N33/N$39</f>
        <v>2.5097157840520672E-2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81504</v>
      </c>
      <c r="D34" s="9">
        <v>0</v>
      </c>
      <c r="E34" s="9">
        <v>0</v>
      </c>
      <c r="F34" s="9">
        <v>7032</v>
      </c>
      <c r="G34" s="9">
        <v>0</v>
      </c>
      <c r="H34" s="9">
        <v>0</v>
      </c>
      <c r="I34" s="9"/>
      <c r="J34" s="9"/>
      <c r="K34" s="9"/>
      <c r="L34" s="9"/>
      <c r="M34" s="9">
        <v>391</v>
      </c>
      <c r="N34" s="9">
        <v>88927</v>
      </c>
      <c r="O34" s="16">
        <f>N34/N$39</f>
        <v>0.34698615598320615</v>
      </c>
      <c r="P34" s="17" t="s">
        <v>47</v>
      </c>
      <c r="Q34" s="3"/>
      <c r="R34" s="3"/>
      <c r="S34" s="13">
        <f>SUM(S26:S33)</f>
        <v>267.11003999999997</v>
      </c>
      <c r="T34" s="14">
        <f>SUM(T26:T33)</f>
        <v>1</v>
      </c>
    </row>
    <row r="35" spans="1:47" ht="15">
      <c r="A35" s="5" t="s">
        <v>48</v>
      </c>
      <c r="B35" s="9">
        <v>9854</v>
      </c>
      <c r="C35" s="9">
        <v>388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21528</v>
      </c>
      <c r="N35" s="9">
        <v>31770</v>
      </c>
      <c r="O35" s="16">
        <f>N35/N$39</f>
        <v>0.12396403989324344</v>
      </c>
      <c r="P35" s="17" t="s">
        <v>49</v>
      </c>
      <c r="Q35" s="17"/>
    </row>
    <row r="36" spans="1:47" ht="15">
      <c r="A36" s="5" t="s">
        <v>50</v>
      </c>
      <c r="B36" s="9">
        <v>1379</v>
      </c>
      <c r="C36" s="9">
        <v>793</v>
      </c>
      <c r="D36" s="9">
        <v>0</v>
      </c>
      <c r="E36" s="9">
        <v>0</v>
      </c>
      <c r="F36" s="9">
        <v>0</v>
      </c>
      <c r="G36" s="9">
        <v>24388</v>
      </c>
      <c r="H36" s="9">
        <v>0</v>
      </c>
      <c r="I36" s="9"/>
      <c r="J36" s="9"/>
      <c r="K36" s="9"/>
      <c r="L36" s="9"/>
      <c r="M36" s="9">
        <v>44126</v>
      </c>
      <c r="N36" s="9">
        <v>70686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17600</v>
      </c>
      <c r="C37" s="9">
        <v>119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5300</v>
      </c>
      <c r="N37" s="9">
        <v>23019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5267</v>
      </c>
      <c r="N38" s="9">
        <v>5267</v>
      </c>
      <c r="O38" s="17">
        <f>SUM(O31:O35)</f>
        <v>0.61381904449751057</v>
      </c>
      <c r="P38" s="17"/>
      <c r="Q38" s="3"/>
      <c r="R38" s="7" t="s">
        <v>53</v>
      </c>
      <c r="S38" s="19">
        <f>N45/1000</f>
        <v>11.062040000000001</v>
      </c>
      <c r="T38" s="7"/>
    </row>
    <row r="39" spans="1:47" ht="15">
      <c r="A39" s="5" t="s">
        <v>19</v>
      </c>
      <c r="B39" s="9">
        <v>32494</v>
      </c>
      <c r="C39" s="9">
        <v>102882</v>
      </c>
      <c r="D39" s="9">
        <v>0</v>
      </c>
      <c r="E39" s="9">
        <v>0</v>
      </c>
      <c r="F39" s="9">
        <v>8283</v>
      </c>
      <c r="G39" s="9">
        <v>24388</v>
      </c>
      <c r="H39" s="9">
        <v>0</v>
      </c>
      <c r="I39" s="9"/>
      <c r="J39" s="9"/>
      <c r="K39" s="9"/>
      <c r="L39" s="9"/>
      <c r="M39" s="9">
        <v>88238</v>
      </c>
      <c r="N39" s="9">
        <v>256284</v>
      </c>
      <c r="O39" s="3"/>
      <c r="P39" s="3"/>
      <c r="Q39" s="3"/>
      <c r="R39" s="7" t="s">
        <v>54</v>
      </c>
      <c r="S39" s="20">
        <f>N41/1000</f>
        <v>98.971999999999994</v>
      </c>
      <c r="T39" s="14">
        <f>O41</f>
        <v>0.38618095550248943</v>
      </c>
    </row>
    <row r="40" spans="1:47">
      <c r="R40" s="7" t="s">
        <v>55</v>
      </c>
      <c r="S40" s="20">
        <f>N35/1000</f>
        <v>31.77</v>
      </c>
      <c r="T40" s="15">
        <f>O35</f>
        <v>0.12396403989324344</v>
      </c>
    </row>
    <row r="41" spans="1:47" ht="15">
      <c r="A41" s="21" t="s">
        <v>56</v>
      </c>
      <c r="B41" s="22">
        <f>B38+B37+B36</f>
        <v>18979</v>
      </c>
      <c r="C41" s="22">
        <f t="shared" ref="C41:N41" si="0">C38+C37+C36</f>
        <v>912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24388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54693</v>
      </c>
      <c r="N41" s="22">
        <f t="shared" si="0"/>
        <v>98972</v>
      </c>
      <c r="O41" s="16">
        <f>N41/N$39</f>
        <v>0.38618095550248943</v>
      </c>
      <c r="P41" s="16" t="s">
        <v>57</v>
      </c>
      <c r="Q41" s="7"/>
      <c r="R41" s="7" t="s">
        <v>58</v>
      </c>
      <c r="S41" s="20">
        <f>N33/1000</f>
        <v>6.4320000000000004</v>
      </c>
      <c r="T41" s="14">
        <f>O33</f>
        <v>2.5097157840520672E-2</v>
      </c>
    </row>
    <row r="42" spans="1:47" ht="15">
      <c r="A42" s="23" t="s">
        <v>59</v>
      </c>
      <c r="B42" s="22"/>
      <c r="C42" s="24">
        <f>C39+C23+C10</f>
        <v>104384</v>
      </c>
      <c r="D42" s="24">
        <f t="shared" ref="D42:L42" si="1">D39+D23+D10</f>
        <v>0</v>
      </c>
      <c r="E42" s="24">
        <f t="shared" si="1"/>
        <v>0</v>
      </c>
      <c r="F42" s="24">
        <f t="shared" si="1"/>
        <v>8975</v>
      </c>
      <c r="G42" s="24">
        <f t="shared" si="1"/>
        <v>58454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95297.04</v>
      </c>
      <c r="N42" s="25">
        <f>SUM(C42:M42)</f>
        <v>267110.03999999998</v>
      </c>
      <c r="O42" s="7"/>
      <c r="P42" s="7"/>
      <c r="Q42" s="7"/>
      <c r="R42" s="7" t="s">
        <v>39</v>
      </c>
      <c r="S42" s="20">
        <f>N31/1000</f>
        <v>4.4960000000000004</v>
      </c>
      <c r="T42" s="14">
        <f>O31</f>
        <v>1.7543038192005745E-2</v>
      </c>
    </row>
    <row r="43" spans="1:47" ht="15">
      <c r="A43" s="23" t="s">
        <v>60</v>
      </c>
      <c r="B43" s="22"/>
      <c r="C43" s="16">
        <f t="shared" ref="C43:M43" si="2">C42/$N42</f>
        <v>0.39079025258653705</v>
      </c>
      <c r="D43" s="16">
        <f t="shared" si="2"/>
        <v>0</v>
      </c>
      <c r="E43" s="16">
        <f t="shared" si="2"/>
        <v>0</v>
      </c>
      <c r="F43" s="16">
        <f t="shared" si="2"/>
        <v>3.3600384321008675E-2</v>
      </c>
      <c r="G43" s="16">
        <f t="shared" si="2"/>
        <v>0.21883864792203245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0.35677071517042191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25.687000000000001</v>
      </c>
      <c r="T43" s="15">
        <f>O32</f>
        <v>0.1002286525885346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88.927000000000007</v>
      </c>
      <c r="T44" s="15">
        <f>O34</f>
        <v>0.34698615598320615</v>
      </c>
    </row>
    <row r="45" spans="1:47" ht="15">
      <c r="A45" s="6" t="s">
        <v>63</v>
      </c>
      <c r="B45" s="6">
        <f>B23-B39</f>
        <v>4003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7059.04</v>
      </c>
      <c r="N45" s="25">
        <f>B45+M45</f>
        <v>11062.04</v>
      </c>
      <c r="O45" s="7"/>
      <c r="P45" s="7"/>
      <c r="Q45" s="7"/>
      <c r="R45" s="7" t="s">
        <v>64</v>
      </c>
      <c r="S45" s="20">
        <f>SUM(S39:S44)</f>
        <v>256.28399999999999</v>
      </c>
      <c r="T45" s="14">
        <f>SUM(T39:T44)</f>
        <v>1</v>
      </c>
    </row>
    <row r="46" spans="1:47" ht="15">
      <c r="A46" s="6" t="s">
        <v>76</v>
      </c>
      <c r="B46" s="43">
        <f>B45/B23</f>
        <v>0.10968024769159108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37"/>
      <c r="E47" s="27"/>
      <c r="F47" s="27"/>
      <c r="G47" s="3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37"/>
      <c r="E48" s="27"/>
      <c r="F48" s="27"/>
      <c r="G48" s="3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 enableFormatConditionsCalculation="0"/>
  <dimension ref="A1:AU70"/>
  <sheetViews>
    <sheetView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4" width="8.83203125" style="2"/>
    <col min="5" max="5" width="10.1640625" style="2" bestFit="1" customWidth="1"/>
    <col min="6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74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44">
        <v>0</v>
      </c>
      <c r="C6" s="44">
        <v>0</v>
      </c>
      <c r="D6" s="9">
        <v>0</v>
      </c>
      <c r="E6" s="9">
        <v>0</v>
      </c>
      <c r="F6" s="44">
        <v>0</v>
      </c>
      <c r="G6" s="44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49">
        <v>55466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49">
        <v>1047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49">
        <f>B8+B9</f>
        <v>56513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9">
        <v>0</v>
      </c>
      <c r="I10" s="9"/>
      <c r="J10" s="9"/>
      <c r="K10" s="9"/>
      <c r="L10" s="9"/>
      <c r="M10" s="9"/>
      <c r="N10" s="54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>
        <f>833127-Nora!B10-Karlskoga!B10-Askersund!B23-Kumla!B10-Örebro!B10-Ljusnarsberg!B10-Hällefors!B10-Degerfors!B10-Hallsberg!B10-Laxå!B10-Lekeberg!B10</f>
        <v>391524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7133</v>
      </c>
      <c r="C18" s="9">
        <v>7711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/>
      <c r="J18" s="9"/>
      <c r="K18" s="9"/>
      <c r="L18" s="9"/>
      <c r="M18" s="9"/>
      <c r="N18" s="9">
        <v>7711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105697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112830</v>
      </c>
      <c r="C23" s="9">
        <v>7711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/>
      <c r="J23" s="9"/>
      <c r="K23" s="9"/>
      <c r="L23" s="9"/>
      <c r="M23" s="9"/>
      <c r="N23" s="9">
        <v>7711</v>
      </c>
      <c r="O23" s="3"/>
      <c r="P23" s="3"/>
      <c r="Q23" s="3"/>
      <c r="R23" s="3" t="s">
        <v>29</v>
      </c>
      <c r="S23" s="12">
        <f>N42/1000</f>
        <v>2773.8513599999997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625.36536000000001</v>
      </c>
      <c r="T26" s="14">
        <f>M43</f>
        <v>0.22545020581059541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685.27200000000005</v>
      </c>
      <c r="T27" s="15">
        <f>G43</f>
        <v>0.24704712367860981</v>
      </c>
    </row>
    <row r="28" spans="1:20" ht="15">
      <c r="A28" s="4" t="s">
        <v>74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17.661999999999999</v>
      </c>
      <c r="T29" s="14">
        <f>F43</f>
        <v>6.36732027342662E-3</v>
      </c>
    </row>
    <row r="30" spans="1:20" ht="15">
      <c r="B30" s="10"/>
      <c r="C30" s="10"/>
      <c r="D30" s="10"/>
      <c r="E30" s="10"/>
      <c r="F30" s="55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48.454999999999998</v>
      </c>
      <c r="T30" s="14">
        <f>E43</f>
        <v>1.7468491894965851E-2</v>
      </c>
    </row>
    <row r="31" spans="1:20" ht="15">
      <c r="A31" s="5" t="s">
        <v>38</v>
      </c>
      <c r="B31" s="9">
        <v>0</v>
      </c>
      <c r="C31" s="9">
        <v>15953</v>
      </c>
      <c r="D31" s="9">
        <v>0</v>
      </c>
      <c r="E31" s="9">
        <v>0</v>
      </c>
      <c r="F31" s="9">
        <v>1640</v>
      </c>
      <c r="G31" s="9">
        <v>0</v>
      </c>
      <c r="H31" s="9">
        <v>0</v>
      </c>
      <c r="I31" s="9"/>
      <c r="J31" s="9"/>
      <c r="K31" s="9"/>
      <c r="L31" s="9"/>
      <c r="M31" s="9">
        <v>12359</v>
      </c>
      <c r="N31" s="9">
        <v>29952</v>
      </c>
      <c r="O31" s="16">
        <f>N31/N$39</f>
        <v>1.0627611707546235E-2</v>
      </c>
      <c r="P31" s="17" t="s">
        <v>39</v>
      </c>
      <c r="Q31" s="3"/>
      <c r="R31" s="3" t="s">
        <v>40</v>
      </c>
      <c r="S31" s="13">
        <f>C42/1000</f>
        <v>249.09700000000001</v>
      </c>
      <c r="T31" s="15">
        <f>C43</f>
        <v>8.9801855857193455E-2</v>
      </c>
    </row>
    <row r="32" spans="1:20" ht="15">
      <c r="A32" s="5" t="s">
        <v>41</v>
      </c>
      <c r="B32" s="9">
        <v>19314</v>
      </c>
      <c r="C32" s="54">
        <v>44054</v>
      </c>
      <c r="D32" s="9">
        <v>0</v>
      </c>
      <c r="E32" s="48">
        <f>N32-F32-G32-M32-C32-B32-I32</f>
        <v>48455</v>
      </c>
      <c r="F32" s="48">
        <v>0</v>
      </c>
      <c r="G32" s="48">
        <f>E53+D53</f>
        <v>619800</v>
      </c>
      <c r="H32" s="9">
        <v>0</v>
      </c>
      <c r="I32" s="9">
        <f>E52</f>
        <v>1148000</v>
      </c>
      <c r="J32" s="9"/>
      <c r="K32" s="9"/>
      <c r="L32" s="9"/>
      <c r="M32" s="54">
        <f>(570774)-167697</f>
        <v>403077</v>
      </c>
      <c r="N32" s="9">
        <v>2282700</v>
      </c>
      <c r="O32" s="16">
        <f>N32/N$39</f>
        <v>0.80995089626121097</v>
      </c>
      <c r="P32" s="17" t="s">
        <v>42</v>
      </c>
      <c r="Q32" s="3"/>
      <c r="R32" s="3" t="s">
        <v>43</v>
      </c>
      <c r="S32" s="13">
        <f>I42/1000</f>
        <v>1148</v>
      </c>
      <c r="T32" s="14">
        <f>I43</f>
        <v>0.41386500248520891</v>
      </c>
    </row>
    <row r="33" spans="1:47" ht="15">
      <c r="A33" s="5" t="s">
        <v>44</v>
      </c>
      <c r="B33" s="9">
        <v>12437</v>
      </c>
      <c r="C33" s="9">
        <v>455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25273</v>
      </c>
      <c r="N33" s="9">
        <v>38165</v>
      </c>
      <c r="O33" s="16">
        <f>N33/N$39</f>
        <v>1.3541760176899776E-2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177935</v>
      </c>
      <c r="D34" s="9">
        <v>0</v>
      </c>
      <c r="E34" s="9">
        <v>0</v>
      </c>
      <c r="F34" s="9">
        <v>16022</v>
      </c>
      <c r="G34" s="9">
        <v>0</v>
      </c>
      <c r="H34" s="9">
        <v>0</v>
      </c>
      <c r="I34" s="9"/>
      <c r="J34" s="9"/>
      <c r="K34" s="9"/>
      <c r="L34" s="9"/>
      <c r="M34" s="9">
        <v>3684</v>
      </c>
      <c r="N34" s="9">
        <v>197641</v>
      </c>
      <c r="O34" s="16">
        <f>N34/N$39</f>
        <v>7.0127263805126391E-2</v>
      </c>
      <c r="P34" s="17" t="s">
        <v>47</v>
      </c>
      <c r="Q34" s="3"/>
      <c r="R34" s="3"/>
      <c r="S34" s="13">
        <f>SUM(S26:S33)</f>
        <v>2773.8513600000001</v>
      </c>
      <c r="T34" s="14">
        <f>SUM(T26:T33)</f>
        <v>1</v>
      </c>
    </row>
    <row r="35" spans="1:47" ht="15">
      <c r="A35" s="5" t="s">
        <v>48</v>
      </c>
      <c r="B35" s="9">
        <v>16873</v>
      </c>
      <c r="C35" s="9">
        <v>1258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36508</v>
      </c>
      <c r="N35" s="9">
        <v>54639</v>
      </c>
      <c r="O35" s="16">
        <f>N35/N$39</f>
        <v>1.9387088544625359E-2</v>
      </c>
      <c r="P35" s="17" t="s">
        <v>49</v>
      </c>
      <c r="Q35" s="17"/>
    </row>
    <row r="36" spans="1:47" ht="15">
      <c r="A36" s="5" t="s">
        <v>50</v>
      </c>
      <c r="B36" s="9">
        <v>13697</v>
      </c>
      <c r="C36" s="9">
        <v>1711</v>
      </c>
      <c r="D36" s="9">
        <v>0</v>
      </c>
      <c r="E36" s="9">
        <v>0</v>
      </c>
      <c r="F36" s="9">
        <v>0</v>
      </c>
      <c r="G36" s="9">
        <v>65472</v>
      </c>
      <c r="H36" s="9">
        <v>0</v>
      </c>
      <c r="I36" s="9"/>
      <c r="J36" s="9"/>
      <c r="K36" s="9"/>
      <c r="L36" s="9"/>
      <c r="M36" s="9">
        <v>78631</v>
      </c>
      <c r="N36" s="9">
        <v>159511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36181</v>
      </c>
      <c r="C37" s="9">
        <v>20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12034</v>
      </c>
      <c r="N37" s="9">
        <v>48235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7476</v>
      </c>
      <c r="N38" s="9">
        <v>7476</v>
      </c>
      <c r="O38" s="17">
        <f>SUM(O31:O35)</f>
        <v>0.92363462049540868</v>
      </c>
      <c r="P38" s="17"/>
      <c r="Q38" s="3"/>
      <c r="R38" s="7" t="s">
        <v>53</v>
      </c>
      <c r="S38" s="19">
        <f>N45/1000</f>
        <v>60.651360000000004</v>
      </c>
      <c r="T38" s="7"/>
    </row>
    <row r="39" spans="1:47" ht="15">
      <c r="A39" s="5" t="s">
        <v>19</v>
      </c>
      <c r="B39" s="9">
        <v>98502</v>
      </c>
      <c r="C39" s="54">
        <f>SUM(C31:C38)</f>
        <v>241386</v>
      </c>
      <c r="D39" s="9">
        <v>0</v>
      </c>
      <c r="E39" s="18">
        <f>E32</f>
        <v>48455</v>
      </c>
      <c r="F39" s="18">
        <f>F34+F32+F31</f>
        <v>17662</v>
      </c>
      <c r="G39" s="18">
        <f>G36+G32</f>
        <v>685272</v>
      </c>
      <c r="H39" s="9">
        <v>0</v>
      </c>
      <c r="I39" s="9">
        <f>I32</f>
        <v>1148000</v>
      </c>
      <c r="J39" s="9"/>
      <c r="K39" s="9"/>
      <c r="L39" s="9"/>
      <c r="M39" s="54">
        <f>SUM(M31:M38)</f>
        <v>579042</v>
      </c>
      <c r="N39" s="9">
        <v>2818319</v>
      </c>
      <c r="O39" s="3"/>
      <c r="P39" s="3"/>
      <c r="Q39" s="3"/>
      <c r="R39" s="7" t="s">
        <v>54</v>
      </c>
      <c r="S39" s="20">
        <f>N41/1000</f>
        <v>215.22200000000001</v>
      </c>
      <c r="T39" s="14">
        <f>O41</f>
        <v>7.6365379504591213E-2</v>
      </c>
    </row>
    <row r="40" spans="1:47">
      <c r="R40" s="7" t="s">
        <v>55</v>
      </c>
      <c r="S40" s="20">
        <f>N35/1000</f>
        <v>54.639000000000003</v>
      </c>
      <c r="T40" s="15">
        <f>O35</f>
        <v>1.9387088544625359E-2</v>
      </c>
    </row>
    <row r="41" spans="1:47" ht="15">
      <c r="A41" s="21" t="s">
        <v>56</v>
      </c>
      <c r="B41" s="22">
        <f>B38+B37+B36</f>
        <v>49878</v>
      </c>
      <c r="C41" s="22">
        <f t="shared" ref="C41:N41" si="0">C38+C37+C36</f>
        <v>1731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65472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98141</v>
      </c>
      <c r="N41" s="22">
        <f t="shared" si="0"/>
        <v>215222</v>
      </c>
      <c r="O41" s="16">
        <f>N41/N$39</f>
        <v>7.6365379504591213E-2</v>
      </c>
      <c r="P41" s="16" t="s">
        <v>57</v>
      </c>
      <c r="Q41" s="7"/>
      <c r="R41" s="7" t="s">
        <v>58</v>
      </c>
      <c r="S41" s="20">
        <f>N33/1000</f>
        <v>38.164999999999999</v>
      </c>
      <c r="T41" s="14">
        <f>O33</f>
        <v>1.3541760176899776E-2</v>
      </c>
    </row>
    <row r="42" spans="1:47" ht="15">
      <c r="A42" s="23" t="s">
        <v>59</v>
      </c>
      <c r="B42" s="22"/>
      <c r="C42" s="24">
        <f>C39+C23+C10</f>
        <v>249097</v>
      </c>
      <c r="D42" s="24">
        <f t="shared" ref="D42:L42" si="1">D39+D23+D10</f>
        <v>0</v>
      </c>
      <c r="E42" s="24">
        <f t="shared" si="1"/>
        <v>48455</v>
      </c>
      <c r="F42" s="24">
        <f t="shared" si="1"/>
        <v>17662</v>
      </c>
      <c r="G42" s="24">
        <f t="shared" si="1"/>
        <v>685272</v>
      </c>
      <c r="H42" s="24">
        <f t="shared" si="1"/>
        <v>0</v>
      </c>
      <c r="I42" s="24">
        <f t="shared" si="1"/>
        <v>1148000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625365.36</v>
      </c>
      <c r="N42" s="25">
        <f>SUM(C42:M42)</f>
        <v>2773851.36</v>
      </c>
      <c r="O42" s="7"/>
      <c r="P42" s="7"/>
      <c r="Q42" s="7"/>
      <c r="R42" s="7" t="s">
        <v>39</v>
      </c>
      <c r="S42" s="20">
        <f>N31/1000</f>
        <v>29.952000000000002</v>
      </c>
      <c r="T42" s="14">
        <f>O31</f>
        <v>1.0627611707546235E-2</v>
      </c>
    </row>
    <row r="43" spans="1:47" ht="15">
      <c r="A43" s="23" t="s">
        <v>60</v>
      </c>
      <c r="B43" s="22"/>
      <c r="C43" s="16">
        <f t="shared" ref="C43:M43" si="2">C42/$N42</f>
        <v>8.9801855857193455E-2</v>
      </c>
      <c r="D43" s="16">
        <f t="shared" si="2"/>
        <v>0</v>
      </c>
      <c r="E43" s="16">
        <f t="shared" si="2"/>
        <v>1.7468491894965851E-2</v>
      </c>
      <c r="F43" s="16">
        <f t="shared" si="2"/>
        <v>6.36732027342662E-3</v>
      </c>
      <c r="G43" s="16">
        <f t="shared" si="2"/>
        <v>0.24704712367860981</v>
      </c>
      <c r="H43" s="16">
        <f t="shared" si="2"/>
        <v>0</v>
      </c>
      <c r="I43" s="16">
        <f t="shared" si="2"/>
        <v>0.41386500248520891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0.22545020581059541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2282.6999999999998</v>
      </c>
      <c r="T43" s="15">
        <f>O32</f>
        <v>0.80995089626121097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197.64099999999999</v>
      </c>
      <c r="T44" s="15">
        <f>O34</f>
        <v>7.0127263805126391E-2</v>
      </c>
    </row>
    <row r="45" spans="1:47" ht="15">
      <c r="A45" s="6" t="s">
        <v>63</v>
      </c>
      <c r="B45" s="6">
        <f>B23-B39</f>
        <v>14328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46323.360000000001</v>
      </c>
      <c r="N45" s="25">
        <f>B45+M45</f>
        <v>60651.360000000001</v>
      </c>
      <c r="O45" s="7"/>
      <c r="P45" s="7"/>
      <c r="Q45" s="7"/>
      <c r="R45" s="7" t="s">
        <v>64</v>
      </c>
      <c r="S45" s="20">
        <f>SUM(S39:S44)</f>
        <v>2818.319</v>
      </c>
      <c r="T45" s="14">
        <f>SUM(T39:T44)</f>
        <v>0.99999999999999989</v>
      </c>
    </row>
    <row r="46" spans="1:47" ht="15">
      <c r="A46" s="6" t="s">
        <v>76</v>
      </c>
      <c r="B46" s="43">
        <f>B45/B23</f>
        <v>0.12698750332358416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 t="s">
        <v>78</v>
      </c>
      <c r="E47" s="27" t="s">
        <v>79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6" t="s">
        <v>33</v>
      </c>
      <c r="D48" s="27"/>
      <c r="E48" s="27"/>
      <c r="F48" s="37"/>
      <c r="G48" s="3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6" t="s">
        <v>3</v>
      </c>
      <c r="D49" s="27">
        <v>2100</v>
      </c>
      <c r="E49" s="27">
        <f>18400+4100</f>
        <v>22500</v>
      </c>
      <c r="F49" s="27"/>
      <c r="G49" s="27"/>
      <c r="H49" s="27" t="s">
        <v>81</v>
      </c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3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">
      <c r="A50" s="27"/>
      <c r="B50" s="4"/>
      <c r="C50" s="6" t="s">
        <v>4</v>
      </c>
      <c r="D50" s="27"/>
      <c r="E50" s="27"/>
      <c r="F50" s="27"/>
      <c r="G50" s="27"/>
      <c r="H50" s="8" t="s">
        <v>80</v>
      </c>
      <c r="I50" s="41">
        <v>263076</v>
      </c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3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15">
      <c r="A51" s="27"/>
      <c r="B51" s="4"/>
      <c r="C51" s="6" t="s">
        <v>5</v>
      </c>
      <c r="D51" s="27"/>
      <c r="E51" s="27">
        <v>5400</v>
      </c>
      <c r="F51" s="27"/>
      <c r="G51" s="27"/>
      <c r="H51" s="8" t="s">
        <v>75</v>
      </c>
      <c r="I51" s="51">
        <v>3802</v>
      </c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3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15">
      <c r="A52" s="27"/>
      <c r="B52" s="4"/>
      <c r="C52" s="6" t="s">
        <v>34</v>
      </c>
      <c r="D52" s="27"/>
      <c r="E52" s="27">
        <f>1703000-E53</f>
        <v>1148000</v>
      </c>
      <c r="F52" s="27"/>
      <c r="G52" s="27"/>
      <c r="H52" s="8" t="s">
        <v>1</v>
      </c>
      <c r="I52" s="41">
        <v>3723</v>
      </c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3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ht="15">
      <c r="A53" s="27"/>
      <c r="B53" s="4"/>
      <c r="C53" s="6" t="s">
        <v>35</v>
      </c>
      <c r="D53" s="27">
        <v>64800</v>
      </c>
      <c r="E53" s="2">
        <v>555000</v>
      </c>
      <c r="F53" s="27"/>
      <c r="G53" s="27"/>
      <c r="H53" s="8" t="s">
        <v>65</v>
      </c>
      <c r="I53" s="41">
        <v>376</v>
      </c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3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 ht="15">
      <c r="A54" s="27"/>
      <c r="B54" s="4"/>
      <c r="C54" s="6" t="s">
        <v>8</v>
      </c>
      <c r="D54" s="27"/>
      <c r="E54" s="27"/>
      <c r="F54" s="27"/>
      <c r="G54" s="27"/>
      <c r="H54" s="8" t="s">
        <v>66</v>
      </c>
      <c r="I54" s="41">
        <v>53524</v>
      </c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3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15">
      <c r="A55" s="27"/>
      <c r="B55" s="4"/>
      <c r="C55" s="6" t="s">
        <v>6</v>
      </c>
      <c r="D55" s="27"/>
      <c r="E55" s="27"/>
      <c r="F55" s="37"/>
      <c r="G55" s="37"/>
      <c r="H55" s="8" t="s">
        <v>67</v>
      </c>
      <c r="I55" s="41">
        <v>50175</v>
      </c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3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15">
      <c r="A56" s="27"/>
      <c r="B56" s="4"/>
      <c r="C56" s="6" t="s">
        <v>10</v>
      </c>
      <c r="D56" s="27"/>
      <c r="E56" s="27"/>
      <c r="F56" s="37"/>
      <c r="G56" s="37"/>
      <c r="H56" s="8" t="s">
        <v>68</v>
      </c>
      <c r="I56" s="41">
        <v>18053</v>
      </c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3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6" t="s">
        <v>11</v>
      </c>
      <c r="D57" s="28"/>
      <c r="E57" s="28"/>
      <c r="F57" s="28"/>
      <c r="G57" s="28"/>
      <c r="H57" s="8" t="s">
        <v>69</v>
      </c>
      <c r="I57" s="41">
        <v>4303</v>
      </c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6" t="s">
        <v>12</v>
      </c>
      <c r="D58" s="28"/>
      <c r="E58" s="28"/>
      <c r="F58" s="28"/>
      <c r="G58" s="28"/>
      <c r="H58" s="8" t="s">
        <v>70</v>
      </c>
      <c r="I58" s="41">
        <v>0</v>
      </c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6" t="s">
        <v>13</v>
      </c>
      <c r="D59" s="28">
        <v>100200</v>
      </c>
      <c r="E59" s="28">
        <v>241000</v>
      </c>
      <c r="F59" s="28"/>
      <c r="G59" s="28"/>
      <c r="H59" s="8" t="s">
        <v>71</v>
      </c>
      <c r="I59" s="41">
        <v>582</v>
      </c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8" t="s">
        <v>72</v>
      </c>
      <c r="I60" s="41">
        <v>50925</v>
      </c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8" t="s">
        <v>73</v>
      </c>
      <c r="I61" s="41">
        <v>22147</v>
      </c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 ht="15">
      <c r="A62" s="7"/>
      <c r="B62" s="7"/>
      <c r="C62" s="7"/>
      <c r="D62" s="7"/>
      <c r="E62" s="7"/>
      <c r="F62" s="7"/>
      <c r="G62" s="7"/>
      <c r="H62" s="8" t="s">
        <v>74</v>
      </c>
      <c r="I62" s="51">
        <f>I50-(SUM(I51:I61))</f>
        <v>55466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 enableFormatConditionsCalculation="0"/>
  <dimension ref="A1:AO70"/>
  <sheetViews>
    <sheetView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8" t="s">
        <v>75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38">
        <v>0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0"/>
      <c r="J6" s="10"/>
      <c r="K6" s="10"/>
      <c r="L6" s="10"/>
      <c r="M6" s="10"/>
      <c r="N6" s="10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38"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0"/>
      <c r="J7" s="10"/>
      <c r="K7" s="10"/>
      <c r="L7" s="10"/>
      <c r="M7" s="10"/>
      <c r="N7" s="10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73">
        <f>B10-B9</f>
        <v>3802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10"/>
      <c r="J8" s="10"/>
      <c r="K8" s="10"/>
      <c r="L8" s="10"/>
      <c r="M8" s="10"/>
      <c r="N8" s="10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73">
        <v>930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10"/>
      <c r="J9" s="10"/>
      <c r="K9" s="10"/>
      <c r="L9" s="10"/>
      <c r="M9" s="10"/>
      <c r="N9" s="10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38">
        <v>4732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10"/>
      <c r="J10" s="10"/>
      <c r="K10" s="10"/>
      <c r="L10" s="10"/>
      <c r="M10" s="10"/>
      <c r="N10" s="10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8" t="s">
        <v>75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/>
      <c r="J17" s="40"/>
      <c r="K17" s="40"/>
      <c r="L17" s="40"/>
      <c r="M17" s="40"/>
      <c r="N17" s="40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74">
        <v>15282</v>
      </c>
      <c r="C18" s="40">
        <v>358</v>
      </c>
      <c r="D18" s="40">
        <v>0</v>
      </c>
      <c r="E18" s="40">
        <v>0</v>
      </c>
      <c r="F18" s="40">
        <v>0</v>
      </c>
      <c r="G18" s="40">
        <v>13675</v>
      </c>
      <c r="H18" s="40">
        <v>0</v>
      </c>
      <c r="I18" s="40"/>
      <c r="J18" s="40"/>
      <c r="K18" s="40"/>
      <c r="L18" s="40"/>
      <c r="M18" s="40"/>
      <c r="N18" s="40">
        <v>14033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/>
      <c r="J19" s="40"/>
      <c r="K19" s="40"/>
      <c r="L19" s="40"/>
      <c r="M19" s="46">
        <v>0</v>
      </c>
      <c r="N19" s="40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/>
      <c r="J20" s="40"/>
      <c r="K20" s="40"/>
      <c r="L20" s="40"/>
      <c r="M20" s="46">
        <v>0</v>
      </c>
      <c r="N20" s="40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/>
      <c r="J21" s="40"/>
      <c r="K21" s="40"/>
      <c r="L21" s="40"/>
      <c r="M21" s="40"/>
      <c r="N21" s="40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74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/>
      <c r="J22" s="40"/>
      <c r="K22" s="40"/>
      <c r="L22" s="40"/>
      <c r="M22" s="40"/>
      <c r="N22" s="40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40">
        <v>15282</v>
      </c>
      <c r="C23" s="40">
        <v>358</v>
      </c>
      <c r="D23" s="40">
        <v>0</v>
      </c>
      <c r="E23" s="40">
        <v>0</v>
      </c>
      <c r="F23" s="40">
        <v>0</v>
      </c>
      <c r="G23" s="40">
        <v>13675</v>
      </c>
      <c r="H23" s="40">
        <v>0</v>
      </c>
      <c r="I23" s="40"/>
      <c r="J23" s="40"/>
      <c r="K23" s="40"/>
      <c r="L23" s="40"/>
      <c r="M23" s="40"/>
      <c r="N23" s="40">
        <v>14033</v>
      </c>
      <c r="O23" s="3"/>
      <c r="P23" s="3"/>
      <c r="Q23" s="3"/>
      <c r="R23" s="3" t="s">
        <v>29</v>
      </c>
      <c r="S23" s="12">
        <f>N42/1000</f>
        <v>177.93227999999999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65.546279999999996</v>
      </c>
      <c r="T26" s="14">
        <f>M43</f>
        <v>0.3683776771702133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41.853999999999999</v>
      </c>
      <c r="T27" s="15">
        <f>G43</f>
        <v>0.23522432242199112</v>
      </c>
    </row>
    <row r="28" spans="1:20" ht="15">
      <c r="A28" s="8" t="s">
        <v>75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5.8369999999999997</v>
      </c>
      <c r="T29" s="14">
        <f>F43</f>
        <v>3.2804615328933008E-2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0</v>
      </c>
      <c r="T30" s="14">
        <f>E43</f>
        <v>0</v>
      </c>
    </row>
    <row r="31" spans="1:20" ht="15">
      <c r="A31" s="5" t="s">
        <v>38</v>
      </c>
      <c r="B31" s="38">
        <v>0</v>
      </c>
      <c r="C31" s="73">
        <f>(N31-M31)*0.91</f>
        <v>9156.42</v>
      </c>
      <c r="D31" s="38">
        <v>0</v>
      </c>
      <c r="E31" s="38">
        <v>0</v>
      </c>
      <c r="F31" s="73">
        <f>(N31-M31)*0.09</f>
        <v>905.57999999999993</v>
      </c>
      <c r="G31" s="38">
        <v>0</v>
      </c>
      <c r="H31" s="38">
        <v>0</v>
      </c>
      <c r="I31" s="38"/>
      <c r="J31" s="38"/>
      <c r="K31" s="38"/>
      <c r="L31" s="40"/>
      <c r="M31" s="38">
        <v>8558</v>
      </c>
      <c r="N31" s="38">
        <v>18620</v>
      </c>
      <c r="O31" s="16">
        <f>N31/N$39</f>
        <v>0.10769106198887231</v>
      </c>
      <c r="P31" s="17" t="s">
        <v>39</v>
      </c>
      <c r="Q31" s="3"/>
      <c r="R31" s="3" t="s">
        <v>40</v>
      </c>
      <c r="S31" s="13">
        <f>C42/1000</f>
        <v>64.694999999999993</v>
      </c>
      <c r="T31" s="15">
        <f>C43</f>
        <v>0.36359338507886257</v>
      </c>
    </row>
    <row r="32" spans="1:20" ht="15">
      <c r="A32" s="5" t="s">
        <v>41</v>
      </c>
      <c r="B32" s="38">
        <v>1168</v>
      </c>
      <c r="C32" s="73">
        <f>N32-B32-F32-G32-M32</f>
        <v>2340.58</v>
      </c>
      <c r="D32" s="38">
        <v>0</v>
      </c>
      <c r="E32" s="38">
        <v>0</v>
      </c>
      <c r="F32" s="73">
        <f>F39-F34-F31</f>
        <v>133.42000000000007</v>
      </c>
      <c r="G32" s="73">
        <v>79</v>
      </c>
      <c r="H32" s="38">
        <v>0</v>
      </c>
      <c r="I32" s="38"/>
      <c r="J32" s="38"/>
      <c r="K32" s="38"/>
      <c r="L32" s="40"/>
      <c r="M32" s="38">
        <v>9168</v>
      </c>
      <c r="N32" s="38">
        <v>12889</v>
      </c>
      <c r="O32" s="16">
        <f>N32/N$39</f>
        <v>7.4545118043747319E-2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1" ht="15">
      <c r="A33" s="5" t="s">
        <v>44</v>
      </c>
      <c r="B33" s="38">
        <v>3400</v>
      </c>
      <c r="C33" s="38">
        <v>292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/>
      <c r="J33" s="38"/>
      <c r="K33" s="38"/>
      <c r="L33" s="40"/>
      <c r="M33" s="38">
        <v>2244</v>
      </c>
      <c r="N33" s="38">
        <v>5936</v>
      </c>
      <c r="O33" s="16">
        <f>N33/N$39</f>
        <v>3.4331586679159296E-2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1" ht="15">
      <c r="A34" s="5" t="s">
        <v>46</v>
      </c>
      <c r="B34" s="38">
        <v>0</v>
      </c>
      <c r="C34" s="38">
        <v>51676</v>
      </c>
      <c r="D34" s="38">
        <v>0</v>
      </c>
      <c r="E34" s="38">
        <v>0</v>
      </c>
      <c r="F34" s="38">
        <v>4798</v>
      </c>
      <c r="G34" s="38">
        <v>0</v>
      </c>
      <c r="H34" s="38">
        <v>0</v>
      </c>
      <c r="I34" s="38"/>
      <c r="J34" s="38"/>
      <c r="K34" s="38"/>
      <c r="L34" s="40"/>
      <c r="M34" s="38">
        <v>25</v>
      </c>
      <c r="N34" s="38">
        <v>56500</v>
      </c>
      <c r="O34" s="16">
        <f>N34/N$39</f>
        <v>0.32677470474604109</v>
      </c>
      <c r="P34" s="17" t="s">
        <v>47</v>
      </c>
      <c r="Q34" s="3"/>
      <c r="R34" s="3"/>
      <c r="S34" s="13">
        <f>SUM(S26:S33)</f>
        <v>177.93227999999999</v>
      </c>
      <c r="T34" s="14">
        <f>SUM(T26:T33)</f>
        <v>1</v>
      </c>
    </row>
    <row r="35" spans="1:41" ht="15">
      <c r="A35" s="5" t="s">
        <v>48</v>
      </c>
      <c r="B35" s="38">
        <v>858</v>
      </c>
      <c r="C35" s="38">
        <v>171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/>
      <c r="J35" s="38"/>
      <c r="K35" s="38"/>
      <c r="L35" s="40"/>
      <c r="M35" s="38">
        <v>8316</v>
      </c>
      <c r="N35" s="38">
        <v>9345</v>
      </c>
      <c r="O35" s="16">
        <f>N35/N$39</f>
        <v>5.4047957802685911E-2</v>
      </c>
      <c r="P35" s="17" t="s">
        <v>49</v>
      </c>
      <c r="Q35" s="17"/>
    </row>
    <row r="36" spans="1:41" ht="15">
      <c r="A36" s="5" t="s">
        <v>50</v>
      </c>
      <c r="B36" s="38">
        <v>2850</v>
      </c>
      <c r="C36" s="73">
        <f>N36-B36-G36-M36</f>
        <v>658</v>
      </c>
      <c r="D36" s="38">
        <v>0</v>
      </c>
      <c r="E36" s="38">
        <v>0</v>
      </c>
      <c r="F36" s="38">
        <v>0</v>
      </c>
      <c r="G36" s="73">
        <v>28100</v>
      </c>
      <c r="H36" s="38">
        <v>0</v>
      </c>
      <c r="I36" s="38"/>
      <c r="J36" s="38"/>
      <c r="K36" s="38"/>
      <c r="L36" s="40"/>
      <c r="M36" s="38">
        <v>26835</v>
      </c>
      <c r="N36" s="38">
        <v>58443</v>
      </c>
      <c r="O36" s="17"/>
      <c r="P36" s="17"/>
      <c r="Q36" s="3"/>
      <c r="R36" s="7"/>
      <c r="S36" s="7"/>
      <c r="T36" s="7"/>
    </row>
    <row r="37" spans="1:41" ht="15">
      <c r="A37" s="5" t="s">
        <v>51</v>
      </c>
      <c r="B37" s="38">
        <v>5582</v>
      </c>
      <c r="C37" s="38">
        <v>43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/>
      <c r="J37" s="38"/>
      <c r="K37" s="38"/>
      <c r="L37" s="40"/>
      <c r="M37" s="38">
        <v>1360</v>
      </c>
      <c r="N37" s="38">
        <v>6985</v>
      </c>
      <c r="O37" s="17"/>
      <c r="P37" s="17"/>
      <c r="Q37" s="3"/>
      <c r="R37" s="7"/>
      <c r="S37" s="7" t="s">
        <v>30</v>
      </c>
      <c r="T37" s="7" t="s">
        <v>31</v>
      </c>
    </row>
    <row r="38" spans="1:41" ht="15">
      <c r="A38" s="5" t="s">
        <v>52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/>
      <c r="J38" s="38"/>
      <c r="K38" s="38"/>
      <c r="L38" s="40"/>
      <c r="M38" s="38">
        <v>4185</v>
      </c>
      <c r="N38" s="38">
        <v>4185</v>
      </c>
      <c r="O38" s="17">
        <f>SUM(O31:O35)</f>
        <v>0.5973904292605059</v>
      </c>
      <c r="P38" s="17"/>
      <c r="Q38" s="3"/>
      <c r="R38" s="7" t="s">
        <v>53</v>
      </c>
      <c r="S38" s="19">
        <f>N45/1000</f>
        <v>6.27928</v>
      </c>
      <c r="T38" s="7"/>
    </row>
    <row r="39" spans="1:41" ht="15">
      <c r="A39" s="5" t="s">
        <v>19</v>
      </c>
      <c r="B39" s="38">
        <v>13858</v>
      </c>
      <c r="C39" s="73">
        <f>SUM(C31:C38)</f>
        <v>64337</v>
      </c>
      <c r="D39" s="38">
        <v>0</v>
      </c>
      <c r="E39" s="38">
        <v>0</v>
      </c>
      <c r="F39" s="38">
        <v>5837</v>
      </c>
      <c r="G39" s="73">
        <f>G36+G32</f>
        <v>28179</v>
      </c>
      <c r="H39" s="38">
        <v>0</v>
      </c>
      <c r="I39" s="38"/>
      <c r="J39" s="38"/>
      <c r="K39" s="38"/>
      <c r="L39" s="40"/>
      <c r="M39" s="38">
        <v>60691</v>
      </c>
      <c r="N39" s="38">
        <v>172902</v>
      </c>
      <c r="O39" s="3"/>
      <c r="P39" s="3"/>
      <c r="Q39" s="3"/>
      <c r="R39" s="7" t="s">
        <v>54</v>
      </c>
      <c r="S39" s="20">
        <f>N41/1000</f>
        <v>69.613</v>
      </c>
      <c r="T39" s="14">
        <f>O41</f>
        <v>0.40261535436258689</v>
      </c>
    </row>
    <row r="40" spans="1:41">
      <c r="R40" s="7" t="s">
        <v>55</v>
      </c>
      <c r="S40" s="20">
        <f>N35/1000</f>
        <v>9.3450000000000006</v>
      </c>
      <c r="T40" s="15">
        <f>O35</f>
        <v>5.4047957802685911E-2</v>
      </c>
    </row>
    <row r="41" spans="1:41" ht="15">
      <c r="A41" s="21" t="s">
        <v>56</v>
      </c>
      <c r="B41" s="22">
        <f>B38+B37+B36</f>
        <v>8432</v>
      </c>
      <c r="C41" s="22">
        <f t="shared" ref="C41:N41" si="0">C38+C37+C36</f>
        <v>701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28100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32380</v>
      </c>
      <c r="N41" s="22">
        <f t="shared" si="0"/>
        <v>69613</v>
      </c>
      <c r="O41" s="16">
        <f>N41/N$39</f>
        <v>0.40261535436258689</v>
      </c>
      <c r="P41" s="16" t="s">
        <v>57</v>
      </c>
      <c r="Q41" s="7"/>
      <c r="R41" s="7" t="s">
        <v>58</v>
      </c>
      <c r="S41" s="20">
        <f>N33/1000</f>
        <v>5.9359999999999999</v>
      </c>
      <c r="T41" s="14">
        <f>O33</f>
        <v>3.4331586679159296E-2</v>
      </c>
    </row>
    <row r="42" spans="1:41" ht="15">
      <c r="A42" s="23" t="s">
        <v>59</v>
      </c>
      <c r="B42" s="22"/>
      <c r="C42" s="24">
        <f>C39+C23+C10</f>
        <v>64695</v>
      </c>
      <c r="D42" s="24">
        <f t="shared" ref="D42:L42" si="1">D39+D23+D10</f>
        <v>0</v>
      </c>
      <c r="E42" s="24">
        <f t="shared" si="1"/>
        <v>0</v>
      </c>
      <c r="F42" s="24">
        <f t="shared" si="1"/>
        <v>5837</v>
      </c>
      <c r="G42" s="24">
        <f t="shared" si="1"/>
        <v>41854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65546.28</v>
      </c>
      <c r="N42" s="25">
        <f>SUM(C42:M42)</f>
        <v>177932.28</v>
      </c>
      <c r="O42" s="7"/>
      <c r="P42" s="7"/>
      <c r="Q42" s="7"/>
      <c r="R42" s="7" t="s">
        <v>39</v>
      </c>
      <c r="S42" s="20">
        <f>N31/1000</f>
        <v>18.62</v>
      </c>
      <c r="T42" s="14">
        <f>O31</f>
        <v>0.10769106198887231</v>
      </c>
    </row>
    <row r="43" spans="1:41" ht="15">
      <c r="A43" s="23" t="s">
        <v>60</v>
      </c>
      <c r="B43" s="22"/>
      <c r="C43" s="16">
        <f t="shared" ref="C43:M43" si="2">C42/$N42</f>
        <v>0.36359338507886257</v>
      </c>
      <c r="D43" s="16">
        <f t="shared" si="2"/>
        <v>0</v>
      </c>
      <c r="E43" s="16">
        <f t="shared" si="2"/>
        <v>0</v>
      </c>
      <c r="F43" s="16">
        <f t="shared" si="2"/>
        <v>3.2804615328933008E-2</v>
      </c>
      <c r="G43" s="16">
        <f t="shared" si="2"/>
        <v>0.23522432242199112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0.3683776771702133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12.888999999999999</v>
      </c>
      <c r="T43" s="15">
        <f>O32</f>
        <v>7.4545118043747319E-2</v>
      </c>
    </row>
    <row r="44" spans="1:4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56.5</v>
      </c>
      <c r="T44" s="15">
        <f>O34</f>
        <v>0.32677470474604109</v>
      </c>
    </row>
    <row r="45" spans="1:41" ht="15">
      <c r="A45" s="6" t="s">
        <v>63</v>
      </c>
      <c r="B45" s="6">
        <f>B23-B39</f>
        <v>1424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4855.28</v>
      </c>
      <c r="N45" s="25">
        <f>B45+M45</f>
        <v>6279.28</v>
      </c>
      <c r="O45" s="7"/>
      <c r="P45" s="7"/>
      <c r="Q45" s="7"/>
      <c r="R45" s="7" t="s">
        <v>64</v>
      </c>
      <c r="S45" s="20">
        <f>SUM(S39:S44)</f>
        <v>172.90300000000002</v>
      </c>
      <c r="T45" s="14">
        <f>SUM(T39:T44)</f>
        <v>1.0000057836230929</v>
      </c>
    </row>
    <row r="46" spans="1:41" ht="15">
      <c r="A46" s="6" t="s">
        <v>76</v>
      </c>
      <c r="B46" s="65">
        <f>B45/B23</f>
        <v>9.3181520743358198E-2</v>
      </c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1" ht="15">
      <c r="A47" s="8"/>
      <c r="B47" s="8"/>
      <c r="C47" s="38"/>
      <c r="D47" s="39"/>
      <c r="E47" s="38"/>
      <c r="F47" s="38"/>
      <c r="G47" s="39"/>
      <c r="H47" s="38"/>
      <c r="I47" s="38"/>
      <c r="J47" s="38"/>
      <c r="K47" s="38"/>
      <c r="L47" s="38"/>
      <c r="M47" s="41"/>
      <c r="N47" s="38"/>
      <c r="O47" s="38"/>
      <c r="P47" s="41"/>
      <c r="Q47" s="8"/>
      <c r="R47" s="8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1"/>
      <c r="AG47" s="8"/>
      <c r="AH47" s="8"/>
      <c r="AI47" s="38"/>
      <c r="AJ47" s="38"/>
      <c r="AK47" s="38"/>
      <c r="AL47" s="38"/>
      <c r="AM47" s="38"/>
      <c r="AN47" s="38"/>
      <c r="AO47" s="38"/>
    </row>
    <row r="48" spans="1:41" ht="15">
      <c r="A48" s="41"/>
      <c r="B48" s="8"/>
      <c r="C48" s="38"/>
      <c r="D48" s="39"/>
      <c r="E48" s="38"/>
      <c r="F48" s="38"/>
      <c r="G48" s="39"/>
      <c r="H48" s="39"/>
      <c r="I48" s="38"/>
      <c r="J48" s="38"/>
      <c r="K48" s="38"/>
      <c r="L48" s="38"/>
      <c r="M48" s="41"/>
      <c r="N48" s="38"/>
      <c r="O48" s="38"/>
      <c r="P48" s="41"/>
      <c r="Q48" s="41"/>
      <c r="R48" s="8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1"/>
      <c r="AG48" s="41"/>
      <c r="AH48" s="8"/>
      <c r="AI48" s="38"/>
      <c r="AJ48" s="38"/>
      <c r="AK48" s="38"/>
      <c r="AL48" s="38"/>
      <c r="AM48" s="38"/>
      <c r="AN48" s="38"/>
      <c r="AO48" s="38"/>
    </row>
    <row r="49" spans="1:41" ht="15">
      <c r="A49" s="41"/>
      <c r="B49" s="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8"/>
      <c r="P49" s="41"/>
      <c r="Q49" s="41"/>
      <c r="R49" s="8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1"/>
      <c r="AG49" s="41"/>
      <c r="AH49" s="8"/>
      <c r="AI49" s="39"/>
      <c r="AJ49" s="38"/>
      <c r="AK49" s="38"/>
      <c r="AL49" s="38"/>
      <c r="AM49" s="38"/>
      <c r="AN49" s="38"/>
      <c r="AO49" s="38"/>
    </row>
    <row r="50" spans="1:41" ht="15">
      <c r="A50" s="41"/>
      <c r="B50" s="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41"/>
      <c r="N50" s="38"/>
      <c r="O50" s="38"/>
      <c r="P50" s="41"/>
      <c r="Q50" s="41"/>
      <c r="R50" s="8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1"/>
      <c r="AG50" s="41"/>
      <c r="AH50" s="8"/>
      <c r="AI50" s="39"/>
      <c r="AJ50" s="38"/>
      <c r="AK50" s="38"/>
      <c r="AL50" s="38"/>
      <c r="AM50" s="38"/>
      <c r="AN50" s="38"/>
      <c r="AO50" s="38"/>
    </row>
    <row r="51" spans="1:41" ht="15">
      <c r="A51" s="41"/>
      <c r="B51" s="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8"/>
      <c r="P51" s="41"/>
      <c r="Q51" s="41"/>
      <c r="R51" s="8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1"/>
      <c r="AG51" s="41"/>
      <c r="AH51" s="8"/>
      <c r="AI51" s="38"/>
      <c r="AJ51" s="38"/>
      <c r="AK51" s="38"/>
      <c r="AL51" s="38"/>
      <c r="AM51" s="38"/>
      <c r="AN51" s="38"/>
      <c r="AO51" s="38"/>
    </row>
    <row r="52" spans="1:41" ht="15">
      <c r="A52" s="41"/>
      <c r="B52" s="8"/>
      <c r="C52" s="38"/>
      <c r="D52" s="39"/>
      <c r="E52" s="38"/>
      <c r="F52" s="38"/>
      <c r="G52" s="38"/>
      <c r="H52" s="39"/>
      <c r="I52" s="38"/>
      <c r="J52" s="38"/>
      <c r="K52" s="38"/>
      <c r="L52" s="38"/>
      <c r="M52" s="41"/>
      <c r="N52" s="38"/>
      <c r="O52" s="38"/>
      <c r="P52" s="41"/>
      <c r="Q52" s="41"/>
      <c r="R52" s="8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1"/>
      <c r="AG52" s="41"/>
      <c r="AH52" s="8"/>
      <c r="AI52" s="38"/>
      <c r="AJ52" s="38"/>
      <c r="AK52" s="38"/>
      <c r="AL52" s="38"/>
      <c r="AM52" s="38"/>
      <c r="AN52" s="38"/>
      <c r="AO52" s="38"/>
    </row>
    <row r="53" spans="1:41" ht="15">
      <c r="A53" s="41"/>
      <c r="B53" s="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1"/>
      <c r="N53" s="38"/>
      <c r="O53" s="38"/>
      <c r="P53" s="41"/>
      <c r="Q53" s="41"/>
      <c r="R53" s="8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1"/>
      <c r="AG53" s="41"/>
      <c r="AH53" s="8"/>
      <c r="AI53" s="38"/>
      <c r="AJ53" s="38"/>
      <c r="AK53" s="38"/>
      <c r="AL53" s="38"/>
      <c r="AM53" s="38"/>
      <c r="AN53" s="38"/>
      <c r="AO53" s="38"/>
    </row>
    <row r="54" spans="1:41" ht="15">
      <c r="A54" s="41"/>
      <c r="B54" s="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41"/>
      <c r="N54" s="38"/>
      <c r="O54" s="38"/>
      <c r="P54" s="41"/>
      <c r="Q54" s="41"/>
      <c r="R54" s="8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1"/>
      <c r="AG54" s="41"/>
      <c r="AH54" s="8"/>
      <c r="AI54" s="38"/>
      <c r="AJ54" s="38"/>
      <c r="AK54" s="38"/>
      <c r="AL54" s="38"/>
      <c r="AM54" s="38"/>
      <c r="AN54" s="38"/>
      <c r="AO54" s="38"/>
    </row>
    <row r="55" spans="1:41" ht="15">
      <c r="A55" s="41"/>
      <c r="B55" s="8"/>
      <c r="C55" s="38"/>
      <c r="D55" s="39"/>
      <c r="E55" s="38"/>
      <c r="F55" s="38"/>
      <c r="G55" s="38"/>
      <c r="H55" s="39"/>
      <c r="I55" s="38"/>
      <c r="J55" s="38"/>
      <c r="K55" s="38"/>
      <c r="L55" s="38"/>
      <c r="M55" s="41"/>
      <c r="N55" s="38"/>
      <c r="O55" s="38"/>
      <c r="P55" s="41"/>
      <c r="Q55" s="41"/>
      <c r="R55" s="8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1"/>
      <c r="AG55" s="41"/>
      <c r="AH55" s="8"/>
      <c r="AI55" s="38"/>
      <c r="AJ55" s="38"/>
      <c r="AK55" s="38"/>
      <c r="AL55" s="38"/>
      <c r="AM55" s="38"/>
      <c r="AN55" s="38"/>
      <c r="AO55" s="38"/>
    </row>
    <row r="56" spans="1:41" ht="15">
      <c r="A56" s="41"/>
      <c r="B56" s="8"/>
      <c r="C56" s="38"/>
      <c r="D56" s="39"/>
      <c r="E56" s="38"/>
      <c r="F56" s="38"/>
      <c r="G56" s="38"/>
      <c r="H56" s="39"/>
      <c r="I56" s="38"/>
      <c r="J56" s="38"/>
      <c r="K56" s="38"/>
      <c r="L56" s="38"/>
      <c r="M56" s="41"/>
      <c r="N56" s="38"/>
      <c r="O56" s="38"/>
      <c r="P56" s="41"/>
      <c r="Q56" s="41"/>
      <c r="R56" s="8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1"/>
      <c r="AG56" s="41"/>
      <c r="AH56" s="8"/>
      <c r="AI56" s="38"/>
      <c r="AJ56" s="38"/>
      <c r="AK56" s="38"/>
      <c r="AL56" s="38"/>
      <c r="AM56" s="38"/>
      <c r="AN56" s="38"/>
      <c r="AO56" s="38"/>
    </row>
    <row r="57" spans="1:41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1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1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1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1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1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1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 enableFormatConditionsCalculation="0"/>
  <dimension ref="A1:AU70"/>
  <sheetViews>
    <sheetView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1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3723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v>3723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33961</v>
      </c>
      <c r="C18" s="9">
        <v>1284</v>
      </c>
      <c r="D18" s="9">
        <v>0</v>
      </c>
      <c r="E18" s="9">
        <v>0</v>
      </c>
      <c r="F18" s="9">
        <v>0</v>
      </c>
      <c r="G18" s="9">
        <v>36571</v>
      </c>
      <c r="H18" s="9">
        <v>0</v>
      </c>
      <c r="I18" s="9"/>
      <c r="J18" s="9"/>
      <c r="K18" s="9"/>
      <c r="L18" s="9"/>
      <c r="M18" s="9"/>
      <c r="N18" s="9">
        <v>37854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33961</v>
      </c>
      <c r="C23" s="9">
        <v>1284</v>
      </c>
      <c r="D23" s="9">
        <v>0</v>
      </c>
      <c r="E23" s="9">
        <v>0</v>
      </c>
      <c r="F23" s="9">
        <v>0</v>
      </c>
      <c r="G23" s="9">
        <v>36571</v>
      </c>
      <c r="H23" s="9">
        <v>0</v>
      </c>
      <c r="I23" s="9"/>
      <c r="J23" s="9"/>
      <c r="K23" s="9"/>
      <c r="L23" s="9"/>
      <c r="M23" s="9"/>
      <c r="N23" s="9">
        <v>37854</v>
      </c>
      <c r="O23" s="3"/>
      <c r="P23" s="3"/>
      <c r="Q23" s="3"/>
      <c r="R23" s="3" t="s">
        <v>29</v>
      </c>
      <c r="S23" s="12">
        <f>N42/1000</f>
        <v>342.33368000000002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102.10968</v>
      </c>
      <c r="T26" s="14">
        <f>M43</f>
        <v>0.29827529678061476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92.674999999999997</v>
      </c>
      <c r="T27" s="15">
        <f>G43</f>
        <v>0.27071540258615512</v>
      </c>
    </row>
    <row r="28" spans="1:20" ht="15">
      <c r="A28" s="4" t="s">
        <v>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12.917</v>
      </c>
      <c r="T29" s="14">
        <f>F43</f>
        <v>3.7732191585706669E-2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0</v>
      </c>
      <c r="T30" s="14">
        <f>E43</f>
        <v>0</v>
      </c>
    </row>
    <row r="31" spans="1:20" ht="15">
      <c r="A31" s="5" t="s">
        <v>38</v>
      </c>
      <c r="B31" s="9">
        <v>0</v>
      </c>
      <c r="C31" s="9">
        <v>2384</v>
      </c>
      <c r="D31" s="9">
        <v>0</v>
      </c>
      <c r="E31" s="9">
        <v>0</v>
      </c>
      <c r="F31" s="9">
        <v>236</v>
      </c>
      <c r="G31" s="9">
        <v>0</v>
      </c>
      <c r="H31" s="9">
        <v>0</v>
      </c>
      <c r="I31" s="9"/>
      <c r="J31" s="9"/>
      <c r="K31" s="9"/>
      <c r="L31" s="9"/>
      <c r="M31" s="9">
        <v>986</v>
      </c>
      <c r="N31" s="9">
        <v>3606</v>
      </c>
      <c r="O31" s="16">
        <f>N31/N$39</f>
        <v>1.1035284756862626E-2</v>
      </c>
      <c r="P31" s="17" t="s">
        <v>39</v>
      </c>
      <c r="Q31" s="3"/>
      <c r="R31" s="3" t="s">
        <v>40</v>
      </c>
      <c r="S31" s="13">
        <f>C42/1000</f>
        <v>134.63200000000001</v>
      </c>
      <c r="T31" s="15">
        <f>C43</f>
        <v>0.39327710904752344</v>
      </c>
    </row>
    <row r="32" spans="1:20" ht="15">
      <c r="A32" s="5" t="s">
        <v>41</v>
      </c>
      <c r="B32" s="9">
        <v>10304</v>
      </c>
      <c r="C32" s="9">
        <v>2135</v>
      </c>
      <c r="D32" s="9">
        <v>0</v>
      </c>
      <c r="E32" s="9">
        <v>0</v>
      </c>
      <c r="F32" s="9">
        <v>142</v>
      </c>
      <c r="G32" s="63">
        <f>N32-F32-C32-B32-M32</f>
        <v>43604</v>
      </c>
      <c r="H32" s="9">
        <v>0</v>
      </c>
      <c r="I32" s="9"/>
      <c r="J32" s="9"/>
      <c r="K32" s="9"/>
      <c r="L32" s="9"/>
      <c r="M32" s="9">
        <v>44231</v>
      </c>
      <c r="N32" s="63">
        <v>100416</v>
      </c>
      <c r="O32" s="16">
        <f>N32/N$39</f>
        <v>0.30729871163203476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4752</v>
      </c>
      <c r="C33" s="9">
        <v>183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2821</v>
      </c>
      <c r="N33" s="9">
        <v>7756</v>
      </c>
      <c r="O33" s="16">
        <f>N33/N$39</f>
        <v>2.3735349022248064E-2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127954</v>
      </c>
      <c r="D34" s="9">
        <v>0</v>
      </c>
      <c r="E34" s="9">
        <v>0</v>
      </c>
      <c r="F34" s="9">
        <v>12540</v>
      </c>
      <c r="G34" s="9">
        <v>0</v>
      </c>
      <c r="H34" s="9">
        <v>0</v>
      </c>
      <c r="I34" s="9"/>
      <c r="J34" s="9"/>
      <c r="K34" s="9"/>
      <c r="L34" s="9"/>
      <c r="M34" s="9">
        <v>130</v>
      </c>
      <c r="N34" s="9">
        <v>140624</v>
      </c>
      <c r="O34" s="16">
        <f>N34/N$39</f>
        <v>0.4303455029531475</v>
      </c>
      <c r="P34" s="17" t="s">
        <v>47</v>
      </c>
      <c r="Q34" s="3"/>
      <c r="R34" s="3"/>
      <c r="S34" s="13">
        <f>SUM(S26:S33)</f>
        <v>342.33367999999996</v>
      </c>
      <c r="T34" s="14">
        <f>SUM(T26:T33)</f>
        <v>1</v>
      </c>
    </row>
    <row r="35" spans="1:47" ht="15">
      <c r="A35" s="5" t="s">
        <v>48</v>
      </c>
      <c r="B35" s="9">
        <v>3436</v>
      </c>
      <c r="C35" s="9">
        <v>117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17418</v>
      </c>
      <c r="N35" s="9">
        <v>20971</v>
      </c>
      <c r="O35" s="16">
        <f>N35/N$39</f>
        <v>6.4176638002264585E-2</v>
      </c>
      <c r="P35" s="17" t="s">
        <v>49</v>
      </c>
      <c r="Q35" s="17"/>
    </row>
    <row r="36" spans="1:47" ht="15">
      <c r="A36" s="5" t="s">
        <v>50</v>
      </c>
      <c r="B36" s="9">
        <v>2119</v>
      </c>
      <c r="C36" s="9">
        <v>396</v>
      </c>
      <c r="D36" s="9">
        <v>0</v>
      </c>
      <c r="E36" s="9">
        <v>0</v>
      </c>
      <c r="F36" s="9">
        <v>0</v>
      </c>
      <c r="G36" s="9">
        <v>12500</v>
      </c>
      <c r="H36" s="9">
        <v>0</v>
      </c>
      <c r="I36" s="9"/>
      <c r="J36" s="9"/>
      <c r="K36" s="9"/>
      <c r="L36" s="9"/>
      <c r="M36" s="9">
        <v>26374</v>
      </c>
      <c r="N36" s="9">
        <v>41389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9244</v>
      </c>
      <c r="C37" s="9">
        <v>178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2122</v>
      </c>
      <c r="N37" s="9">
        <v>11544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463</v>
      </c>
      <c r="N38" s="9">
        <v>463</v>
      </c>
      <c r="O38" s="17">
        <f>SUM(O31:O35)</f>
        <v>0.83659148636655756</v>
      </c>
      <c r="P38" s="17"/>
      <c r="Q38" s="3"/>
      <c r="R38" s="7" t="s">
        <v>53</v>
      </c>
      <c r="S38" s="19">
        <f>N45/1000</f>
        <v>11.66968</v>
      </c>
      <c r="T38" s="7"/>
    </row>
    <row r="39" spans="1:47" ht="15">
      <c r="A39" s="5" t="s">
        <v>19</v>
      </c>
      <c r="B39" s="9">
        <v>29855</v>
      </c>
      <c r="C39" s="9">
        <v>133348</v>
      </c>
      <c r="D39" s="9">
        <v>0</v>
      </c>
      <c r="E39" s="9">
        <v>0</v>
      </c>
      <c r="F39" s="9">
        <v>12917</v>
      </c>
      <c r="G39" s="63">
        <f>G36+G32</f>
        <v>56104</v>
      </c>
      <c r="H39" s="9">
        <v>0</v>
      </c>
      <c r="I39" s="9"/>
      <c r="J39" s="9"/>
      <c r="K39" s="9"/>
      <c r="L39" s="9"/>
      <c r="M39" s="9">
        <v>94546</v>
      </c>
      <c r="N39" s="63">
        <f>SUM(B39:M39)</f>
        <v>326770</v>
      </c>
      <c r="O39" s="3"/>
      <c r="P39" s="3"/>
      <c r="Q39" s="3"/>
      <c r="R39" s="7" t="s">
        <v>54</v>
      </c>
      <c r="S39" s="20">
        <f>N41/1000</f>
        <v>53.396000000000001</v>
      </c>
      <c r="T39" s="14">
        <f>O41</f>
        <v>0.163405453376993</v>
      </c>
    </row>
    <row r="40" spans="1:47">
      <c r="R40" s="7" t="s">
        <v>55</v>
      </c>
      <c r="S40" s="20">
        <f>N35/1000</f>
        <v>20.971</v>
      </c>
      <c r="T40" s="15">
        <f>O35</f>
        <v>6.4176638002264585E-2</v>
      </c>
    </row>
    <row r="41" spans="1:47" ht="15">
      <c r="A41" s="21" t="s">
        <v>56</v>
      </c>
      <c r="B41" s="22">
        <f>B38+B37+B36</f>
        <v>11363</v>
      </c>
      <c r="C41" s="22">
        <f t="shared" ref="C41:N41" si="0">C38+C37+C36</f>
        <v>574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12500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28959</v>
      </c>
      <c r="N41" s="22">
        <f t="shared" si="0"/>
        <v>53396</v>
      </c>
      <c r="O41" s="16">
        <f>N41/N$39</f>
        <v>0.163405453376993</v>
      </c>
      <c r="P41" s="16" t="s">
        <v>57</v>
      </c>
      <c r="Q41" s="7"/>
      <c r="R41" s="7" t="s">
        <v>58</v>
      </c>
      <c r="S41" s="20">
        <f>N33/1000</f>
        <v>7.7560000000000002</v>
      </c>
      <c r="T41" s="14">
        <f>O33</f>
        <v>2.3735349022248064E-2</v>
      </c>
    </row>
    <row r="42" spans="1:47" ht="15">
      <c r="A42" s="23" t="s">
        <v>59</v>
      </c>
      <c r="B42" s="22"/>
      <c r="C42" s="24">
        <f>C39+C23+C10</f>
        <v>134632</v>
      </c>
      <c r="D42" s="24">
        <f t="shared" ref="D42:L42" si="1">D39+D23+D10</f>
        <v>0</v>
      </c>
      <c r="E42" s="24">
        <f t="shared" si="1"/>
        <v>0</v>
      </c>
      <c r="F42" s="24">
        <f t="shared" si="1"/>
        <v>12917</v>
      </c>
      <c r="G42" s="24">
        <f t="shared" si="1"/>
        <v>92675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102109.68</v>
      </c>
      <c r="N42" s="25">
        <f>SUM(C42:M42)</f>
        <v>342333.68</v>
      </c>
      <c r="O42" s="7"/>
      <c r="P42" s="7"/>
      <c r="Q42" s="7"/>
      <c r="R42" s="7" t="s">
        <v>39</v>
      </c>
      <c r="S42" s="20">
        <f>N31/1000</f>
        <v>3.6059999999999999</v>
      </c>
      <c r="T42" s="14">
        <f>O31</f>
        <v>1.1035284756862626E-2</v>
      </c>
    </row>
    <row r="43" spans="1:47" ht="15">
      <c r="A43" s="23" t="s">
        <v>60</v>
      </c>
      <c r="B43" s="22"/>
      <c r="C43" s="16">
        <f t="shared" ref="C43:M43" si="2">C42/$N42</f>
        <v>0.39327710904752344</v>
      </c>
      <c r="D43" s="16">
        <f t="shared" si="2"/>
        <v>0</v>
      </c>
      <c r="E43" s="16">
        <f t="shared" si="2"/>
        <v>0</v>
      </c>
      <c r="F43" s="16">
        <f t="shared" si="2"/>
        <v>3.7732191585706669E-2</v>
      </c>
      <c r="G43" s="16">
        <f t="shared" si="2"/>
        <v>0.27071540258615512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0.29827529678061476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100.416</v>
      </c>
      <c r="T43" s="15">
        <f>O32</f>
        <v>0.30729871163203476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140.624</v>
      </c>
      <c r="T44" s="15">
        <f>O34</f>
        <v>0.4303455029531475</v>
      </c>
    </row>
    <row r="45" spans="1:47" ht="15">
      <c r="A45" s="6" t="s">
        <v>63</v>
      </c>
      <c r="B45" s="6">
        <f>B23-B39</f>
        <v>4106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7563.68</v>
      </c>
      <c r="N45" s="25">
        <f>B45+M45</f>
        <v>11669.68</v>
      </c>
      <c r="O45" s="7"/>
      <c r="P45" s="7"/>
      <c r="Q45" s="7"/>
      <c r="R45" s="7" t="s">
        <v>64</v>
      </c>
      <c r="S45" s="20">
        <f>SUM(S39:S44)</f>
        <v>326.76900000000001</v>
      </c>
      <c r="T45" s="14">
        <f>SUM(T39:T44)</f>
        <v>0.99999693974355064</v>
      </c>
    </row>
    <row r="46" spans="1:47" ht="15">
      <c r="A46" s="6" t="s">
        <v>76</v>
      </c>
      <c r="B46" s="65">
        <f>B45/B23</f>
        <v>0.12090338918170843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9"/>
      <c r="D47" s="9"/>
      <c r="E47" s="9"/>
      <c r="F47" s="9"/>
      <c r="G47" s="9"/>
      <c r="H47" s="9"/>
      <c r="I47" s="9"/>
      <c r="J47" s="9"/>
      <c r="K47" s="9"/>
      <c r="L47" s="9"/>
      <c r="M47" s="27"/>
      <c r="N47" s="9"/>
      <c r="O47" s="9"/>
      <c r="P47" s="27"/>
      <c r="Q47" s="4"/>
      <c r="R47" s="4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27"/>
      <c r="AG47" s="4"/>
      <c r="AH47" s="4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1:47">
      <c r="A48" s="27"/>
      <c r="B48" s="4"/>
      <c r="C48" s="9"/>
      <c r="D48" s="9"/>
      <c r="E48" s="9"/>
      <c r="F48" s="9"/>
      <c r="G48" s="9"/>
      <c r="H48" s="18"/>
      <c r="I48" s="9"/>
      <c r="J48" s="9"/>
      <c r="K48" s="9"/>
      <c r="L48" s="9"/>
      <c r="M48" s="27"/>
      <c r="N48" s="9"/>
      <c r="O48" s="18"/>
      <c r="P48" s="27"/>
      <c r="Q48" s="27"/>
      <c r="R48" s="4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27"/>
      <c r="AG48" s="27"/>
      <c r="AH48" s="4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1:47">
      <c r="A49" s="27"/>
      <c r="B49" s="4"/>
      <c r="C49" s="9"/>
      <c r="D49" s="9"/>
      <c r="E49" s="9"/>
      <c r="F49" s="9"/>
      <c r="G49" s="9"/>
      <c r="H49" s="9"/>
      <c r="I49" s="9"/>
      <c r="J49" s="9"/>
      <c r="K49" s="9"/>
      <c r="L49" s="9"/>
      <c r="M49" s="27"/>
      <c r="N49" s="9"/>
      <c r="O49" s="9"/>
      <c r="P49" s="27"/>
      <c r="Q49" s="27"/>
      <c r="R49" s="4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27"/>
      <c r="AG49" s="27"/>
      <c r="AH49" s="4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</row>
    <row r="50" spans="1:47">
      <c r="A50" s="27"/>
      <c r="B50" s="4"/>
      <c r="C50" s="9"/>
      <c r="D50" s="9"/>
      <c r="E50" s="9"/>
      <c r="F50" s="9"/>
      <c r="G50" s="9"/>
      <c r="H50" s="9"/>
      <c r="I50" s="9"/>
      <c r="J50" s="9"/>
      <c r="K50" s="9"/>
      <c r="L50" s="9"/>
      <c r="M50" s="27"/>
      <c r="N50" s="9"/>
      <c r="O50" s="9"/>
      <c r="P50" s="27"/>
      <c r="Q50" s="27"/>
      <c r="R50" s="4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27"/>
      <c r="AG50" s="27"/>
      <c r="AH50" s="4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>
      <c r="A51" s="27"/>
      <c r="B51" s="4"/>
      <c r="C51" s="9"/>
      <c r="D51" s="9"/>
      <c r="E51" s="9"/>
      <c r="F51" s="9"/>
      <c r="G51" s="9"/>
      <c r="H51" s="9"/>
      <c r="I51" s="9"/>
      <c r="J51" s="9"/>
      <c r="K51" s="9"/>
      <c r="L51" s="9"/>
      <c r="M51" s="27"/>
      <c r="N51" s="9"/>
      <c r="O51" s="9"/>
      <c r="P51" s="27"/>
      <c r="Q51" s="27"/>
      <c r="R51" s="4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27"/>
      <c r="AG51" s="27"/>
      <c r="AH51" s="4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>
      <c r="A52" s="27"/>
      <c r="B52" s="4"/>
      <c r="C52" s="9"/>
      <c r="D52" s="9"/>
      <c r="E52" s="9"/>
      <c r="F52" s="9"/>
      <c r="G52" s="9"/>
      <c r="H52" s="9"/>
      <c r="I52" s="9"/>
      <c r="J52" s="9"/>
      <c r="K52" s="9"/>
      <c r="L52" s="9"/>
      <c r="M52" s="27"/>
      <c r="N52" s="9"/>
      <c r="O52" s="9"/>
      <c r="P52" s="27"/>
      <c r="Q52" s="27"/>
      <c r="R52" s="4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27"/>
      <c r="AG52" s="27"/>
      <c r="AH52" s="4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>
      <c r="A53" s="27"/>
      <c r="B53" s="4"/>
      <c r="C53" s="9"/>
      <c r="D53" s="9"/>
      <c r="E53" s="9"/>
      <c r="F53" s="9"/>
      <c r="G53" s="9"/>
      <c r="H53" s="9"/>
      <c r="I53" s="9"/>
      <c r="J53" s="9"/>
      <c r="K53" s="9"/>
      <c r="L53" s="9"/>
      <c r="M53" s="27"/>
      <c r="N53" s="9"/>
      <c r="O53" s="9"/>
      <c r="P53" s="27"/>
      <c r="Q53" s="27"/>
      <c r="R53" s="4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27"/>
      <c r="AG53" s="27"/>
      <c r="AH53" s="4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>
      <c r="A54" s="27"/>
      <c r="B54" s="4"/>
      <c r="C54" s="9"/>
      <c r="D54" s="9"/>
      <c r="E54" s="9"/>
      <c r="F54" s="9"/>
      <c r="G54" s="9"/>
      <c r="H54" s="9"/>
      <c r="I54" s="9"/>
      <c r="J54" s="9"/>
      <c r="K54" s="9"/>
      <c r="L54" s="9"/>
      <c r="M54" s="27"/>
      <c r="N54" s="9"/>
      <c r="O54" s="9"/>
      <c r="P54" s="27"/>
      <c r="Q54" s="27"/>
      <c r="R54" s="4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27"/>
      <c r="AG54" s="27"/>
      <c r="AH54" s="4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</row>
    <row r="55" spans="1:47">
      <c r="A55" s="27"/>
      <c r="B55" s="4"/>
      <c r="C55" s="9"/>
      <c r="D55" s="9"/>
      <c r="E55" s="9"/>
      <c r="F55" s="9"/>
      <c r="G55" s="9"/>
      <c r="H55" s="18"/>
      <c r="I55" s="9"/>
      <c r="J55" s="9"/>
      <c r="K55" s="9"/>
      <c r="L55" s="9"/>
      <c r="M55" s="27"/>
      <c r="N55" s="9"/>
      <c r="O55" s="18"/>
      <c r="P55" s="27"/>
      <c r="Q55" s="27"/>
      <c r="R55" s="4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27"/>
      <c r="AG55" s="27"/>
      <c r="AH55" s="4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>
      <c r="A56" s="27"/>
      <c r="B56" s="4"/>
      <c r="C56" s="9"/>
      <c r="D56" s="9"/>
      <c r="E56" s="9"/>
      <c r="F56" s="9"/>
      <c r="G56" s="9"/>
      <c r="H56" s="18"/>
      <c r="I56" s="9"/>
      <c r="J56" s="9"/>
      <c r="K56" s="9"/>
      <c r="L56" s="9"/>
      <c r="M56" s="27"/>
      <c r="N56" s="9"/>
      <c r="O56" s="18"/>
      <c r="P56" s="27"/>
      <c r="Q56" s="27"/>
      <c r="R56" s="4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27"/>
      <c r="AG56" s="27"/>
      <c r="AH56" s="4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 enableFormatConditionsCalculation="0"/>
  <dimension ref="A1:AU70"/>
  <sheetViews>
    <sheetView topLeftCell="A15" zoomScale="125" zoomScaleNormal="125" zoomScalePageLayoutView="125" workbookViewId="0">
      <selection activeCell="B46" sqref="B46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6" width="8.83203125" style="2"/>
    <col min="7" max="7" width="10.33203125" style="2" bestFit="1" customWidth="1"/>
    <col min="8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65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60">
        <v>376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63">
        <f>6300</f>
        <v>6300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63">
        <f>B9+B8</f>
        <v>6676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65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63">
        <v>4049</v>
      </c>
      <c r="C18" s="63">
        <f>1*9.95</f>
        <v>9.9499999999999993</v>
      </c>
      <c r="D18" s="9">
        <v>0</v>
      </c>
      <c r="E18" s="9">
        <v>0</v>
      </c>
      <c r="F18" s="9">
        <v>0</v>
      </c>
      <c r="G18" s="63">
        <f>396*10.65</f>
        <v>4217.4000000000005</v>
      </c>
      <c r="H18" s="9">
        <v>0</v>
      </c>
      <c r="I18" s="9"/>
      <c r="J18" s="9"/>
      <c r="K18" s="9"/>
      <c r="L18" s="9"/>
      <c r="M18" s="9"/>
      <c r="N18" s="61">
        <f>G18+C18</f>
        <v>4227.3500000000004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53">
        <f>SUM(B17:B22)</f>
        <v>4049</v>
      </c>
      <c r="C23" s="63">
        <f>C18</f>
        <v>9.9499999999999993</v>
      </c>
      <c r="D23" s="9">
        <v>0</v>
      </c>
      <c r="E23" s="9">
        <v>0</v>
      </c>
      <c r="F23" s="9">
        <v>0</v>
      </c>
      <c r="G23" s="63">
        <f>G18</f>
        <v>4217.4000000000005</v>
      </c>
      <c r="H23" s="9">
        <v>0</v>
      </c>
      <c r="I23" s="9"/>
      <c r="J23" s="9"/>
      <c r="K23" s="9"/>
      <c r="L23" s="9"/>
      <c r="M23" s="9"/>
      <c r="N23" s="61">
        <f>N18</f>
        <v>4227.3500000000004</v>
      </c>
      <c r="O23" s="3"/>
      <c r="P23" s="3"/>
      <c r="Q23" s="3"/>
      <c r="R23" s="3" t="s">
        <v>29</v>
      </c>
      <c r="S23" s="12">
        <f>N42/1000</f>
        <v>598.15727000000004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A25" s="8" t="s">
        <v>82</v>
      </c>
      <c r="B25" s="63">
        <v>50313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322.64891999999998</v>
      </c>
      <c r="T26" s="14">
        <f>M43</f>
        <v>0.53940482910121612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67.668399999999991</v>
      </c>
      <c r="T27" s="15">
        <f>G43</f>
        <v>0.11312810759618451</v>
      </c>
    </row>
    <row r="28" spans="1:20" ht="15">
      <c r="A28" s="4" t="s">
        <v>65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15.401999999999999</v>
      </c>
      <c r="T29" s="14">
        <f>F43</f>
        <v>2.5749081006739248E-2</v>
      </c>
    </row>
    <row r="30" spans="1:20" ht="15">
      <c r="B30" s="10"/>
      <c r="C30" s="10"/>
      <c r="D30" s="10"/>
      <c r="E30" s="10"/>
      <c r="F30" s="10"/>
      <c r="G30" s="56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5.8890000000000002</v>
      </c>
      <c r="T30" s="14">
        <f>E43</f>
        <v>9.8452368555179467E-3</v>
      </c>
    </row>
    <row r="31" spans="1:20" ht="15">
      <c r="A31" s="5" t="s">
        <v>38</v>
      </c>
      <c r="B31" s="9">
        <v>0</v>
      </c>
      <c r="C31" s="9">
        <v>7571</v>
      </c>
      <c r="D31" s="9">
        <v>0</v>
      </c>
      <c r="E31" s="9">
        <v>0</v>
      </c>
      <c r="F31" s="9">
        <v>742</v>
      </c>
      <c r="G31" s="9">
        <v>0</v>
      </c>
      <c r="H31" s="9">
        <v>0</v>
      </c>
      <c r="I31" s="9"/>
      <c r="J31" s="9"/>
      <c r="K31" s="9"/>
      <c r="L31" s="9"/>
      <c r="M31" s="9">
        <v>7580</v>
      </c>
      <c r="N31" s="9">
        <v>15893</v>
      </c>
      <c r="O31" s="16">
        <f>N31/N$39</f>
        <v>2.5740653161178309E-2</v>
      </c>
      <c r="P31" s="17" t="s">
        <v>39</v>
      </c>
      <c r="Q31" s="3"/>
      <c r="R31" s="3" t="s">
        <v>40</v>
      </c>
      <c r="S31" s="13">
        <f>C42/1000</f>
        <v>186.54895000000002</v>
      </c>
      <c r="T31" s="15">
        <f>C43</f>
        <v>0.31187274544034216</v>
      </c>
    </row>
    <row r="32" spans="1:20" ht="15">
      <c r="A32" s="5" t="s">
        <v>41</v>
      </c>
      <c r="B32" s="63">
        <f>B39-B37-B36-B35-B33</f>
        <v>2490</v>
      </c>
      <c r="C32" s="9">
        <v>23291</v>
      </c>
      <c r="D32" s="9">
        <v>0</v>
      </c>
      <c r="E32" s="63">
        <f>N32-F32-C32-G32-M32-B32</f>
        <v>5889</v>
      </c>
      <c r="F32" s="9">
        <v>275</v>
      </c>
      <c r="G32" s="63">
        <v>3451</v>
      </c>
      <c r="H32" s="9">
        <v>0</v>
      </c>
      <c r="I32" s="9"/>
      <c r="J32" s="9"/>
      <c r="K32" s="9"/>
      <c r="L32" s="9"/>
      <c r="M32" s="9">
        <v>51783</v>
      </c>
      <c r="N32" s="9">
        <v>87179</v>
      </c>
      <c r="O32" s="16">
        <f>N32/N$39</f>
        <v>0.14119703026101829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12715</v>
      </c>
      <c r="C33" s="9">
        <v>195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63">
        <f>M39-M38-M37-M36-M35-M34-M32-M31</f>
        <v>26300</v>
      </c>
      <c r="N33" s="63">
        <f>M33+C33+B33</f>
        <v>39210</v>
      </c>
      <c r="O33" s="16">
        <f>N33/N$39</f>
        <v>6.3505380384433485E-2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152867</v>
      </c>
      <c r="D34" s="9">
        <v>0</v>
      </c>
      <c r="E34" s="9">
        <v>0</v>
      </c>
      <c r="F34" s="9">
        <v>14385</v>
      </c>
      <c r="G34" s="9">
        <v>0</v>
      </c>
      <c r="H34" s="9">
        <v>0</v>
      </c>
      <c r="I34" s="9"/>
      <c r="J34" s="9"/>
      <c r="K34" s="9"/>
      <c r="L34" s="9"/>
      <c r="M34" s="9">
        <v>118001</v>
      </c>
      <c r="N34" s="9">
        <v>285253</v>
      </c>
      <c r="O34" s="16">
        <f>N34/N$39</f>
        <v>0.4620020472022649</v>
      </c>
      <c r="P34" s="17" t="s">
        <v>47</v>
      </c>
      <c r="Q34" s="3"/>
      <c r="R34" s="3"/>
      <c r="S34" s="13">
        <f>SUM(S26:S33)</f>
        <v>598.15727000000004</v>
      </c>
      <c r="T34" s="14">
        <f>SUM(T26:T33)</f>
        <v>1</v>
      </c>
    </row>
    <row r="35" spans="1:47" ht="15">
      <c r="A35" s="5" t="s">
        <v>48</v>
      </c>
      <c r="B35" s="63">
        <f>N35-M35-C35</f>
        <v>842</v>
      </c>
      <c r="C35" s="9">
        <v>1111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38572</v>
      </c>
      <c r="N35" s="63">
        <f>N39-N38-N37-N36-N34-N33-N32-N31</f>
        <v>40525</v>
      </c>
      <c r="O35" s="16">
        <f>N35/N$39</f>
        <v>6.5635183373607936E-2</v>
      </c>
      <c r="P35" s="17" t="s">
        <v>49</v>
      </c>
      <c r="Q35" s="17"/>
    </row>
    <row r="36" spans="1:47" ht="15">
      <c r="A36" s="5" t="s">
        <v>50</v>
      </c>
      <c r="B36" s="9">
        <v>6662</v>
      </c>
      <c r="C36" s="9">
        <v>1390</v>
      </c>
      <c r="D36" s="9">
        <v>0</v>
      </c>
      <c r="E36" s="9">
        <v>0</v>
      </c>
      <c r="F36" s="9">
        <v>0</v>
      </c>
      <c r="G36" s="63">
        <v>60000</v>
      </c>
      <c r="H36" s="9">
        <v>0</v>
      </c>
      <c r="I36" s="9"/>
      <c r="J36" s="9"/>
      <c r="K36" s="9"/>
      <c r="L36" s="9"/>
      <c r="M36" s="63">
        <f>N36-G36-C36-B36</f>
        <v>48013</v>
      </c>
      <c r="N36" s="9">
        <v>116065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24689</v>
      </c>
      <c r="C37" s="9">
        <v>114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5303</v>
      </c>
      <c r="N37" s="9">
        <v>30106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3197</v>
      </c>
      <c r="N38" s="9">
        <v>3197</v>
      </c>
      <c r="O38" s="17">
        <f>SUM(O31:O35)</f>
        <v>0.75808029438250291</v>
      </c>
      <c r="P38" s="17"/>
      <c r="Q38" s="3"/>
      <c r="R38" s="7" t="s">
        <v>53</v>
      </c>
      <c r="S38" s="19">
        <f>N45/1000</f>
        <v>30.86392</v>
      </c>
      <c r="T38" s="7"/>
    </row>
    <row r="39" spans="1:47" ht="15">
      <c r="A39" s="5" t="s">
        <v>19</v>
      </c>
      <c r="B39" s="18">
        <v>47398</v>
      </c>
      <c r="C39" s="9">
        <v>186539</v>
      </c>
      <c r="D39" s="9">
        <v>0</v>
      </c>
      <c r="E39" s="63">
        <f>E32</f>
        <v>5889</v>
      </c>
      <c r="F39" s="9">
        <v>15402</v>
      </c>
      <c r="G39" s="63">
        <f>G36+G32</f>
        <v>63451</v>
      </c>
      <c r="H39" s="9">
        <v>0</v>
      </c>
      <c r="I39" s="9"/>
      <c r="J39" s="9"/>
      <c r="K39" s="9"/>
      <c r="L39" s="9"/>
      <c r="M39" s="9">
        <v>298749</v>
      </c>
      <c r="N39" s="9">
        <v>617428</v>
      </c>
      <c r="O39" s="3"/>
      <c r="P39" s="3"/>
      <c r="Q39" s="3"/>
      <c r="R39" s="7" t="s">
        <v>54</v>
      </c>
      <c r="S39" s="20">
        <f>N41/1000</f>
        <v>149.36799999999999</v>
      </c>
      <c r="T39" s="14">
        <f>O41</f>
        <v>0.24191970561749709</v>
      </c>
    </row>
    <row r="40" spans="1:47">
      <c r="R40" s="7" t="s">
        <v>55</v>
      </c>
      <c r="S40" s="20">
        <f>N35/1000</f>
        <v>40.524999999999999</v>
      </c>
      <c r="T40" s="15">
        <f>O35</f>
        <v>6.5635183373607936E-2</v>
      </c>
    </row>
    <row r="41" spans="1:47" ht="15">
      <c r="A41" s="21" t="s">
        <v>56</v>
      </c>
      <c r="B41" s="22">
        <f>B38+B37+B36</f>
        <v>31351</v>
      </c>
      <c r="C41" s="22">
        <f t="shared" ref="C41:N41" si="0">C38+C37+C36</f>
        <v>1504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60000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56513</v>
      </c>
      <c r="N41" s="22">
        <f t="shared" si="0"/>
        <v>149368</v>
      </c>
      <c r="O41" s="16">
        <f>N41/N$39</f>
        <v>0.24191970561749709</v>
      </c>
      <c r="P41" s="16" t="s">
        <v>57</v>
      </c>
      <c r="Q41" s="7"/>
      <c r="R41" s="7" t="s">
        <v>58</v>
      </c>
      <c r="S41" s="20">
        <f>N33/1000</f>
        <v>39.21</v>
      </c>
      <c r="T41" s="14">
        <f>O33</f>
        <v>6.3505380384433485E-2</v>
      </c>
    </row>
    <row r="42" spans="1:47" ht="15">
      <c r="A42" s="23" t="s">
        <v>59</v>
      </c>
      <c r="B42" s="22"/>
      <c r="C42" s="24">
        <f>C39+C23+C10</f>
        <v>186548.95</v>
      </c>
      <c r="D42" s="24">
        <f t="shared" ref="D42:L42" si="1">D39+D23+D10</f>
        <v>0</v>
      </c>
      <c r="E42" s="24">
        <f t="shared" si="1"/>
        <v>5889</v>
      </c>
      <c r="F42" s="24">
        <f t="shared" si="1"/>
        <v>15402</v>
      </c>
      <c r="G42" s="24">
        <f t="shared" si="1"/>
        <v>67668.399999999994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322648.92</v>
      </c>
      <c r="N42" s="25">
        <f>SUM(C42:M42)</f>
        <v>598157.27</v>
      </c>
      <c r="O42" s="7"/>
      <c r="P42" s="7"/>
      <c r="Q42" s="7"/>
      <c r="R42" s="7" t="s">
        <v>39</v>
      </c>
      <c r="S42" s="20">
        <f>N31/1000</f>
        <v>15.893000000000001</v>
      </c>
      <c r="T42" s="14">
        <f>O31</f>
        <v>2.5740653161178309E-2</v>
      </c>
    </row>
    <row r="43" spans="1:47" ht="15">
      <c r="A43" s="23" t="s">
        <v>60</v>
      </c>
      <c r="B43" s="22"/>
      <c r="C43" s="16">
        <f t="shared" ref="C43:M43" si="2">C42/$N42</f>
        <v>0.31187274544034216</v>
      </c>
      <c r="D43" s="16">
        <f t="shared" si="2"/>
        <v>0</v>
      </c>
      <c r="E43" s="16">
        <f t="shared" si="2"/>
        <v>9.8452368555179467E-3</v>
      </c>
      <c r="F43" s="16">
        <f t="shared" si="2"/>
        <v>2.5749081006739248E-2</v>
      </c>
      <c r="G43" s="16">
        <f t="shared" si="2"/>
        <v>0.11312810759618451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0.53940482910121612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87.179000000000002</v>
      </c>
      <c r="T43" s="15">
        <f>O32</f>
        <v>0.14119703026101829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285.25299999999999</v>
      </c>
      <c r="T44" s="15">
        <f>O34</f>
        <v>0.4620020472022649</v>
      </c>
    </row>
    <row r="45" spans="1:47" ht="15">
      <c r="A45" s="6" t="s">
        <v>63</v>
      </c>
      <c r="B45" s="6">
        <f>B23+B25-B39</f>
        <v>6964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23899.920000000002</v>
      </c>
      <c r="N45" s="25">
        <f>B45+M45</f>
        <v>30863.920000000002</v>
      </c>
      <c r="O45" s="7"/>
      <c r="P45" s="7"/>
      <c r="Q45" s="7"/>
      <c r="R45" s="7" t="s">
        <v>64</v>
      </c>
      <c r="S45" s="20">
        <f>SUM(S39:S44)</f>
        <v>617.428</v>
      </c>
      <c r="T45" s="14">
        <f>SUM(T39:T44)</f>
        <v>1</v>
      </c>
    </row>
    <row r="46" spans="1:47" ht="15">
      <c r="A46" s="6" t="s">
        <v>76</v>
      </c>
      <c r="B46" s="42">
        <f>B45/(B23+B25)</f>
        <v>0.12810419042713661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5"/>
      <c r="C48" s="37"/>
      <c r="D48" s="27"/>
      <c r="E48" s="27"/>
      <c r="F48" s="37"/>
      <c r="G48" s="27"/>
      <c r="H48" s="3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37"/>
      <c r="T48" s="37"/>
      <c r="U48" s="27"/>
      <c r="V48" s="27"/>
      <c r="W48" s="27"/>
      <c r="X48" s="3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7"/>
      <c r="O49" s="3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3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3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3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3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37"/>
      <c r="I52" s="27"/>
      <c r="J52" s="27"/>
      <c r="K52" s="27"/>
      <c r="L52" s="27"/>
      <c r="M52" s="27"/>
      <c r="N52" s="37"/>
      <c r="O52" s="27"/>
      <c r="P52" s="27"/>
      <c r="Q52" s="27"/>
      <c r="R52" s="4"/>
      <c r="S52" s="3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3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37"/>
      <c r="U53" s="27"/>
      <c r="V53" s="27"/>
      <c r="W53" s="27"/>
      <c r="X53" s="3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3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37"/>
      <c r="U54" s="27"/>
      <c r="V54" s="27"/>
      <c r="W54" s="27"/>
      <c r="X54" s="3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3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37"/>
      <c r="D55" s="27"/>
      <c r="E55" s="27"/>
      <c r="F55" s="37"/>
      <c r="G55" s="27"/>
      <c r="H55" s="3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37"/>
      <c r="U55" s="27"/>
      <c r="V55" s="27"/>
      <c r="W55" s="27"/>
      <c r="X55" s="3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3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37"/>
      <c r="D56" s="27"/>
      <c r="E56" s="27"/>
      <c r="F56" s="37"/>
      <c r="G56" s="27"/>
      <c r="H56" s="3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37"/>
      <c r="U56" s="27"/>
      <c r="V56" s="27"/>
      <c r="W56" s="27"/>
      <c r="X56" s="3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3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 enableFormatConditionsCalculation="0"/>
  <dimension ref="A1:AU70"/>
  <sheetViews>
    <sheetView topLeftCell="A8"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66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53524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18">
        <f>5000</f>
        <v>5000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18">
        <f>B9+B8</f>
        <v>58524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48016</v>
      </c>
      <c r="C18" s="9">
        <v>2030</v>
      </c>
      <c r="D18" s="9">
        <v>0</v>
      </c>
      <c r="E18" s="9">
        <v>0</v>
      </c>
      <c r="F18" s="9">
        <v>0</v>
      </c>
      <c r="G18" s="9">
        <v>48857</v>
      </c>
      <c r="H18" s="9">
        <v>0</v>
      </c>
      <c r="I18" s="9"/>
      <c r="J18" s="9"/>
      <c r="K18" s="9"/>
      <c r="L18" s="9"/>
      <c r="M18" s="9"/>
      <c r="N18" s="9">
        <v>50886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40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61">
        <f>1.015*B19</f>
        <v>40.599999999999994</v>
      </c>
      <c r="N19" s="61">
        <v>41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60">
        <f>0.33*B20</f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48056</v>
      </c>
      <c r="C23" s="9">
        <v>2030</v>
      </c>
      <c r="D23" s="9">
        <v>0</v>
      </c>
      <c r="E23" s="9">
        <v>0</v>
      </c>
      <c r="F23" s="9">
        <v>0</v>
      </c>
      <c r="G23" s="9">
        <v>48857</v>
      </c>
      <c r="H23" s="9">
        <v>0</v>
      </c>
      <c r="I23" s="9"/>
      <c r="J23" s="9"/>
      <c r="K23" s="9"/>
      <c r="L23" s="9"/>
      <c r="M23" s="61">
        <v>41</v>
      </c>
      <c r="N23" s="61">
        <f>N19+N18</f>
        <v>50927</v>
      </c>
      <c r="O23" s="3"/>
      <c r="P23" s="3"/>
      <c r="Q23" s="3"/>
      <c r="R23" s="3" t="s">
        <v>29</v>
      </c>
      <c r="S23" s="12">
        <f>N42/1000</f>
        <v>406.66840000000002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145.22540000000001</v>
      </c>
      <c r="T26" s="14">
        <f>M43</f>
        <v>0.35711011723556585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76.953999999999994</v>
      </c>
      <c r="T27" s="15">
        <f>G43</f>
        <v>0.18923034098543184</v>
      </c>
    </row>
    <row r="28" spans="1:20" ht="15">
      <c r="A28" s="4" t="s">
        <v>66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4.7389999999999999</v>
      </c>
      <c r="T29" s="14">
        <f>F43</f>
        <v>1.1653229019023853E-2</v>
      </c>
    </row>
    <row r="30" spans="1:20" ht="15">
      <c r="B30" s="10"/>
      <c r="C30" s="10"/>
      <c r="D30" s="10"/>
      <c r="E30" s="56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94.019289999999998</v>
      </c>
      <c r="T30" s="14">
        <f>E43</f>
        <v>0.2311939899928295</v>
      </c>
    </row>
    <row r="31" spans="1:20" ht="15">
      <c r="A31" s="5" t="s">
        <v>38</v>
      </c>
      <c r="B31" s="9">
        <v>0</v>
      </c>
      <c r="C31" s="9">
        <v>1858</v>
      </c>
      <c r="D31" s="9">
        <v>0</v>
      </c>
      <c r="E31" s="9">
        <v>0</v>
      </c>
      <c r="F31" s="9">
        <v>167</v>
      </c>
      <c r="G31" s="9">
        <v>0</v>
      </c>
      <c r="H31" s="9">
        <v>0</v>
      </c>
      <c r="I31" s="9"/>
      <c r="J31" s="9"/>
      <c r="K31" s="9"/>
      <c r="L31" s="9"/>
      <c r="M31" s="9">
        <v>2628</v>
      </c>
      <c r="N31" s="9">
        <v>4653</v>
      </c>
      <c r="O31" s="16">
        <f>N31/N$39</f>
        <v>1.20684423072434E-2</v>
      </c>
      <c r="P31" s="17" t="s">
        <v>39</v>
      </c>
      <c r="Q31" s="3"/>
      <c r="R31" s="3" t="s">
        <v>40</v>
      </c>
      <c r="S31" s="13">
        <f>C42/1000</f>
        <v>85.730710000000002</v>
      </c>
      <c r="T31" s="15">
        <f>C43</f>
        <v>0.21081232276714887</v>
      </c>
    </row>
    <row r="32" spans="1:20" ht="15">
      <c r="A32" s="5" t="s">
        <v>41</v>
      </c>
      <c r="B32" s="9">
        <v>3900</v>
      </c>
      <c r="C32" s="63">
        <f>N32-B32-M32-E32-F32</f>
        <v>31213.710000000006</v>
      </c>
      <c r="D32" s="9">
        <v>0</v>
      </c>
      <c r="E32" s="63">
        <v>94019.29</v>
      </c>
      <c r="F32" s="9">
        <v>364</v>
      </c>
      <c r="G32" s="9">
        <v>0</v>
      </c>
      <c r="H32" s="9">
        <v>0</v>
      </c>
      <c r="I32" s="9"/>
      <c r="J32" s="9"/>
      <c r="K32" s="9"/>
      <c r="L32" s="9"/>
      <c r="M32" s="9">
        <v>70325</v>
      </c>
      <c r="N32" s="9">
        <v>199822</v>
      </c>
      <c r="O32" s="16">
        <f>N32/N$39</f>
        <v>0.51827644073027956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8956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4493</v>
      </c>
      <c r="N33" s="9">
        <v>13449</v>
      </c>
      <c r="O33" s="16">
        <f>N33/N$39</f>
        <v>3.4882544721709971E-2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47752</v>
      </c>
      <c r="D34" s="9">
        <v>0</v>
      </c>
      <c r="E34" s="9">
        <v>0</v>
      </c>
      <c r="F34" s="9">
        <v>4208</v>
      </c>
      <c r="G34" s="9">
        <v>0</v>
      </c>
      <c r="H34" s="9">
        <v>0</v>
      </c>
      <c r="I34" s="9"/>
      <c r="J34" s="9"/>
      <c r="K34" s="9"/>
      <c r="L34" s="9"/>
      <c r="M34" s="9">
        <v>42</v>
      </c>
      <c r="N34" s="9">
        <v>52001</v>
      </c>
      <c r="O34" s="16">
        <f>N34/N$39</f>
        <v>0.13487450428088632</v>
      </c>
      <c r="P34" s="17" t="s">
        <v>47</v>
      </c>
      <c r="Q34" s="3"/>
      <c r="R34" s="3"/>
      <c r="S34" s="13">
        <f>SUM(S26:S33)</f>
        <v>406.66839999999996</v>
      </c>
      <c r="T34" s="14">
        <f>SUM(T26:T33)</f>
        <v>0.99999999999999989</v>
      </c>
    </row>
    <row r="35" spans="1:47" ht="15">
      <c r="A35" s="5" t="s">
        <v>48</v>
      </c>
      <c r="B35" s="9">
        <v>5049</v>
      </c>
      <c r="C35" s="9">
        <v>1405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13275</v>
      </c>
      <c r="N35" s="9">
        <v>19729</v>
      </c>
      <c r="O35" s="16">
        <f>N35/N$39</f>
        <v>5.1170921616076732E-2</v>
      </c>
      <c r="P35" s="17" t="s">
        <v>49</v>
      </c>
      <c r="Q35" s="17"/>
    </row>
    <row r="36" spans="1:47" ht="15">
      <c r="A36" s="5" t="s">
        <v>50</v>
      </c>
      <c r="B36" s="9">
        <v>5293</v>
      </c>
      <c r="C36" s="9">
        <v>1472</v>
      </c>
      <c r="D36" s="9">
        <v>0</v>
      </c>
      <c r="E36" s="9">
        <v>0</v>
      </c>
      <c r="F36" s="9">
        <v>0</v>
      </c>
      <c r="G36" s="9">
        <v>28097</v>
      </c>
      <c r="H36" s="9">
        <v>0</v>
      </c>
      <c r="I36" s="9"/>
      <c r="J36" s="9"/>
      <c r="K36" s="9"/>
      <c r="L36" s="9"/>
      <c r="M36" s="9">
        <v>39593</v>
      </c>
      <c r="N36" s="9">
        <v>74456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17367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2558</v>
      </c>
      <c r="N37" s="9">
        <v>19925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1516</v>
      </c>
      <c r="N38" s="9">
        <v>1516</v>
      </c>
      <c r="O38" s="17">
        <f>SUM(O31:O35)</f>
        <v>0.75127285365619589</v>
      </c>
      <c r="P38" s="17"/>
      <c r="Q38" s="3"/>
      <c r="R38" s="7" t="s">
        <v>53</v>
      </c>
      <c r="S38" s="19">
        <f>N45/1000</f>
        <v>18.2454</v>
      </c>
      <c r="T38" s="7"/>
    </row>
    <row r="39" spans="1:47" ht="15">
      <c r="A39" s="5" t="s">
        <v>19</v>
      </c>
      <c r="B39" s="9">
        <v>40565</v>
      </c>
      <c r="C39" s="18">
        <f>SUM(C31:C38)</f>
        <v>83700.710000000006</v>
      </c>
      <c r="D39" s="9">
        <v>0</v>
      </c>
      <c r="E39" s="63">
        <f>E32</f>
        <v>94019.29</v>
      </c>
      <c r="F39" s="9">
        <v>4739</v>
      </c>
      <c r="G39" s="9">
        <v>28097</v>
      </c>
      <c r="H39" s="9">
        <v>0</v>
      </c>
      <c r="I39" s="9"/>
      <c r="J39" s="9"/>
      <c r="K39" s="9"/>
      <c r="L39" s="9"/>
      <c r="M39" s="9">
        <v>134430</v>
      </c>
      <c r="N39" s="9">
        <v>385551</v>
      </c>
      <c r="O39" s="3"/>
      <c r="P39" s="3"/>
      <c r="Q39" s="3"/>
      <c r="R39" s="7" t="s">
        <v>54</v>
      </c>
      <c r="S39" s="20">
        <f>N41/1000</f>
        <v>95.897000000000006</v>
      </c>
      <c r="T39" s="14">
        <f>O41</f>
        <v>0.24872714634380405</v>
      </c>
    </row>
    <row r="40" spans="1:47">
      <c r="R40" s="7" t="s">
        <v>55</v>
      </c>
      <c r="S40" s="20">
        <f>N35/1000</f>
        <v>19.728999999999999</v>
      </c>
      <c r="T40" s="15">
        <f>O35</f>
        <v>5.1170921616076732E-2</v>
      </c>
    </row>
    <row r="41" spans="1:47" ht="15">
      <c r="A41" s="21" t="s">
        <v>56</v>
      </c>
      <c r="B41" s="22">
        <f>B38+B37+B36</f>
        <v>22660</v>
      </c>
      <c r="C41" s="22">
        <f t="shared" ref="C41:N41" si="0">C38+C37+C36</f>
        <v>1472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28097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43667</v>
      </c>
      <c r="N41" s="22">
        <f t="shared" si="0"/>
        <v>95897</v>
      </c>
      <c r="O41" s="16">
        <f>N41/N$39</f>
        <v>0.24872714634380405</v>
      </c>
      <c r="P41" s="16" t="s">
        <v>57</v>
      </c>
      <c r="Q41" s="7"/>
      <c r="R41" s="7" t="s">
        <v>58</v>
      </c>
      <c r="S41" s="20">
        <f>N33/1000</f>
        <v>13.449</v>
      </c>
      <c r="T41" s="14">
        <f>O33</f>
        <v>3.4882544721709971E-2</v>
      </c>
    </row>
    <row r="42" spans="1:47" ht="15">
      <c r="A42" s="23" t="s">
        <v>59</v>
      </c>
      <c r="B42" s="22"/>
      <c r="C42" s="24">
        <f>C39+C23+C10</f>
        <v>85730.71</v>
      </c>
      <c r="D42" s="24">
        <f t="shared" ref="D42:L42" si="1">D39+D23+D10</f>
        <v>0</v>
      </c>
      <c r="E42" s="24">
        <f t="shared" si="1"/>
        <v>94019.29</v>
      </c>
      <c r="F42" s="24">
        <f t="shared" si="1"/>
        <v>4739</v>
      </c>
      <c r="G42" s="24">
        <f t="shared" si="1"/>
        <v>76954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145225.4</v>
      </c>
      <c r="N42" s="25">
        <f>SUM(C42:M42)</f>
        <v>406668.4</v>
      </c>
      <c r="O42" s="7"/>
      <c r="P42" s="7"/>
      <c r="Q42" s="7"/>
      <c r="R42" s="7" t="s">
        <v>39</v>
      </c>
      <c r="S42" s="20">
        <f>N31/1000</f>
        <v>4.6529999999999996</v>
      </c>
      <c r="T42" s="14">
        <f>O31</f>
        <v>1.20684423072434E-2</v>
      </c>
    </row>
    <row r="43" spans="1:47" ht="15">
      <c r="A43" s="23" t="s">
        <v>60</v>
      </c>
      <c r="B43" s="22"/>
      <c r="C43" s="16">
        <f t="shared" ref="C43:M43" si="2">C42/$N42</f>
        <v>0.21081232276714887</v>
      </c>
      <c r="D43" s="16">
        <f t="shared" si="2"/>
        <v>0</v>
      </c>
      <c r="E43" s="16">
        <f t="shared" si="2"/>
        <v>0.2311939899928295</v>
      </c>
      <c r="F43" s="16">
        <f t="shared" si="2"/>
        <v>1.1653229019023853E-2</v>
      </c>
      <c r="G43" s="16">
        <f t="shared" si="2"/>
        <v>0.18923034098543184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0.35711011723556585</v>
      </c>
      <c r="N43" s="16">
        <f>SUM(C43:M43)</f>
        <v>0.99999999999999989</v>
      </c>
      <c r="O43" s="7"/>
      <c r="P43" s="7"/>
      <c r="Q43" s="7"/>
      <c r="R43" s="7" t="s">
        <v>61</v>
      </c>
      <c r="S43" s="20">
        <f>N32/1000</f>
        <v>199.822</v>
      </c>
      <c r="T43" s="15">
        <f>O32</f>
        <v>0.51827644073027956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52.000999999999998</v>
      </c>
      <c r="T44" s="15">
        <f>O34</f>
        <v>0.13487450428088632</v>
      </c>
    </row>
    <row r="45" spans="1:47" ht="15">
      <c r="A45" s="6" t="s">
        <v>63</v>
      </c>
      <c r="B45" s="6">
        <f>B23-B39</f>
        <v>7491</v>
      </c>
      <c r="C45" s="6"/>
      <c r="D45" s="6"/>
      <c r="E45"/>
      <c r="F45"/>
      <c r="G45"/>
      <c r="H45"/>
      <c r="I45"/>
      <c r="J45" s="6"/>
      <c r="K45" s="6"/>
      <c r="L45" s="6"/>
      <c r="M45" s="26">
        <f>M39*0.08</f>
        <v>10754.4</v>
      </c>
      <c r="N45" s="25">
        <f>B45+M45</f>
        <v>18245.400000000001</v>
      </c>
      <c r="O45" s="7"/>
      <c r="P45" s="7"/>
      <c r="Q45" s="7"/>
      <c r="R45" s="7" t="s">
        <v>64</v>
      </c>
      <c r="S45" s="20">
        <f>SUM(S39:S44)</f>
        <v>385.55099999999999</v>
      </c>
      <c r="T45" s="14">
        <f>SUM(T39:T44)</f>
        <v>1</v>
      </c>
    </row>
    <row r="46" spans="1:47" ht="15">
      <c r="A46" s="6" t="s">
        <v>76</v>
      </c>
      <c r="B46" s="65">
        <f>B45/B23</f>
        <v>0.15588063925420342</v>
      </c>
      <c r="C46" s="6"/>
      <c r="D46" s="6"/>
      <c r="E46"/>
      <c r="F46"/>
      <c r="G46"/>
      <c r="H46"/>
      <c r="I46"/>
      <c r="J46" s="6"/>
      <c r="K46" s="6"/>
      <c r="L46" s="6"/>
      <c r="M46"/>
      <c r="N46" s="6"/>
      <c r="O46" s="7"/>
      <c r="P46" s="7"/>
      <c r="Q46" s="7"/>
    </row>
    <row r="47" spans="1:47" ht="15">
      <c r="A47" s="4"/>
      <c r="B47" s="4"/>
      <c r="C47" s="27"/>
      <c r="D47" s="27"/>
      <c r="E47"/>
      <c r="F47"/>
      <c r="G47"/>
      <c r="H47"/>
      <c r="I4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5">
      <c r="A48" s="27"/>
      <c r="B48" s="4"/>
      <c r="C48" s="27"/>
      <c r="D48" s="37"/>
      <c r="E48"/>
      <c r="F48"/>
      <c r="G48"/>
      <c r="H48"/>
      <c r="I48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5">
      <c r="A49" s="27"/>
      <c r="B49" s="4"/>
      <c r="C49" s="27"/>
      <c r="D49" s="27"/>
      <c r="E49"/>
      <c r="F49"/>
      <c r="G49"/>
      <c r="H49"/>
      <c r="I49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15">
      <c r="A50" s="27"/>
      <c r="B50" s="4"/>
      <c r="C50" s="27"/>
      <c r="D50" s="27"/>
      <c r="E50"/>
      <c r="F50"/>
      <c r="G50"/>
      <c r="H50"/>
      <c r="I50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3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3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3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3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3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37"/>
      <c r="E55" s="27"/>
      <c r="F55" s="3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3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37"/>
      <c r="E56" s="27"/>
      <c r="F56" s="3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3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 enableFormatConditionsCalculation="0"/>
  <dimension ref="A1:AU70"/>
  <sheetViews>
    <sheetView topLeftCell="A8"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67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50175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v>50175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47517</v>
      </c>
      <c r="C18" s="9">
        <v>1274</v>
      </c>
      <c r="D18" s="9">
        <v>0</v>
      </c>
      <c r="E18" s="9">
        <v>0</v>
      </c>
      <c r="F18" s="9">
        <v>0</v>
      </c>
      <c r="G18" s="9">
        <v>48095</v>
      </c>
      <c r="H18" s="9">
        <v>0</v>
      </c>
      <c r="I18" s="9"/>
      <c r="J18" s="9"/>
      <c r="K18" s="9"/>
      <c r="L18" s="9"/>
      <c r="M18" s="9"/>
      <c r="N18" s="9">
        <v>49369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61">
        <v>5000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61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53">
        <f>B18+B21+B22</f>
        <v>52517</v>
      </c>
      <c r="C23" s="9">
        <v>1274</v>
      </c>
      <c r="D23" s="9">
        <v>0</v>
      </c>
      <c r="E23" s="9">
        <v>0</v>
      </c>
      <c r="F23" s="9">
        <v>0</v>
      </c>
      <c r="G23" s="9">
        <v>48095</v>
      </c>
      <c r="H23" s="9">
        <v>0</v>
      </c>
      <c r="I23" s="9"/>
      <c r="J23" s="9"/>
      <c r="K23" s="9"/>
      <c r="L23" s="9"/>
      <c r="M23" s="9"/>
      <c r="N23" s="9">
        <v>49369</v>
      </c>
      <c r="O23" s="3"/>
      <c r="P23" s="3"/>
      <c r="Q23" s="3"/>
      <c r="R23" s="3" t="s">
        <v>29</v>
      </c>
      <c r="S23" s="12">
        <f>N42/1000</f>
        <v>370.11856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141.30936</v>
      </c>
      <c r="T26" s="14">
        <f>M43</f>
        <v>0.38179484973679784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72.317999999999998</v>
      </c>
      <c r="T27" s="15">
        <f>G43</f>
        <v>0.19539144429828106</v>
      </c>
    </row>
    <row r="28" spans="1:20" ht="15">
      <c r="A28" s="4" t="s">
        <v>67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7.5730000000000004</v>
      </c>
      <c r="T29" s="14">
        <f>F43</f>
        <v>2.0461011195980011E-2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62.451000000000001</v>
      </c>
      <c r="T30" s="14">
        <f>E43</f>
        <v>0.168732419146989</v>
      </c>
    </row>
    <row r="31" spans="1:20" ht="15">
      <c r="A31" s="5" t="s">
        <v>38</v>
      </c>
      <c r="B31" s="60">
        <v>0</v>
      </c>
      <c r="C31" s="9">
        <v>1704</v>
      </c>
      <c r="D31" s="9">
        <v>0</v>
      </c>
      <c r="E31" s="9">
        <v>0</v>
      </c>
      <c r="F31" s="9">
        <v>173</v>
      </c>
      <c r="G31" s="9">
        <v>0</v>
      </c>
      <c r="H31" s="9">
        <v>0</v>
      </c>
      <c r="I31" s="9"/>
      <c r="J31" s="9"/>
      <c r="K31" s="9"/>
      <c r="L31" s="9"/>
      <c r="M31" s="9">
        <v>1587</v>
      </c>
      <c r="N31" s="60">
        <f>SUM(B31:M31)</f>
        <v>3464</v>
      </c>
      <c r="O31" s="16">
        <f>N31/N$39</f>
        <v>9.6842525498743205E-3</v>
      </c>
      <c r="P31" s="17" t="s">
        <v>39</v>
      </c>
      <c r="Q31" s="3"/>
      <c r="R31" s="3" t="s">
        <v>40</v>
      </c>
      <c r="S31" s="13">
        <f>C42/1000</f>
        <v>86.467199999999991</v>
      </c>
      <c r="T31" s="15">
        <f>C43</f>
        <v>0.23362027562195206</v>
      </c>
    </row>
    <row r="32" spans="1:20" ht="15">
      <c r="A32" s="5" t="s">
        <v>41</v>
      </c>
      <c r="B32" s="61">
        <f>14212+1000</f>
        <v>15212</v>
      </c>
      <c r="C32" s="63">
        <f>39.2+5433</f>
        <v>5472.2</v>
      </c>
      <c r="D32" s="9">
        <v>0</v>
      </c>
      <c r="E32" s="63">
        <v>62451</v>
      </c>
      <c r="F32" s="9">
        <v>202</v>
      </c>
      <c r="G32" s="9">
        <v>0</v>
      </c>
      <c r="H32" s="9">
        <v>0</v>
      </c>
      <c r="I32" s="9"/>
      <c r="J32" s="9"/>
      <c r="K32" s="9"/>
      <c r="L32" s="9"/>
      <c r="M32" s="9">
        <v>76244</v>
      </c>
      <c r="N32" s="61">
        <f>SUM(B32:M32)</f>
        <v>159581.20000000001</v>
      </c>
      <c r="O32" s="16">
        <f>N32/N$39</f>
        <v>0.4461387537563522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61">
        <f>5068.9</f>
        <v>5068.8999999999996</v>
      </c>
      <c r="C33" s="9">
        <v>62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4657</v>
      </c>
      <c r="N33" s="61">
        <f t="shared" ref="N33:N38" si="0">SUM(B33:M33)</f>
        <v>9787.9</v>
      </c>
      <c r="O33" s="16">
        <f>N33/N$39</f>
        <v>2.7363884391719072E-2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61">
        <v>0</v>
      </c>
      <c r="C34" s="9">
        <v>73606</v>
      </c>
      <c r="D34" s="9">
        <v>0</v>
      </c>
      <c r="E34" s="9">
        <v>0</v>
      </c>
      <c r="F34" s="9">
        <v>7199</v>
      </c>
      <c r="G34" s="9">
        <v>0</v>
      </c>
      <c r="H34" s="9">
        <v>0</v>
      </c>
      <c r="I34" s="9"/>
      <c r="J34" s="9"/>
      <c r="K34" s="9"/>
      <c r="L34" s="9"/>
      <c r="M34" s="9">
        <v>178</v>
      </c>
      <c r="N34" s="61">
        <f t="shared" si="0"/>
        <v>80983</v>
      </c>
      <c r="O34" s="16">
        <f>N34/N$39</f>
        <v>0.22640295157230719</v>
      </c>
      <c r="P34" s="17" t="s">
        <v>47</v>
      </c>
      <c r="Q34" s="3"/>
      <c r="R34" s="3"/>
      <c r="S34" s="13">
        <f>SUM(S26:S33)</f>
        <v>370.11856</v>
      </c>
      <c r="T34" s="14">
        <f>SUM(T26:T33)</f>
        <v>1</v>
      </c>
    </row>
    <row r="35" spans="1:47" ht="15">
      <c r="A35" s="5" t="s">
        <v>48</v>
      </c>
      <c r="B35" s="61">
        <f>6830</f>
        <v>6830</v>
      </c>
      <c r="C35" s="9">
        <v>3077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17653</v>
      </c>
      <c r="N35" s="61">
        <f t="shared" si="0"/>
        <v>27560</v>
      </c>
      <c r="O35" s="16">
        <f>N35/N$39</f>
        <v>7.7049076291725249E-2</v>
      </c>
      <c r="P35" s="17" t="s">
        <v>49</v>
      </c>
      <c r="Q35" s="17"/>
    </row>
    <row r="36" spans="1:47" ht="15">
      <c r="A36" s="5" t="s">
        <v>50</v>
      </c>
      <c r="B36" s="61">
        <f>3700+200</f>
        <v>3900</v>
      </c>
      <c r="C36" s="9">
        <v>1212</v>
      </c>
      <c r="D36" s="9">
        <v>0</v>
      </c>
      <c r="E36" s="9">
        <v>0</v>
      </c>
      <c r="F36" s="9">
        <v>0</v>
      </c>
      <c r="G36" s="9">
        <v>24223</v>
      </c>
      <c r="H36" s="9">
        <v>0</v>
      </c>
      <c r="I36" s="9"/>
      <c r="J36" s="9"/>
      <c r="K36" s="9"/>
      <c r="L36" s="9"/>
      <c r="M36" s="9">
        <v>24090</v>
      </c>
      <c r="N36" s="61">
        <f t="shared" si="0"/>
        <v>53425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61">
        <f>14000+2400</f>
        <v>16400</v>
      </c>
      <c r="C37" s="9">
        <v>60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3489</v>
      </c>
      <c r="N37" s="61">
        <f t="shared" si="0"/>
        <v>19949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61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2944</v>
      </c>
      <c r="N38" s="61">
        <f t="shared" si="0"/>
        <v>2944</v>
      </c>
      <c r="O38" s="17">
        <f>SUM(O31:O35)</f>
        <v>0.78663891856197798</v>
      </c>
      <c r="P38" s="17"/>
      <c r="Q38" s="3"/>
      <c r="R38" s="7" t="s">
        <v>53</v>
      </c>
      <c r="S38" s="19">
        <f>N45/1000</f>
        <v>15.573459999999999</v>
      </c>
      <c r="T38" s="7"/>
    </row>
    <row r="39" spans="1:47" ht="15">
      <c r="A39" s="5" t="s">
        <v>19</v>
      </c>
      <c r="B39" s="61">
        <f>SUM(B31:B38)</f>
        <v>47410.9</v>
      </c>
      <c r="C39" s="57">
        <f>SUM(C31:C38)</f>
        <v>85193.2</v>
      </c>
      <c r="D39" s="9">
        <v>0</v>
      </c>
      <c r="E39" s="57">
        <f>SUM(E31:E38)</f>
        <v>62451</v>
      </c>
      <c r="F39" s="9">
        <v>7573</v>
      </c>
      <c r="G39" s="9">
        <v>24223</v>
      </c>
      <c r="H39" s="9">
        <v>0</v>
      </c>
      <c r="I39" s="9"/>
      <c r="J39" s="9"/>
      <c r="K39" s="9"/>
      <c r="L39" s="9"/>
      <c r="M39" s="9">
        <v>130842</v>
      </c>
      <c r="N39" s="9">
        <f>SUM(N31:N38)</f>
        <v>357694.1</v>
      </c>
      <c r="O39" s="3"/>
      <c r="P39" s="3"/>
      <c r="Q39" s="3"/>
      <c r="R39" s="7" t="s">
        <v>54</v>
      </c>
      <c r="S39" s="20">
        <f>N41/1000</f>
        <v>76.317999999999998</v>
      </c>
      <c r="T39" s="14">
        <f>O41</f>
        <v>0.21336108143802204</v>
      </c>
    </row>
    <row r="40" spans="1:47">
      <c r="R40" s="7" t="s">
        <v>55</v>
      </c>
      <c r="S40" s="20">
        <f>N35/1000</f>
        <v>27.56</v>
      </c>
      <c r="T40" s="15">
        <f>O35</f>
        <v>7.7049076291725249E-2</v>
      </c>
    </row>
    <row r="41" spans="1:47" ht="15">
      <c r="A41" s="21" t="s">
        <v>56</v>
      </c>
      <c r="B41" s="22">
        <f>B38+B37+B36</f>
        <v>20300</v>
      </c>
      <c r="C41" s="22">
        <f t="shared" ref="C41:N41" si="1">C38+C37+C36</f>
        <v>1272</v>
      </c>
      <c r="D41" s="22">
        <f t="shared" si="1"/>
        <v>0</v>
      </c>
      <c r="E41" s="22">
        <f t="shared" si="1"/>
        <v>0</v>
      </c>
      <c r="F41" s="22">
        <f t="shared" si="1"/>
        <v>0</v>
      </c>
      <c r="G41" s="22">
        <f t="shared" si="1"/>
        <v>24223</v>
      </c>
      <c r="H41" s="22">
        <f t="shared" si="1"/>
        <v>0</v>
      </c>
      <c r="I41" s="22">
        <f t="shared" si="1"/>
        <v>0</v>
      </c>
      <c r="J41" s="22">
        <f t="shared" si="1"/>
        <v>0</v>
      </c>
      <c r="K41" s="22">
        <f t="shared" si="1"/>
        <v>0</v>
      </c>
      <c r="L41" s="22">
        <f t="shared" si="1"/>
        <v>0</v>
      </c>
      <c r="M41" s="22">
        <f t="shared" si="1"/>
        <v>30523</v>
      </c>
      <c r="N41" s="22">
        <f t="shared" si="1"/>
        <v>76318</v>
      </c>
      <c r="O41" s="16">
        <f>N41/N$39</f>
        <v>0.21336108143802204</v>
      </c>
      <c r="P41" s="16" t="s">
        <v>57</v>
      </c>
      <c r="Q41" s="7"/>
      <c r="R41" s="7" t="s">
        <v>58</v>
      </c>
      <c r="S41" s="20">
        <f>N33/1000</f>
        <v>9.7879000000000005</v>
      </c>
      <c r="T41" s="14">
        <f>O33</f>
        <v>2.7363884391719072E-2</v>
      </c>
    </row>
    <row r="42" spans="1:47" ht="15">
      <c r="A42" s="23" t="s">
        <v>59</v>
      </c>
      <c r="B42" s="22"/>
      <c r="C42" s="24">
        <f>C39+C23+C10</f>
        <v>86467.199999999997</v>
      </c>
      <c r="D42" s="24">
        <f t="shared" ref="D42:L42" si="2">D39+D23+D10</f>
        <v>0</v>
      </c>
      <c r="E42" s="24">
        <f t="shared" si="2"/>
        <v>62451</v>
      </c>
      <c r="F42" s="24">
        <f t="shared" si="2"/>
        <v>7573</v>
      </c>
      <c r="G42" s="24">
        <f t="shared" si="2"/>
        <v>72318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>M39+M23-B6+M45</f>
        <v>141309.35999999999</v>
      </c>
      <c r="N42" s="25">
        <f>SUM(C42:M42)</f>
        <v>370118.56</v>
      </c>
      <c r="O42" s="7"/>
      <c r="P42" s="7"/>
      <c r="Q42" s="7"/>
      <c r="R42" s="7" t="s">
        <v>39</v>
      </c>
      <c r="S42" s="20">
        <f>N31/1000</f>
        <v>3.464</v>
      </c>
      <c r="T42" s="14">
        <f>O31</f>
        <v>9.6842525498743205E-3</v>
      </c>
    </row>
    <row r="43" spans="1:47" ht="15">
      <c r="A43" s="23" t="s">
        <v>60</v>
      </c>
      <c r="B43" s="22"/>
      <c r="C43" s="16">
        <f t="shared" ref="C43:M43" si="3">C42/$N42</f>
        <v>0.23362027562195206</v>
      </c>
      <c r="D43" s="16">
        <f t="shared" si="3"/>
        <v>0</v>
      </c>
      <c r="E43" s="16">
        <f t="shared" si="3"/>
        <v>0.168732419146989</v>
      </c>
      <c r="F43" s="16">
        <f t="shared" si="3"/>
        <v>2.0461011195980011E-2</v>
      </c>
      <c r="G43" s="16">
        <f t="shared" si="3"/>
        <v>0.19539144429828106</v>
      </c>
      <c r="H43" s="16">
        <f t="shared" si="3"/>
        <v>0</v>
      </c>
      <c r="I43" s="16">
        <f t="shared" si="3"/>
        <v>0</v>
      </c>
      <c r="J43" s="16">
        <f t="shared" si="3"/>
        <v>0</v>
      </c>
      <c r="K43" s="16">
        <f t="shared" si="3"/>
        <v>0</v>
      </c>
      <c r="L43" s="16">
        <f t="shared" si="3"/>
        <v>0</v>
      </c>
      <c r="M43" s="16">
        <f t="shared" si="3"/>
        <v>0.38179484973679784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159.58120000000002</v>
      </c>
      <c r="T43" s="15">
        <f>O32</f>
        <v>0.4461387537563522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80.983000000000004</v>
      </c>
      <c r="T44" s="15">
        <f>O34</f>
        <v>0.22640295157230719</v>
      </c>
    </row>
    <row r="45" spans="1:47" ht="15">
      <c r="A45" s="6" t="s">
        <v>63</v>
      </c>
      <c r="B45" s="6">
        <f>B23-B39</f>
        <v>5106.0999999999985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10467.36</v>
      </c>
      <c r="N45" s="25">
        <f>B45+M45</f>
        <v>15573.46</v>
      </c>
      <c r="O45" s="7"/>
      <c r="P45" s="7"/>
      <c r="Q45" s="7"/>
      <c r="R45" s="7" t="s">
        <v>64</v>
      </c>
      <c r="S45" s="20">
        <f>SUM(S39:S44)</f>
        <v>357.69409999999999</v>
      </c>
      <c r="T45" s="14">
        <f>SUM(T39:T44)</f>
        <v>1</v>
      </c>
    </row>
    <row r="46" spans="1:47" ht="15">
      <c r="A46" s="6" t="s">
        <v>76</v>
      </c>
      <c r="B46" s="65">
        <f>B45/B23</f>
        <v>9.7227564407715572E-2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66"/>
      <c r="C47" s="67"/>
      <c r="D47" s="67"/>
      <c r="E47" s="67"/>
      <c r="F47" s="6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66"/>
      <c r="C48" s="67"/>
      <c r="D48" s="68"/>
      <c r="E48" s="67"/>
      <c r="F48" s="68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66"/>
      <c r="C49" s="67"/>
      <c r="D49" s="67"/>
      <c r="E49" s="67"/>
      <c r="F49" s="6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66"/>
      <c r="C50" s="67"/>
      <c r="D50" s="67"/>
      <c r="E50" s="67"/>
      <c r="F50" s="6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66"/>
      <c r="C51" s="67"/>
      <c r="D51" s="67"/>
      <c r="E51" s="67"/>
      <c r="F51" s="6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66"/>
      <c r="C52" s="67"/>
      <c r="D52" s="67"/>
      <c r="E52" s="67"/>
      <c r="F52" s="6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66"/>
      <c r="C53" s="67"/>
      <c r="D53" s="67"/>
      <c r="E53" s="67"/>
      <c r="F53" s="6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66"/>
      <c r="C54" s="67"/>
      <c r="D54" s="67"/>
      <c r="E54" s="67"/>
      <c r="F54" s="6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66"/>
      <c r="C55" s="67"/>
      <c r="D55" s="69"/>
      <c r="E55" s="67"/>
      <c r="F55" s="6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66"/>
      <c r="C56" s="67"/>
      <c r="D56" s="69"/>
      <c r="E56" s="67"/>
      <c r="F56" s="68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0"/>
      <c r="C57" s="71"/>
      <c r="D57" s="71"/>
      <c r="E57" s="71"/>
      <c r="F57" s="71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0"/>
      <c r="C58" s="71"/>
      <c r="D58" s="71"/>
      <c r="E58" s="71"/>
      <c r="F58" s="71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0"/>
      <c r="C59" s="71"/>
      <c r="D59" s="71"/>
      <c r="E59" s="71"/>
      <c r="F59" s="71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0"/>
      <c r="C60" s="71"/>
      <c r="D60" s="71"/>
      <c r="E60" s="71"/>
      <c r="F60" s="71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C61" s="70"/>
      <c r="D61" s="70"/>
      <c r="E61" s="70"/>
      <c r="F61" s="70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0"/>
      <c r="C62" s="70"/>
      <c r="D62" s="70"/>
      <c r="E62" s="70"/>
      <c r="F62" s="70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72"/>
      <c r="C63" s="72"/>
      <c r="D63" s="72"/>
      <c r="E63" s="72"/>
      <c r="F63" s="72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AU70"/>
  <sheetViews>
    <sheetView topLeftCell="A12" zoomScale="125" zoomScaleNormal="125" zoomScalePageLayoutView="125" workbookViewId="0">
      <selection activeCell="V39" sqref="V39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68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/>
      <c r="J6" s="9"/>
      <c r="K6" s="9"/>
      <c r="L6" s="9"/>
      <c r="M6" s="9"/>
      <c r="N6" s="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18053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v>18053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/>
      <c r="J10" s="9"/>
      <c r="K10" s="9"/>
      <c r="L10" s="9"/>
      <c r="M10" s="9"/>
      <c r="N10" s="9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/>
      <c r="J17" s="9"/>
      <c r="K17" s="9"/>
      <c r="L17" s="9"/>
      <c r="M17" s="9"/>
      <c r="N17" s="9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9">
        <v>15807</v>
      </c>
      <c r="C18" s="9">
        <v>498</v>
      </c>
      <c r="D18" s="9">
        <v>0</v>
      </c>
      <c r="E18" s="9">
        <v>0</v>
      </c>
      <c r="F18" s="9">
        <v>0</v>
      </c>
      <c r="G18" s="9">
        <v>19623</v>
      </c>
      <c r="H18" s="9">
        <v>0</v>
      </c>
      <c r="I18" s="9"/>
      <c r="J18" s="9"/>
      <c r="K18" s="9"/>
      <c r="L18" s="9"/>
      <c r="M18" s="9"/>
      <c r="N18" s="9">
        <v>20121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/>
      <c r="J19" s="9"/>
      <c r="K19" s="9"/>
      <c r="L19" s="9"/>
      <c r="M19" s="47">
        <v>0</v>
      </c>
      <c r="N19" s="9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/>
      <c r="J20" s="9"/>
      <c r="K20" s="9"/>
      <c r="L20" s="9"/>
      <c r="M20" s="47">
        <v>0</v>
      </c>
      <c r="N20" s="9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/>
      <c r="J22" s="9"/>
      <c r="K22" s="9"/>
      <c r="L22" s="9"/>
      <c r="M22" s="9"/>
      <c r="N22" s="9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9">
        <v>15807</v>
      </c>
      <c r="C23" s="9">
        <v>498</v>
      </c>
      <c r="D23" s="9">
        <v>0</v>
      </c>
      <c r="E23" s="9">
        <v>0</v>
      </c>
      <c r="F23" s="9">
        <v>0</v>
      </c>
      <c r="G23" s="9">
        <v>19623</v>
      </c>
      <c r="H23" s="9">
        <v>0</v>
      </c>
      <c r="I23" s="9"/>
      <c r="J23" s="9"/>
      <c r="K23" s="9"/>
      <c r="L23" s="9"/>
      <c r="M23" s="9"/>
      <c r="N23" s="9">
        <v>20121</v>
      </c>
      <c r="O23" s="3"/>
      <c r="P23" s="3"/>
      <c r="Q23" s="3"/>
      <c r="R23" s="3" t="s">
        <v>29</v>
      </c>
      <c r="S23" s="12">
        <f>N42/1000</f>
        <v>228.25832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93.991320000000002</v>
      </c>
      <c r="T26" s="14">
        <f>M43</f>
        <v>0.41177609648577107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38.941000000000003</v>
      </c>
      <c r="T27" s="15">
        <f>G43</f>
        <v>0.17060057219381969</v>
      </c>
    </row>
    <row r="28" spans="1:20" ht="15">
      <c r="A28" s="4" t="s">
        <v>68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2.04</v>
      </c>
      <c r="T29" s="14">
        <f>F43</f>
        <v>8.9372426818877838E-3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53.3598</v>
      </c>
      <c r="T30" s="14">
        <f>E43</f>
        <v>0.23376935394950774</v>
      </c>
    </row>
    <row r="31" spans="1:20" ht="15">
      <c r="A31" s="5" t="s">
        <v>38</v>
      </c>
      <c r="B31" s="9">
        <v>0</v>
      </c>
      <c r="C31" s="63">
        <f>(N31-M31)*0.91</f>
        <v>139.23000000000002</v>
      </c>
      <c r="D31" s="9">
        <v>0</v>
      </c>
      <c r="E31" s="9">
        <v>0</v>
      </c>
      <c r="F31" s="63">
        <f>(N31-M31)*0.09</f>
        <v>13.77</v>
      </c>
      <c r="G31" s="9">
        <v>0</v>
      </c>
      <c r="H31" s="9">
        <v>0</v>
      </c>
      <c r="I31" s="9"/>
      <c r="J31" s="9"/>
      <c r="K31" s="9"/>
      <c r="L31" s="9"/>
      <c r="M31" s="9">
        <v>1100</v>
      </c>
      <c r="N31" s="9">
        <v>1253</v>
      </c>
      <c r="O31" s="16">
        <f>N31/N$39</f>
        <v>5.8272293919311704E-3</v>
      </c>
      <c r="P31" s="17" t="s">
        <v>39</v>
      </c>
      <c r="Q31" s="3"/>
      <c r="R31" s="3" t="s">
        <v>40</v>
      </c>
      <c r="S31" s="13">
        <f>C42/1000</f>
        <v>39.926199999999994</v>
      </c>
      <c r="T31" s="15">
        <f>C43</f>
        <v>0.17491673468901373</v>
      </c>
    </row>
    <row r="32" spans="1:20" ht="15">
      <c r="A32" s="5" t="s">
        <v>41</v>
      </c>
      <c r="B32" s="9">
        <v>898</v>
      </c>
      <c r="C32" s="63">
        <f>N32-B32-E32-F32-M32</f>
        <v>14754.969999999994</v>
      </c>
      <c r="D32" s="9">
        <v>0</v>
      </c>
      <c r="E32" s="63">
        <v>53359.8</v>
      </c>
      <c r="F32" s="63">
        <f>F39-F34-F31</f>
        <v>133.22999999999999</v>
      </c>
      <c r="G32" s="9">
        <v>0</v>
      </c>
      <c r="H32" s="9">
        <v>0</v>
      </c>
      <c r="I32" s="9"/>
      <c r="J32" s="9"/>
      <c r="K32" s="9"/>
      <c r="L32" s="9"/>
      <c r="M32" s="9">
        <v>44802</v>
      </c>
      <c r="N32" s="9">
        <v>113948</v>
      </c>
      <c r="O32" s="16">
        <f>N32/N$39</f>
        <v>0.52992907801418443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3311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/>
      <c r="J33" s="9"/>
      <c r="K33" s="9"/>
      <c r="L33" s="9"/>
      <c r="M33" s="9">
        <v>5378</v>
      </c>
      <c r="N33" s="9">
        <v>8689</v>
      </c>
      <c r="O33" s="16">
        <f>N33/N$39</f>
        <v>4.0409254737821185E-2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23291</v>
      </c>
      <c r="D34" s="9">
        <v>0</v>
      </c>
      <c r="E34" s="9">
        <v>0</v>
      </c>
      <c r="F34" s="9">
        <v>1893</v>
      </c>
      <c r="G34" s="9">
        <v>0</v>
      </c>
      <c r="H34" s="9">
        <v>0</v>
      </c>
      <c r="I34" s="9"/>
      <c r="J34" s="9"/>
      <c r="K34" s="9"/>
      <c r="L34" s="9"/>
      <c r="M34" s="9">
        <v>218</v>
      </c>
      <c r="N34" s="9">
        <v>25402</v>
      </c>
      <c r="O34" s="16">
        <f>N34/N$39</f>
        <v>0.1181351005697012</v>
      </c>
      <c r="P34" s="17" t="s">
        <v>47</v>
      </c>
      <c r="Q34" s="3"/>
      <c r="R34" s="3"/>
      <c r="S34" s="13">
        <f>SUM(S26:S33)</f>
        <v>228.25832</v>
      </c>
      <c r="T34" s="14">
        <f>SUM(T26:T33)</f>
        <v>1</v>
      </c>
    </row>
    <row r="35" spans="1:47" ht="15">
      <c r="A35" s="5" t="s">
        <v>48</v>
      </c>
      <c r="B35" s="9">
        <v>635</v>
      </c>
      <c r="C35" s="9">
        <v>178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/>
      <c r="J35" s="9"/>
      <c r="K35" s="9"/>
      <c r="L35" s="9"/>
      <c r="M35" s="9">
        <v>10177</v>
      </c>
      <c r="N35" s="9">
        <v>10990</v>
      </c>
      <c r="O35" s="16">
        <f>N35/N$39</f>
        <v>5.1110336007440998E-2</v>
      </c>
      <c r="P35" s="17" t="s">
        <v>49</v>
      </c>
      <c r="Q35" s="17"/>
    </row>
    <row r="36" spans="1:47" ht="15">
      <c r="A36" s="5" t="s">
        <v>50</v>
      </c>
      <c r="B36" s="9">
        <v>197</v>
      </c>
      <c r="C36" s="9">
        <v>1065</v>
      </c>
      <c r="D36" s="9">
        <v>0</v>
      </c>
      <c r="E36" s="9">
        <v>0</v>
      </c>
      <c r="F36" s="9">
        <v>0</v>
      </c>
      <c r="G36" s="9">
        <v>19318</v>
      </c>
      <c r="H36" s="9">
        <v>0</v>
      </c>
      <c r="I36" s="9"/>
      <c r="J36" s="9"/>
      <c r="K36" s="9"/>
      <c r="L36" s="9"/>
      <c r="M36" s="9">
        <v>19985</v>
      </c>
      <c r="N36" s="9">
        <v>40565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8809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>
        <v>3146</v>
      </c>
      <c r="N37" s="9">
        <v>11955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/>
      <c r="J38" s="9"/>
      <c r="K38" s="9"/>
      <c r="L38" s="9"/>
      <c r="M38" s="9">
        <v>2223</v>
      </c>
      <c r="N38" s="9">
        <v>2223</v>
      </c>
      <c r="O38" s="17">
        <f>SUM(O31:O35)</f>
        <v>0.74541099872107897</v>
      </c>
      <c r="P38" s="17"/>
      <c r="Q38" s="3"/>
      <c r="R38" s="7" t="s">
        <v>53</v>
      </c>
      <c r="S38" s="19">
        <f>N45/1000</f>
        <v>8.919319999999999</v>
      </c>
      <c r="T38" s="7"/>
    </row>
    <row r="39" spans="1:47" ht="15">
      <c r="A39" s="5" t="s">
        <v>19</v>
      </c>
      <c r="B39" s="9">
        <v>13850</v>
      </c>
      <c r="C39" s="18">
        <f>SUM(C31:C38)</f>
        <v>39428.199999999997</v>
      </c>
      <c r="D39" s="9">
        <v>0</v>
      </c>
      <c r="E39" s="18">
        <f>E32</f>
        <v>53359.8</v>
      </c>
      <c r="F39" s="9">
        <v>2040</v>
      </c>
      <c r="G39" s="9">
        <v>19318</v>
      </c>
      <c r="H39" s="9">
        <v>0</v>
      </c>
      <c r="I39" s="9"/>
      <c r="J39" s="9"/>
      <c r="K39" s="9"/>
      <c r="L39" s="9"/>
      <c r="M39" s="9">
        <v>87029</v>
      </c>
      <c r="N39" s="9">
        <v>215025</v>
      </c>
      <c r="O39" s="3"/>
      <c r="P39" s="3"/>
      <c r="Q39" s="3"/>
      <c r="R39" s="7" t="s">
        <v>54</v>
      </c>
      <c r="S39" s="20">
        <f>N41/1000</f>
        <v>54.743000000000002</v>
      </c>
      <c r="T39" s="14">
        <f>O41</f>
        <v>0.25458900127892103</v>
      </c>
    </row>
    <row r="40" spans="1:47">
      <c r="R40" s="7" t="s">
        <v>55</v>
      </c>
      <c r="S40" s="20">
        <f>N35/1000</f>
        <v>10.99</v>
      </c>
      <c r="T40" s="15">
        <f>O35</f>
        <v>5.1110336007440998E-2</v>
      </c>
    </row>
    <row r="41" spans="1:47" ht="15">
      <c r="A41" s="21" t="s">
        <v>56</v>
      </c>
      <c r="B41" s="22">
        <f>B38+B37+B36</f>
        <v>9006</v>
      </c>
      <c r="C41" s="22">
        <f t="shared" ref="C41:N41" si="0">C38+C37+C36</f>
        <v>1065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19318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25354</v>
      </c>
      <c r="N41" s="22">
        <f t="shared" si="0"/>
        <v>54743</v>
      </c>
      <c r="O41" s="16">
        <f>N41/N$39</f>
        <v>0.25458900127892103</v>
      </c>
      <c r="P41" s="16" t="s">
        <v>57</v>
      </c>
      <c r="Q41" s="7"/>
      <c r="R41" s="7" t="s">
        <v>58</v>
      </c>
      <c r="S41" s="20">
        <f>N33/1000</f>
        <v>8.6890000000000001</v>
      </c>
      <c r="T41" s="14">
        <f>O33</f>
        <v>4.0409254737821185E-2</v>
      </c>
    </row>
    <row r="42" spans="1:47" ht="15">
      <c r="A42" s="23" t="s">
        <v>59</v>
      </c>
      <c r="B42" s="22"/>
      <c r="C42" s="24">
        <f>C39+C23+C10</f>
        <v>39926.199999999997</v>
      </c>
      <c r="D42" s="24">
        <f t="shared" ref="D42:L42" si="1">D39+D23+D10</f>
        <v>0</v>
      </c>
      <c r="E42" s="24">
        <f t="shared" si="1"/>
        <v>53359.8</v>
      </c>
      <c r="F42" s="24">
        <f t="shared" si="1"/>
        <v>2040</v>
      </c>
      <c r="G42" s="24">
        <f t="shared" si="1"/>
        <v>38941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93991.32</v>
      </c>
      <c r="N42" s="25">
        <f>SUM(C42:M42)</f>
        <v>228258.32</v>
      </c>
      <c r="O42" s="7"/>
      <c r="P42" s="7"/>
      <c r="Q42" s="7"/>
      <c r="R42" s="7" t="s">
        <v>39</v>
      </c>
      <c r="S42" s="20">
        <f>N31/1000</f>
        <v>1.2529999999999999</v>
      </c>
      <c r="T42" s="14">
        <f>O31</f>
        <v>5.8272293919311704E-3</v>
      </c>
    </row>
    <row r="43" spans="1:47" ht="15">
      <c r="A43" s="23" t="s">
        <v>60</v>
      </c>
      <c r="B43" s="22"/>
      <c r="C43" s="16">
        <f t="shared" ref="C43:M43" si="2">C42/$N42</f>
        <v>0.17491673468901373</v>
      </c>
      <c r="D43" s="16">
        <f t="shared" si="2"/>
        <v>0</v>
      </c>
      <c r="E43" s="16">
        <f t="shared" si="2"/>
        <v>0.23376935394950774</v>
      </c>
      <c r="F43" s="16">
        <f t="shared" si="2"/>
        <v>8.9372426818877838E-3</v>
      </c>
      <c r="G43" s="16">
        <f t="shared" si="2"/>
        <v>0.17060057219381969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0.41177609648577107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113.94799999999999</v>
      </c>
      <c r="T43" s="15">
        <f>O32</f>
        <v>0.52992907801418443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25.402000000000001</v>
      </c>
      <c r="T44" s="15">
        <f>O34</f>
        <v>0.1181351005697012</v>
      </c>
    </row>
    <row r="45" spans="1:47" ht="15">
      <c r="A45" s="6" t="s">
        <v>63</v>
      </c>
      <c r="B45" s="6">
        <f>B23-B39</f>
        <v>1957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6962.32</v>
      </c>
      <c r="N45" s="25">
        <f>B45+M45</f>
        <v>8919.32</v>
      </c>
      <c r="O45" s="7"/>
      <c r="P45" s="7"/>
      <c r="Q45" s="7"/>
      <c r="R45" s="7" t="s">
        <v>64</v>
      </c>
      <c r="S45" s="20">
        <f>SUM(S39:S44)</f>
        <v>215.02499999999998</v>
      </c>
      <c r="T45" s="14">
        <f>SUM(T39:T44)</f>
        <v>1</v>
      </c>
    </row>
    <row r="46" spans="1:47" ht="15">
      <c r="A46" s="6" t="s">
        <v>76</v>
      </c>
      <c r="B46" s="65">
        <f>B45/B23</f>
        <v>0.12380590877459353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37"/>
      <c r="E47" s="27"/>
      <c r="F47" s="27"/>
      <c r="G47" s="3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37"/>
      <c r="E48" s="27"/>
      <c r="F48" s="37"/>
      <c r="G48" s="3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9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37"/>
      <c r="E55" s="27"/>
      <c r="F55" s="3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37"/>
      <c r="E56" s="27"/>
      <c r="F56" s="3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 enableFormatConditionsCalculation="0"/>
  <dimension ref="A1:AU70"/>
  <sheetViews>
    <sheetView topLeftCell="A14" zoomScale="125" zoomScaleNormal="125" zoomScalePageLayoutView="125" workbookViewId="0">
      <selection activeCell="N23" sqref="N23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69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9">
        <v>152207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0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/>
      <c r="J7" s="60"/>
      <c r="K7" s="60"/>
      <c r="L7" s="60"/>
      <c r="M7" s="60"/>
      <c r="N7" s="60">
        <v>0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4303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0</v>
      </c>
      <c r="I8" s="60"/>
      <c r="J8" s="60"/>
      <c r="K8" s="60"/>
      <c r="L8" s="60"/>
      <c r="M8" s="60"/>
      <c r="N8" s="60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22917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0</v>
      </c>
      <c r="I9" s="60"/>
      <c r="J9" s="60"/>
      <c r="K9" s="60"/>
      <c r="L9" s="60"/>
      <c r="M9" s="60"/>
      <c r="N9" s="60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v>179427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/>
      <c r="J10" s="60"/>
      <c r="K10" s="60"/>
      <c r="L10" s="60"/>
      <c r="M10" s="60"/>
      <c r="N10" s="60">
        <v>0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69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61">
        <v>581769</v>
      </c>
      <c r="C17" s="61">
        <f>(89*9.95+2551*10.65)+943*10.65</f>
        <v>38096.65</v>
      </c>
      <c r="D17" s="61">
        <f>(404*7)+170*7</f>
        <v>4018</v>
      </c>
      <c r="E17" s="60">
        <v>0</v>
      </c>
      <c r="F17" s="60">
        <v>0</v>
      </c>
      <c r="G17" s="61">
        <f>(516261*0.72)+184793*0.72</f>
        <v>504758.88</v>
      </c>
      <c r="H17" s="60">
        <v>0</v>
      </c>
      <c r="I17" s="60"/>
      <c r="J17" s="60">
        <f>22690*3+(8987*3)</f>
        <v>95031</v>
      </c>
      <c r="K17" s="60"/>
      <c r="L17" s="60"/>
      <c r="M17" s="60"/>
      <c r="N17" s="61">
        <f>SUM(C17:L17)</f>
        <v>641904.53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61">
        <v>386640</v>
      </c>
      <c r="C18" s="61">
        <f>150*9.95+2791*10.65</f>
        <v>31216.65</v>
      </c>
      <c r="D18" s="60">
        <f>409*7</f>
        <v>2863</v>
      </c>
      <c r="E18" s="60">
        <v>0</v>
      </c>
      <c r="F18" s="60">
        <v>0</v>
      </c>
      <c r="G18" s="60">
        <f>494660*0.72</f>
        <v>356155.2</v>
      </c>
      <c r="H18" s="60">
        <v>0</v>
      </c>
      <c r="I18" s="60"/>
      <c r="J18" s="60">
        <f>12838*3</f>
        <v>38514</v>
      </c>
      <c r="K18" s="60"/>
      <c r="L18" s="60"/>
      <c r="M18" s="60"/>
      <c r="N18" s="61">
        <f>SUM(C18:L18)</f>
        <v>428748.85000000003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60">
        <v>3827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/>
      <c r="J19" s="60"/>
      <c r="K19" s="60"/>
      <c r="L19" s="60"/>
      <c r="M19" s="61">
        <f>1.015*B19</f>
        <v>3884.4049999999997</v>
      </c>
      <c r="N19" s="61">
        <f>M19</f>
        <v>3884.4049999999997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60">
        <v>44880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/>
      <c r="J20" s="60"/>
      <c r="K20" s="60"/>
      <c r="L20" s="60"/>
      <c r="M20" s="61">
        <f>0.33*B20</f>
        <v>14810.400000000001</v>
      </c>
      <c r="N20" s="61">
        <f>M20</f>
        <v>14810.400000000001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60">
        <v>80377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/>
      <c r="J21" s="60"/>
      <c r="K21" s="60"/>
      <c r="L21" s="60"/>
      <c r="M21" s="60"/>
      <c r="N21" s="60">
        <v>0</v>
      </c>
      <c r="O21" s="3"/>
      <c r="P21" s="3"/>
      <c r="Q21" s="3"/>
      <c r="R21" s="3"/>
      <c r="S21" s="3"/>
      <c r="T21" s="3"/>
    </row>
    <row r="22" spans="1:20" ht="15">
      <c r="A22" s="8" t="s">
        <v>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/>
      <c r="J22" s="60"/>
      <c r="K22" s="60"/>
      <c r="L22" s="60"/>
      <c r="M22" s="60"/>
      <c r="N22" s="60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52">
        <f>B17+B18+B19+B20+B21+B22</f>
        <v>1097493</v>
      </c>
      <c r="C23" s="60">
        <f>C17+C18</f>
        <v>69313.3</v>
      </c>
      <c r="D23" s="60">
        <f>D18+D17</f>
        <v>6881</v>
      </c>
      <c r="E23" s="60">
        <v>0</v>
      </c>
      <c r="F23" s="60">
        <v>0</v>
      </c>
      <c r="G23" s="60">
        <f>G17+G18</f>
        <v>860914.08000000007</v>
      </c>
      <c r="H23" s="60">
        <v>0</v>
      </c>
      <c r="I23" s="60"/>
      <c r="J23" s="60">
        <f>J18+J17</f>
        <v>133545</v>
      </c>
      <c r="K23" s="60"/>
      <c r="L23" s="60"/>
      <c r="M23" s="61">
        <f>M19+M20</f>
        <v>18694.805</v>
      </c>
      <c r="N23" s="61">
        <f>SUM(N17:N22)</f>
        <v>1089348.1850000001</v>
      </c>
      <c r="O23" s="3"/>
      <c r="P23" s="3"/>
      <c r="Q23" s="3"/>
      <c r="R23" s="3" t="s">
        <v>29</v>
      </c>
      <c r="S23" s="12">
        <f>N42/1000</f>
        <v>3546.3161049999994</v>
      </c>
      <c r="T23" s="3"/>
    </row>
    <row r="24" spans="1:20" ht="15"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1179.3887249999998</v>
      </c>
      <c r="T26" s="14">
        <f>M43</f>
        <v>0.33256728675065472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984.2660800000001</v>
      </c>
      <c r="T27" s="15">
        <f>G43</f>
        <v>0.27754606494674006</v>
      </c>
    </row>
    <row r="28" spans="1:20" ht="15">
      <c r="A28" s="4" t="s">
        <v>69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133.54499999999999</v>
      </c>
      <c r="T28" s="14">
        <f>J43</f>
        <v>3.7657387566695781E-2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96.028000000000006</v>
      </c>
      <c r="T29" s="14">
        <f>F43</f>
        <v>2.7078240392786421E-2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13.701000000000001</v>
      </c>
      <c r="T30" s="14">
        <f>E43</f>
        <v>3.8634457827046984E-3</v>
      </c>
    </row>
    <row r="31" spans="1:20" ht="15">
      <c r="A31" s="5" t="s">
        <v>38</v>
      </c>
      <c r="B31" s="9">
        <v>0</v>
      </c>
      <c r="C31" s="9">
        <v>30694</v>
      </c>
      <c r="D31" s="9">
        <v>0</v>
      </c>
      <c r="E31" s="9">
        <v>0</v>
      </c>
      <c r="F31" s="61">
        <v>2833</v>
      </c>
      <c r="G31" s="9">
        <v>0</v>
      </c>
      <c r="H31" s="9">
        <v>0</v>
      </c>
      <c r="I31" s="9"/>
      <c r="J31" s="9"/>
      <c r="K31" s="9"/>
      <c r="L31" s="9"/>
      <c r="M31" s="9">
        <v>27536</v>
      </c>
      <c r="N31" s="9">
        <v>61063</v>
      </c>
      <c r="O31" s="16">
        <f>N31/N$39</f>
        <v>1.7834080521035647E-2</v>
      </c>
      <c r="P31" s="17" t="s">
        <v>39</v>
      </c>
      <c r="Q31" s="3"/>
      <c r="R31" s="3" t="s">
        <v>40</v>
      </c>
      <c r="S31" s="13">
        <f>C42/1000</f>
        <v>1130.4322999999999</v>
      </c>
      <c r="T31" s="15">
        <f>C43</f>
        <v>0.31876241895249779</v>
      </c>
    </row>
    <row r="32" spans="1:20" ht="15">
      <c r="A32" s="5" t="s">
        <v>41</v>
      </c>
      <c r="B32" s="9">
        <v>44127</v>
      </c>
      <c r="C32" s="63">
        <f>C39-C31-C33-C34-C35-C36-C37</f>
        <v>35113</v>
      </c>
      <c r="D32" s="9">
        <v>0</v>
      </c>
      <c r="E32" s="63">
        <v>13701</v>
      </c>
      <c r="F32" s="61">
        <v>1125</v>
      </c>
      <c r="G32" s="63">
        <v>5352</v>
      </c>
      <c r="H32" s="63">
        <f>N32-G32-F32-M32-E32-C32-B32</f>
        <v>2074</v>
      </c>
      <c r="I32" s="18"/>
      <c r="J32" s="18"/>
      <c r="K32" s="18"/>
      <c r="L32" s="9"/>
      <c r="M32" s="9">
        <v>188271</v>
      </c>
      <c r="N32" s="9">
        <v>289763</v>
      </c>
      <c r="O32" s="16">
        <f>N32/N$39</f>
        <v>8.4628280202689879E-2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85576</v>
      </c>
      <c r="C33" s="9">
        <v>3719</v>
      </c>
      <c r="D33" s="9">
        <v>0</v>
      </c>
      <c r="E33" s="9">
        <v>0</v>
      </c>
      <c r="F33" s="61">
        <v>0</v>
      </c>
      <c r="G33" s="9">
        <v>0</v>
      </c>
      <c r="H33" s="9">
        <v>0</v>
      </c>
      <c r="I33" s="9"/>
      <c r="J33" s="9"/>
      <c r="K33" s="9"/>
      <c r="L33" s="9"/>
      <c r="M33" s="9">
        <v>136272</v>
      </c>
      <c r="N33" s="9">
        <v>225567</v>
      </c>
      <c r="O33" s="16">
        <f>N33/N$39</f>
        <v>6.5879174637480109E-2</v>
      </c>
      <c r="P33" s="17" t="s">
        <v>45</v>
      </c>
      <c r="Q33" s="3"/>
      <c r="R33" s="3" t="s">
        <v>8</v>
      </c>
      <c r="S33" s="13">
        <f>H42/1000</f>
        <v>2.0739999999999998</v>
      </c>
      <c r="T33" s="14">
        <f>H43</f>
        <v>5.8483224241511888E-4</v>
      </c>
    </row>
    <row r="34" spans="1:47" ht="15">
      <c r="A34" s="5" t="s">
        <v>46</v>
      </c>
      <c r="B34" s="9">
        <v>0</v>
      </c>
      <c r="C34" s="9">
        <v>972983</v>
      </c>
      <c r="D34" s="9">
        <v>0</v>
      </c>
      <c r="E34" s="9">
        <v>0</v>
      </c>
      <c r="F34" s="61">
        <v>92070</v>
      </c>
      <c r="G34" s="9">
        <v>0</v>
      </c>
      <c r="H34" s="9">
        <v>0</v>
      </c>
      <c r="I34" s="9"/>
      <c r="J34" s="9"/>
      <c r="K34" s="9"/>
      <c r="L34" s="9"/>
      <c r="M34" s="9">
        <v>5026</v>
      </c>
      <c r="N34" s="9">
        <v>1070079</v>
      </c>
      <c r="O34" s="16">
        <f>N34/N$39</f>
        <v>0.31252763620964091</v>
      </c>
      <c r="P34" s="17" t="s">
        <v>47</v>
      </c>
      <c r="Q34" s="3"/>
      <c r="R34" s="3"/>
      <c r="S34" s="13">
        <f>SUM(S26:S33)</f>
        <v>3539.435105</v>
      </c>
      <c r="T34" s="14">
        <f>SUM(T26:T33)</f>
        <v>0.99805967663449457</v>
      </c>
    </row>
    <row r="35" spans="1:47" ht="15">
      <c r="A35" s="5" t="s">
        <v>48</v>
      </c>
      <c r="B35" s="9">
        <v>277375</v>
      </c>
      <c r="C35" s="9">
        <v>14127</v>
      </c>
      <c r="D35" s="9">
        <v>0</v>
      </c>
      <c r="E35" s="9">
        <v>0</v>
      </c>
      <c r="F35" s="61">
        <v>0</v>
      </c>
      <c r="G35" s="9">
        <v>0</v>
      </c>
      <c r="H35" s="9">
        <v>0</v>
      </c>
      <c r="I35" s="9"/>
      <c r="J35" s="9"/>
      <c r="K35" s="9"/>
      <c r="L35" s="9"/>
      <c r="M35" s="9">
        <v>458797</v>
      </c>
      <c r="N35" s="9">
        <v>750299</v>
      </c>
      <c r="O35" s="16">
        <f>N35/N$39</f>
        <v>0.21913258079119147</v>
      </c>
      <c r="P35" s="17" t="s">
        <v>49</v>
      </c>
      <c r="Q35" s="17"/>
    </row>
    <row r="36" spans="1:47" ht="15">
      <c r="A36" s="5" t="s">
        <v>50</v>
      </c>
      <c r="B36" s="9">
        <v>89544</v>
      </c>
      <c r="C36" s="63">
        <f>N36-B36-G36-M36</f>
        <v>3926</v>
      </c>
      <c r="D36" s="9">
        <v>0</v>
      </c>
      <c r="E36" s="9">
        <v>0</v>
      </c>
      <c r="F36" s="61">
        <v>0</v>
      </c>
      <c r="G36" s="63">
        <v>118000</v>
      </c>
      <c r="H36" s="9">
        <v>0</v>
      </c>
      <c r="I36" s="9"/>
      <c r="J36" s="9"/>
      <c r="K36" s="9"/>
      <c r="L36" s="9"/>
      <c r="M36" s="9">
        <v>285316</v>
      </c>
      <c r="N36" s="9">
        <v>496786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415405</v>
      </c>
      <c r="C37" s="9">
        <v>557</v>
      </c>
      <c r="D37" s="9">
        <v>0</v>
      </c>
      <c r="E37" s="9">
        <v>0</v>
      </c>
      <c r="F37" s="61">
        <v>0</v>
      </c>
      <c r="G37" s="9">
        <v>0</v>
      </c>
      <c r="H37" s="9">
        <v>0</v>
      </c>
      <c r="I37" s="9"/>
      <c r="J37" s="9"/>
      <c r="K37" s="9"/>
      <c r="L37" s="9"/>
      <c r="M37" s="9">
        <v>101717</v>
      </c>
      <c r="N37" s="9">
        <v>517679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9">
        <v>0</v>
      </c>
      <c r="E38" s="9">
        <v>0</v>
      </c>
      <c r="F38" s="61">
        <v>0</v>
      </c>
      <c r="G38" s="9">
        <v>0</v>
      </c>
      <c r="H38" s="9">
        <v>0</v>
      </c>
      <c r="I38" s="9"/>
      <c r="J38" s="9"/>
      <c r="K38" s="9"/>
      <c r="L38" s="9"/>
      <c r="M38" s="9">
        <v>12714</v>
      </c>
      <c r="N38" s="9">
        <v>12714</v>
      </c>
      <c r="O38" s="17">
        <f>SUM(O31:O35)</f>
        <v>0.70000175236203799</v>
      </c>
      <c r="P38" s="17"/>
      <c r="Q38" s="3"/>
      <c r="R38" s="7" t="s">
        <v>53</v>
      </c>
      <c r="S38" s="19">
        <f>N45/1000</f>
        <v>194.26291999999998</v>
      </c>
      <c r="T38" s="7"/>
    </row>
    <row r="39" spans="1:47" ht="15">
      <c r="A39" s="5" t="s">
        <v>19</v>
      </c>
      <c r="B39" s="9">
        <v>912027</v>
      </c>
      <c r="C39" s="9">
        <v>1061119</v>
      </c>
      <c r="D39" s="9">
        <v>0</v>
      </c>
      <c r="E39" s="63">
        <f>E32</f>
        <v>13701</v>
      </c>
      <c r="F39" s="9">
        <v>96028</v>
      </c>
      <c r="G39" s="63">
        <f>G36+G32</f>
        <v>123352</v>
      </c>
      <c r="H39" s="63">
        <f>H32</f>
        <v>2074</v>
      </c>
      <c r="I39" s="18"/>
      <c r="J39" s="18"/>
      <c r="K39" s="18"/>
      <c r="L39" s="9"/>
      <c r="M39" s="9">
        <v>1215649</v>
      </c>
      <c r="N39" s="9">
        <v>3423950</v>
      </c>
      <c r="O39" s="3"/>
      <c r="P39" s="3"/>
      <c r="Q39" s="3"/>
      <c r="R39" s="7" t="s">
        <v>54</v>
      </c>
      <c r="S39" s="20">
        <f>N41/1000</f>
        <v>1027.1790000000001</v>
      </c>
      <c r="T39" s="14">
        <f>O41</f>
        <v>0.29999824763796201</v>
      </c>
    </row>
    <row r="40" spans="1:47">
      <c r="R40" s="7" t="s">
        <v>55</v>
      </c>
      <c r="S40" s="20">
        <f>N35/1000</f>
        <v>750.29899999999998</v>
      </c>
      <c r="T40" s="15">
        <f>O35</f>
        <v>0.21913258079119147</v>
      </c>
    </row>
    <row r="41" spans="1:47" ht="15">
      <c r="A41" s="21" t="s">
        <v>56</v>
      </c>
      <c r="B41" s="22">
        <f>B38+B37+B36</f>
        <v>504949</v>
      </c>
      <c r="C41" s="22">
        <f t="shared" ref="C41:N41" si="0">C38+C37+C36</f>
        <v>4483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118000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399747</v>
      </c>
      <c r="N41" s="22">
        <f t="shared" si="0"/>
        <v>1027179</v>
      </c>
      <c r="O41" s="16">
        <f>N41/N$39</f>
        <v>0.29999824763796201</v>
      </c>
      <c r="P41" s="16" t="s">
        <v>57</v>
      </c>
      <c r="Q41" s="7"/>
      <c r="R41" s="7" t="s">
        <v>58</v>
      </c>
      <c r="S41" s="20">
        <f>N33/1000</f>
        <v>225.56700000000001</v>
      </c>
      <c r="T41" s="14">
        <f>O33</f>
        <v>6.5879174637480109E-2</v>
      </c>
    </row>
    <row r="42" spans="1:47" ht="15">
      <c r="A42" s="23" t="s">
        <v>59</v>
      </c>
      <c r="B42" s="22"/>
      <c r="C42" s="24">
        <f>C39+C23+C10</f>
        <v>1130432.3</v>
      </c>
      <c r="D42" s="24">
        <f t="shared" ref="D42:L42" si="1">D39+D23+D10</f>
        <v>6881</v>
      </c>
      <c r="E42" s="24">
        <f t="shared" si="1"/>
        <v>13701</v>
      </c>
      <c r="F42" s="24">
        <f t="shared" si="1"/>
        <v>96028</v>
      </c>
      <c r="G42" s="24">
        <f t="shared" si="1"/>
        <v>984266.08000000007</v>
      </c>
      <c r="H42" s="24">
        <f t="shared" si="1"/>
        <v>2074</v>
      </c>
      <c r="I42" s="24">
        <f t="shared" si="1"/>
        <v>0</v>
      </c>
      <c r="J42" s="24">
        <f t="shared" si="1"/>
        <v>133545</v>
      </c>
      <c r="K42" s="24">
        <f t="shared" si="1"/>
        <v>0</v>
      </c>
      <c r="L42" s="24">
        <f t="shared" si="1"/>
        <v>0</v>
      </c>
      <c r="M42" s="24">
        <f>M39+M23-B6+M45</f>
        <v>1179388.7249999999</v>
      </c>
      <c r="N42" s="25">
        <f>SUM(C42:M42)</f>
        <v>3546316.1049999995</v>
      </c>
      <c r="O42" s="7"/>
      <c r="P42" s="7"/>
      <c r="Q42" s="7"/>
      <c r="R42" s="7" t="s">
        <v>39</v>
      </c>
      <c r="S42" s="20">
        <f>N31/1000</f>
        <v>61.063000000000002</v>
      </c>
      <c r="T42" s="14">
        <f>O31</f>
        <v>1.7834080521035647E-2</v>
      </c>
    </row>
    <row r="43" spans="1:47" ht="15">
      <c r="A43" s="23" t="s">
        <v>60</v>
      </c>
      <c r="B43" s="22"/>
      <c r="C43" s="16">
        <f t="shared" ref="C43:M43" si="2">C42/$N42</f>
        <v>0.31876241895249779</v>
      </c>
      <c r="D43" s="16">
        <f t="shared" si="2"/>
        <v>1.9403233655055127E-3</v>
      </c>
      <c r="E43" s="16">
        <f t="shared" si="2"/>
        <v>3.8634457827046984E-3</v>
      </c>
      <c r="F43" s="16">
        <f t="shared" si="2"/>
        <v>2.7078240392786421E-2</v>
      </c>
      <c r="G43" s="16">
        <f t="shared" si="2"/>
        <v>0.27754606494674006</v>
      </c>
      <c r="H43" s="16">
        <f t="shared" si="2"/>
        <v>5.8483224241511888E-4</v>
      </c>
      <c r="I43" s="16">
        <f t="shared" si="2"/>
        <v>0</v>
      </c>
      <c r="J43" s="16">
        <f t="shared" si="2"/>
        <v>3.7657387566695781E-2</v>
      </c>
      <c r="K43" s="16">
        <f t="shared" si="2"/>
        <v>0</v>
      </c>
      <c r="L43" s="16">
        <f t="shared" si="2"/>
        <v>0</v>
      </c>
      <c r="M43" s="16">
        <f t="shared" si="2"/>
        <v>0.33256728675065472</v>
      </c>
      <c r="N43" s="16">
        <f>SUM(C43:M43)</f>
        <v>1.0000000000000002</v>
      </c>
      <c r="O43" s="7"/>
      <c r="P43" s="7"/>
      <c r="Q43" s="7"/>
      <c r="R43" s="7" t="s">
        <v>61</v>
      </c>
      <c r="S43" s="20">
        <f>N32/1000</f>
        <v>289.76299999999998</v>
      </c>
      <c r="T43" s="15">
        <f>O32</f>
        <v>8.4628280202689879E-2</v>
      </c>
    </row>
    <row r="44" spans="1:47">
      <c r="A44" s="4" t="s">
        <v>77</v>
      </c>
      <c r="B44" s="6">
        <f>38142+50313</f>
        <v>88455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1070.079</v>
      </c>
      <c r="T44" s="15">
        <f>O34</f>
        <v>0.31252763620964091</v>
      </c>
    </row>
    <row r="45" spans="1:47" ht="15">
      <c r="A45" s="6" t="s">
        <v>63</v>
      </c>
      <c r="B45" s="6">
        <f>B23-B44-B39</f>
        <v>97011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97251.92</v>
      </c>
      <c r="N45" s="25">
        <f>B45+M45</f>
        <v>194262.91999999998</v>
      </c>
      <c r="O45" s="7"/>
      <c r="P45" s="7"/>
      <c r="Q45" s="7"/>
      <c r="R45" s="7" t="s">
        <v>64</v>
      </c>
      <c r="S45" s="20">
        <f>SUM(S39:S44)</f>
        <v>3423.95</v>
      </c>
      <c r="T45" s="14">
        <f>SUM(T39:T44)</f>
        <v>1</v>
      </c>
    </row>
    <row r="46" spans="1:47" ht="15">
      <c r="A46" s="6" t="s">
        <v>76</v>
      </c>
      <c r="B46" s="65">
        <f>B45/B23</f>
        <v>8.8393274490133428E-2</v>
      </c>
      <c r="C46"/>
      <c r="D46"/>
      <c r="E4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 ht="15">
      <c r="C47"/>
      <c r="D47"/>
      <c r="E4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ht="15">
      <c r="A48" s="27"/>
      <c r="C48"/>
      <c r="D48"/>
      <c r="E48"/>
      <c r="F48" s="37"/>
      <c r="G48" s="27"/>
      <c r="H48" s="37"/>
      <c r="I48" s="37"/>
      <c r="J48" s="37"/>
      <c r="K48" s="37"/>
      <c r="L48" s="37"/>
      <c r="M48" s="27"/>
      <c r="N48" s="27"/>
      <c r="O48" s="2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 ht="15">
      <c r="A49" s="27"/>
      <c r="B49" s="4"/>
      <c r="C49"/>
      <c r="D49"/>
      <c r="E49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37"/>
      <c r="E52" s="27"/>
      <c r="F52" s="27"/>
      <c r="G52" s="27"/>
      <c r="H52" s="37"/>
      <c r="I52" s="27"/>
      <c r="J52" s="27"/>
      <c r="K52" s="27"/>
      <c r="L52" s="27"/>
      <c r="M52" s="27"/>
      <c r="N52" s="27"/>
      <c r="O52" s="2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37"/>
      <c r="G55" s="27"/>
      <c r="H55" s="37"/>
      <c r="I55" s="37"/>
      <c r="J55" s="37"/>
      <c r="K55" s="37"/>
      <c r="L55" s="3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37"/>
      <c r="G56" s="27"/>
      <c r="H56" s="37"/>
      <c r="I56" s="37"/>
      <c r="J56" s="37"/>
      <c r="K56" s="37"/>
      <c r="L56" s="3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 enableFormatConditionsCalculation="0"/>
  <dimension ref="A1:AU70"/>
  <sheetViews>
    <sheetView topLeftCell="A13" zoomScale="125" zoomScaleNormal="125" zoomScalePageLayoutView="125" workbookViewId="0">
      <selection activeCell="B46" sqref="B46"/>
    </sheetView>
  </sheetViews>
  <sheetFormatPr baseColWidth="10" defaultColWidth="8.83203125" defaultRowHeight="14" x14ac:dyDescent="0"/>
  <cols>
    <col min="1" max="1" width="22.5" style="2" customWidth="1"/>
    <col min="2" max="2" width="12" style="2" customWidth="1"/>
    <col min="3" max="3" width="13.83203125" style="2" customWidth="1"/>
    <col min="4" max="16384" width="8.83203125" style="2"/>
  </cols>
  <sheetData>
    <row r="1" spans="1:20" ht="18">
      <c r="A1" s="1" t="s">
        <v>0</v>
      </c>
      <c r="O1" s="3"/>
      <c r="P1" s="3"/>
      <c r="Q1" s="3"/>
      <c r="R1" s="3"/>
      <c r="S1" s="3"/>
      <c r="T1" s="3"/>
    </row>
    <row r="2" spans="1:20" ht="15">
      <c r="A2" s="4" t="s">
        <v>70</v>
      </c>
      <c r="O2" s="3"/>
      <c r="P2" s="3"/>
      <c r="Q2" s="3"/>
      <c r="R2" s="3"/>
      <c r="S2" s="3"/>
      <c r="T2" s="3"/>
    </row>
    <row r="3" spans="1:20" ht="15">
      <c r="A3" s="5">
        <v>2013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3"/>
      <c r="P3" s="3"/>
      <c r="Q3" s="3"/>
      <c r="R3" s="3"/>
      <c r="S3" s="3"/>
      <c r="T3" s="3"/>
    </row>
    <row r="4" spans="1:20" ht="15">
      <c r="O4" s="3"/>
      <c r="P4" s="3"/>
      <c r="Q4" s="3"/>
      <c r="R4" s="3"/>
      <c r="S4" s="3"/>
      <c r="T4" s="3"/>
    </row>
    <row r="5" spans="1:20" ht="15">
      <c r="A5" s="5"/>
      <c r="O5" s="3"/>
      <c r="P5" s="3"/>
      <c r="Q5" s="3"/>
      <c r="R5" s="3"/>
      <c r="S5" s="3"/>
      <c r="T5" s="3"/>
    </row>
    <row r="6" spans="1:20" ht="15">
      <c r="A6" s="8" t="s">
        <v>15</v>
      </c>
      <c r="B6" s="59">
        <v>0</v>
      </c>
      <c r="C6" s="9">
        <v>0</v>
      </c>
      <c r="D6" s="59">
        <v>0</v>
      </c>
      <c r="E6" s="9">
        <v>0</v>
      </c>
      <c r="F6" s="9">
        <v>0</v>
      </c>
      <c r="G6" s="59">
        <v>0</v>
      </c>
      <c r="H6" s="9">
        <v>0</v>
      </c>
      <c r="I6" s="9"/>
      <c r="J6" s="9"/>
      <c r="K6" s="59">
        <v>0</v>
      </c>
      <c r="L6" s="9"/>
      <c r="M6" s="9"/>
      <c r="N6" s="59">
        <v>0</v>
      </c>
      <c r="O6" s="3"/>
      <c r="P6" s="3"/>
      <c r="Q6" s="3"/>
      <c r="R6" s="3"/>
      <c r="S6" s="3"/>
      <c r="T6" s="3"/>
    </row>
    <row r="7" spans="1:20" ht="15">
      <c r="A7" s="8" t="s">
        <v>16</v>
      </c>
      <c r="B7" s="9">
        <v>8</v>
      </c>
      <c r="C7" s="9">
        <v>19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/>
      <c r="J7" s="9"/>
      <c r="K7" s="9"/>
      <c r="L7" s="9"/>
      <c r="M7" s="9"/>
      <c r="N7" s="9">
        <v>19</v>
      </c>
      <c r="O7" s="3"/>
      <c r="P7" s="3"/>
      <c r="Q7" s="3"/>
      <c r="R7" s="3"/>
      <c r="S7" s="3"/>
      <c r="T7" s="3"/>
    </row>
    <row r="8" spans="1:20" ht="15">
      <c r="A8" s="8" t="s">
        <v>17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/>
      <c r="J8" s="9"/>
      <c r="K8" s="9"/>
      <c r="L8" s="9"/>
      <c r="M8" s="9"/>
      <c r="N8" s="9">
        <v>0</v>
      </c>
      <c r="O8" s="3"/>
      <c r="P8" s="3"/>
      <c r="Q8" s="3"/>
      <c r="R8" s="3"/>
      <c r="S8" s="3"/>
      <c r="T8" s="3"/>
    </row>
    <row r="9" spans="1:20" ht="15">
      <c r="A9" s="8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/>
      <c r="J9" s="9"/>
      <c r="K9" s="9"/>
      <c r="L9" s="9"/>
      <c r="M9" s="9"/>
      <c r="N9" s="9">
        <v>0</v>
      </c>
      <c r="O9" s="3"/>
      <c r="P9" s="3"/>
      <c r="Q9" s="3"/>
      <c r="R9" s="3"/>
      <c r="S9" s="3"/>
      <c r="T9" s="3"/>
    </row>
    <row r="10" spans="1:20" ht="15">
      <c r="A10" s="8" t="s">
        <v>19</v>
      </c>
      <c r="B10" s="9">
        <f>B7</f>
        <v>8</v>
      </c>
      <c r="C10" s="9">
        <v>19</v>
      </c>
      <c r="D10" s="58">
        <v>0</v>
      </c>
      <c r="E10" s="9">
        <v>0</v>
      </c>
      <c r="F10" s="9">
        <v>0</v>
      </c>
      <c r="G10" s="58">
        <v>0</v>
      </c>
      <c r="H10" s="9">
        <v>0</v>
      </c>
      <c r="I10" s="9"/>
      <c r="J10" s="9"/>
      <c r="K10" s="9"/>
      <c r="L10" s="9"/>
      <c r="M10" s="9"/>
      <c r="N10" s="9">
        <f>N7</f>
        <v>19</v>
      </c>
      <c r="O10" s="3"/>
      <c r="P10" s="3"/>
      <c r="Q10" s="3"/>
      <c r="R10" s="3"/>
      <c r="S10" s="3"/>
      <c r="T10" s="3"/>
    </row>
    <row r="11" spans="1:20" ht="1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3"/>
      <c r="P11" s="3"/>
      <c r="Q11" s="3"/>
      <c r="R11" s="3"/>
      <c r="S11" s="3"/>
      <c r="T11" s="3"/>
    </row>
    <row r="12" spans="1:20" ht="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3"/>
      <c r="P12" s="3"/>
      <c r="Q12" s="3"/>
      <c r="R12" s="3"/>
      <c r="S12" s="3"/>
      <c r="T12" s="3"/>
    </row>
    <row r="13" spans="1:20" ht="18">
      <c r="A13" s="1" t="s">
        <v>20</v>
      </c>
      <c r="B13" s="11"/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1"/>
      <c r="O13" s="3"/>
      <c r="P13" s="3"/>
      <c r="Q13" s="3"/>
      <c r="R13" s="3"/>
      <c r="S13" s="3"/>
      <c r="T13" s="3"/>
    </row>
    <row r="14" spans="1:20" ht="15">
      <c r="A14" s="4" t="s">
        <v>70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3"/>
      <c r="P14" s="3"/>
      <c r="Q14" s="3"/>
      <c r="R14" s="3"/>
      <c r="S14" s="3"/>
      <c r="T14" s="3"/>
    </row>
    <row r="15" spans="1:20" ht="15">
      <c r="B15" s="6" t="s">
        <v>21</v>
      </c>
      <c r="C15" s="6" t="s">
        <v>3</v>
      </c>
      <c r="D15" s="6" t="s">
        <v>4</v>
      </c>
      <c r="E15" s="6" t="s">
        <v>5</v>
      </c>
      <c r="F15" s="6" t="s">
        <v>22</v>
      </c>
      <c r="G15" s="6" t="s">
        <v>7</v>
      </c>
      <c r="H15" s="6" t="s">
        <v>8</v>
      </c>
      <c r="I15" s="6" t="s">
        <v>9</v>
      </c>
      <c r="J15" s="6" t="s">
        <v>10</v>
      </c>
      <c r="K15" s="6" t="s">
        <v>11</v>
      </c>
      <c r="L15" s="6" t="s">
        <v>12</v>
      </c>
      <c r="M15" s="6" t="s">
        <v>13</v>
      </c>
      <c r="N15" s="10" t="s">
        <v>14</v>
      </c>
      <c r="O15" s="3"/>
      <c r="P15" s="3"/>
      <c r="Q15" s="3"/>
      <c r="R15" s="3"/>
      <c r="S15" s="3"/>
      <c r="T15" s="3"/>
    </row>
    <row r="16" spans="1:20" ht="1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3"/>
      <c r="P16" s="3"/>
      <c r="Q16" s="3"/>
      <c r="R16" s="3"/>
      <c r="S16" s="3"/>
      <c r="T16" s="3"/>
    </row>
    <row r="17" spans="1:20" ht="15">
      <c r="A17" s="8" t="s">
        <v>23</v>
      </c>
      <c r="B17" s="60">
        <v>0</v>
      </c>
      <c r="C17" s="60">
        <v>0</v>
      </c>
      <c r="D17" s="61">
        <v>0</v>
      </c>
      <c r="E17" s="60">
        <v>0</v>
      </c>
      <c r="F17" s="60">
        <v>0</v>
      </c>
      <c r="G17" s="61">
        <v>0</v>
      </c>
      <c r="H17" s="60">
        <v>0</v>
      </c>
      <c r="I17" s="60"/>
      <c r="J17" s="60"/>
      <c r="K17" s="61">
        <v>0</v>
      </c>
      <c r="L17" s="60"/>
      <c r="M17" s="60"/>
      <c r="N17" s="61">
        <v>0</v>
      </c>
      <c r="O17" s="3"/>
      <c r="P17" s="3"/>
      <c r="Q17" s="3"/>
      <c r="R17" s="3"/>
      <c r="S17" s="3"/>
      <c r="T17" s="3"/>
    </row>
    <row r="18" spans="1:20" ht="15">
      <c r="A18" s="8" t="s">
        <v>24</v>
      </c>
      <c r="B18" s="60">
        <v>6649</v>
      </c>
      <c r="C18" s="60">
        <v>6986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/>
      <c r="J18" s="60"/>
      <c r="K18" s="60"/>
      <c r="L18" s="60"/>
      <c r="M18" s="60"/>
      <c r="N18" s="61">
        <v>6986</v>
      </c>
      <c r="O18" s="3"/>
      <c r="P18" s="3"/>
      <c r="Q18" s="3"/>
      <c r="R18" s="3"/>
      <c r="S18" s="3"/>
      <c r="T18" s="3"/>
    </row>
    <row r="19" spans="1:20" ht="15">
      <c r="A19" s="8" t="s">
        <v>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/>
      <c r="J19" s="60"/>
      <c r="K19" s="60"/>
      <c r="L19" s="60"/>
      <c r="M19" s="60">
        <v>0</v>
      </c>
      <c r="N19" s="60">
        <v>0</v>
      </c>
      <c r="O19" s="3"/>
      <c r="P19" s="3"/>
      <c r="Q19" s="3"/>
      <c r="R19" s="3"/>
      <c r="S19" s="3"/>
      <c r="T19" s="3"/>
    </row>
    <row r="20" spans="1:20" ht="15">
      <c r="A20" s="8" t="s">
        <v>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/>
      <c r="J20" s="60"/>
      <c r="K20" s="60"/>
      <c r="L20" s="60"/>
      <c r="M20" s="60">
        <v>0</v>
      </c>
      <c r="N20" s="60">
        <v>0</v>
      </c>
      <c r="O20" s="3"/>
      <c r="P20" s="3"/>
      <c r="Q20" s="3"/>
      <c r="R20" s="3"/>
      <c r="S20" s="3"/>
      <c r="T20" s="3"/>
    </row>
    <row r="21" spans="1:20" ht="15">
      <c r="A21" s="8" t="s">
        <v>27</v>
      </c>
      <c r="B21" s="60">
        <v>46856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/>
      <c r="J21" s="60"/>
      <c r="K21" s="60"/>
      <c r="L21" s="60"/>
      <c r="M21" s="60"/>
      <c r="N21" s="60">
        <v>0</v>
      </c>
      <c r="O21" s="3"/>
      <c r="P21" s="3"/>
      <c r="Q21" s="3"/>
      <c r="R21" s="3"/>
      <c r="S21" s="3"/>
      <c r="T21" s="3"/>
    </row>
    <row r="22" spans="1:20" ht="15">
      <c r="A22" s="8" t="s">
        <v>82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/>
      <c r="J22" s="60"/>
      <c r="K22" s="60"/>
      <c r="L22" s="60"/>
      <c r="M22" s="60"/>
      <c r="N22" s="60">
        <v>0</v>
      </c>
      <c r="O22" s="3"/>
      <c r="P22" s="3"/>
      <c r="Q22" s="3"/>
      <c r="R22" s="3"/>
      <c r="S22" s="3"/>
      <c r="T22" s="3"/>
    </row>
    <row r="23" spans="1:20" ht="15">
      <c r="A23" s="8" t="s">
        <v>19</v>
      </c>
      <c r="B23" s="60">
        <f>B21+B18</f>
        <v>53505</v>
      </c>
      <c r="C23" s="60">
        <f>C18</f>
        <v>6986</v>
      </c>
      <c r="D23" s="61">
        <v>0</v>
      </c>
      <c r="E23" s="60">
        <v>0</v>
      </c>
      <c r="F23" s="60">
        <v>0</v>
      </c>
      <c r="G23" s="61">
        <v>0</v>
      </c>
      <c r="H23" s="60">
        <v>0</v>
      </c>
      <c r="I23" s="60"/>
      <c r="J23" s="60"/>
      <c r="K23" s="60"/>
      <c r="L23" s="60"/>
      <c r="M23" s="60"/>
      <c r="N23" s="61">
        <f>N18</f>
        <v>6986</v>
      </c>
      <c r="O23" s="3"/>
      <c r="P23" s="3"/>
      <c r="Q23" s="3"/>
      <c r="R23" s="3" t="s">
        <v>29</v>
      </c>
      <c r="S23" s="12">
        <f>N42/1000</f>
        <v>595.43984</v>
      </c>
      <c r="T23" s="3"/>
    </row>
    <row r="24" spans="1:20" ht="1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3"/>
      <c r="P24" s="3"/>
      <c r="Q24" s="3"/>
      <c r="R24" s="3"/>
      <c r="S24" s="3"/>
      <c r="T24" s="3"/>
    </row>
    <row r="25" spans="1:20" ht="15">
      <c r="A25" s="2" t="s">
        <v>82</v>
      </c>
      <c r="B25" s="52">
        <v>38142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"/>
      <c r="P25" s="3"/>
      <c r="Q25" s="3"/>
      <c r="R25" s="3"/>
      <c r="S25" s="3" t="s">
        <v>30</v>
      </c>
      <c r="T25" s="3" t="s">
        <v>31</v>
      </c>
    </row>
    <row r="26" spans="1:20" ht="1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"/>
      <c r="P26" s="3"/>
      <c r="Q26" s="3"/>
      <c r="R26" s="3" t="s">
        <v>13</v>
      </c>
      <c r="S26" s="13">
        <f>M42/1000</f>
        <v>225.60983999999999</v>
      </c>
      <c r="T26" s="14">
        <f>M43</f>
        <v>0.37889611148625862</v>
      </c>
    </row>
    <row r="27" spans="1:20" ht="18">
      <c r="A27" s="1" t="s">
        <v>32</v>
      </c>
      <c r="B27" s="11"/>
      <c r="C27" s="11"/>
      <c r="D27" s="11"/>
      <c r="E27" s="11"/>
      <c r="F27" s="11"/>
      <c r="G27" s="11"/>
      <c r="H27" s="10"/>
      <c r="I27" s="10"/>
      <c r="J27" s="10"/>
      <c r="K27" s="10"/>
      <c r="L27" s="10"/>
      <c r="M27" s="10"/>
      <c r="N27" s="10"/>
      <c r="O27" s="3"/>
      <c r="P27" s="3"/>
      <c r="Q27" s="3"/>
      <c r="R27" s="3" t="s">
        <v>7</v>
      </c>
      <c r="S27" s="13">
        <f>G42/1000</f>
        <v>34.256</v>
      </c>
      <c r="T27" s="15">
        <f>G43</f>
        <v>5.7530581091114093E-2</v>
      </c>
    </row>
    <row r="28" spans="1:20" ht="15">
      <c r="A28" s="4" t="s">
        <v>70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"/>
      <c r="P28" s="3"/>
      <c r="Q28" s="3"/>
      <c r="R28" s="3" t="s">
        <v>10</v>
      </c>
      <c r="S28" s="13">
        <f>J42/1000</f>
        <v>0</v>
      </c>
      <c r="T28" s="14">
        <f>J43</f>
        <v>0</v>
      </c>
    </row>
    <row r="29" spans="1:20" ht="15">
      <c r="B29" s="6" t="s">
        <v>33</v>
      </c>
      <c r="C29" s="6" t="s">
        <v>3</v>
      </c>
      <c r="D29" s="6" t="s">
        <v>4</v>
      </c>
      <c r="E29" s="6" t="s">
        <v>5</v>
      </c>
      <c r="F29" s="6" t="s">
        <v>34</v>
      </c>
      <c r="G29" s="6" t="s">
        <v>35</v>
      </c>
      <c r="H29" s="6" t="s">
        <v>8</v>
      </c>
      <c r="I29" s="6" t="s">
        <v>6</v>
      </c>
      <c r="J29" s="6" t="s">
        <v>10</v>
      </c>
      <c r="K29" s="6" t="s">
        <v>11</v>
      </c>
      <c r="L29" s="6" t="s">
        <v>12</v>
      </c>
      <c r="M29" s="6" t="s">
        <v>13</v>
      </c>
      <c r="N29" s="6" t="s">
        <v>36</v>
      </c>
      <c r="O29" s="3"/>
      <c r="P29" s="3"/>
      <c r="Q29" s="3"/>
      <c r="R29" s="3" t="s">
        <v>34</v>
      </c>
      <c r="S29" s="13">
        <f>F42/1000</f>
        <v>25.308</v>
      </c>
      <c r="T29" s="14">
        <f>F43</f>
        <v>4.2503034395548679E-2</v>
      </c>
    </row>
    <row r="30" spans="1:20" ht="1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3"/>
      <c r="P30" s="3"/>
      <c r="Q30" s="3"/>
      <c r="R30" s="3" t="s">
        <v>37</v>
      </c>
      <c r="S30" s="12">
        <f>E42/1000</f>
        <v>33.189</v>
      </c>
      <c r="T30" s="14">
        <f>E43</f>
        <v>5.5738628439776554E-2</v>
      </c>
    </row>
    <row r="31" spans="1:20" ht="15">
      <c r="A31" s="5" t="s">
        <v>38</v>
      </c>
      <c r="B31" s="9">
        <v>0</v>
      </c>
      <c r="C31" s="9">
        <v>6580</v>
      </c>
      <c r="D31" s="60">
        <v>0</v>
      </c>
      <c r="E31" s="60">
        <v>0</v>
      </c>
      <c r="F31" s="60">
        <v>657</v>
      </c>
      <c r="G31" s="60">
        <v>0</v>
      </c>
      <c r="H31" s="60">
        <v>0</v>
      </c>
      <c r="I31" s="60"/>
      <c r="J31" s="60"/>
      <c r="K31" s="60"/>
      <c r="L31" s="60"/>
      <c r="M31" s="60">
        <v>6971</v>
      </c>
      <c r="N31" s="60">
        <v>14209</v>
      </c>
      <c r="O31" s="16">
        <f>N31/N$39</f>
        <v>2.1535803329872611E-2</v>
      </c>
      <c r="P31" s="17" t="s">
        <v>39</v>
      </c>
      <c r="Q31" s="3"/>
      <c r="R31" s="3" t="s">
        <v>40</v>
      </c>
      <c r="S31" s="13">
        <f>C42/1000</f>
        <v>277.077</v>
      </c>
      <c r="T31" s="15">
        <f>C43</f>
        <v>0.46533164458730208</v>
      </c>
    </row>
    <row r="32" spans="1:20" ht="15">
      <c r="A32" s="5" t="s">
        <v>41</v>
      </c>
      <c r="B32" s="9">
        <v>13636</v>
      </c>
      <c r="C32" s="9">
        <v>2968</v>
      </c>
      <c r="D32" s="60">
        <v>0</v>
      </c>
      <c r="E32" s="63">
        <f>N32-M32-G32-C32-F32-B32</f>
        <v>33189</v>
      </c>
      <c r="F32" s="60">
        <v>100</v>
      </c>
      <c r="G32" s="63">
        <v>56</v>
      </c>
      <c r="H32" s="60">
        <v>0</v>
      </c>
      <c r="I32" s="60"/>
      <c r="J32" s="60"/>
      <c r="K32" s="60"/>
      <c r="L32" s="60"/>
      <c r="M32" s="60">
        <v>31110</v>
      </c>
      <c r="N32" s="63">
        <f>N39-N38-N37-N36-N34-N35-N33-N31</f>
        <v>81059</v>
      </c>
      <c r="O32" s="16">
        <f>N32/N$39</f>
        <v>0.12285668816356843</v>
      </c>
      <c r="P32" s="17" t="s">
        <v>42</v>
      </c>
      <c r="Q32" s="3"/>
      <c r="R32" s="3" t="s">
        <v>43</v>
      </c>
      <c r="S32" s="13">
        <f>I42/1000</f>
        <v>0</v>
      </c>
      <c r="T32" s="14">
        <f>I43</f>
        <v>0</v>
      </c>
    </row>
    <row r="33" spans="1:47" ht="15">
      <c r="A33" s="5" t="s">
        <v>44</v>
      </c>
      <c r="B33" s="9">
        <v>5533</v>
      </c>
      <c r="C33" s="9">
        <v>313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/>
      <c r="J33" s="60"/>
      <c r="K33" s="60"/>
      <c r="L33" s="60"/>
      <c r="M33" s="60">
        <v>17701</v>
      </c>
      <c r="N33" s="60">
        <v>23548</v>
      </c>
      <c r="O33" s="16">
        <f>N33/N$39</f>
        <v>3.5690414301628559E-2</v>
      </c>
      <c r="P33" s="17" t="s">
        <v>45</v>
      </c>
      <c r="Q33" s="3"/>
      <c r="R33" s="3" t="s">
        <v>8</v>
      </c>
      <c r="S33" s="13">
        <f>H42/1000</f>
        <v>0</v>
      </c>
      <c r="T33" s="14">
        <f>H43</f>
        <v>0</v>
      </c>
    </row>
    <row r="34" spans="1:47" ht="15">
      <c r="A34" s="5" t="s">
        <v>46</v>
      </c>
      <c r="B34" s="9">
        <v>0</v>
      </c>
      <c r="C34" s="9">
        <v>257165</v>
      </c>
      <c r="D34" s="60">
        <v>0</v>
      </c>
      <c r="E34" s="60">
        <v>0</v>
      </c>
      <c r="F34" s="60">
        <v>24551</v>
      </c>
      <c r="G34" s="60">
        <v>0</v>
      </c>
      <c r="H34" s="60">
        <v>0</v>
      </c>
      <c r="I34" s="60"/>
      <c r="J34" s="60"/>
      <c r="K34" s="60"/>
      <c r="L34" s="60"/>
      <c r="M34" s="60">
        <v>220</v>
      </c>
      <c r="N34" s="60">
        <v>281936</v>
      </c>
      <c r="O34" s="16">
        <f>N34/N$39</f>
        <v>0.42731495866077585</v>
      </c>
      <c r="P34" s="17" t="s">
        <v>47</v>
      </c>
      <c r="Q34" s="3"/>
      <c r="R34" s="3"/>
      <c r="S34" s="13">
        <f>SUM(S26:S33)</f>
        <v>595.43984</v>
      </c>
      <c r="T34" s="14">
        <f>SUM(T26:T33)</f>
        <v>1</v>
      </c>
    </row>
    <row r="35" spans="1:47" ht="15">
      <c r="A35" s="5" t="s">
        <v>48</v>
      </c>
      <c r="B35" s="9">
        <v>23236</v>
      </c>
      <c r="C35" s="9">
        <v>1664</v>
      </c>
      <c r="D35" s="60">
        <v>0</v>
      </c>
      <c r="E35" s="60">
        <v>0</v>
      </c>
      <c r="F35" s="60">
        <v>0</v>
      </c>
      <c r="G35" s="60">
        <v>0</v>
      </c>
      <c r="H35" s="60">
        <v>0</v>
      </c>
      <c r="I35" s="60"/>
      <c r="J35" s="60"/>
      <c r="K35" s="60"/>
      <c r="L35" s="60"/>
      <c r="M35" s="60">
        <v>73659</v>
      </c>
      <c r="N35" s="60">
        <v>98559</v>
      </c>
      <c r="O35" s="16">
        <f>N35/N$39</f>
        <v>0.14938048000485007</v>
      </c>
      <c r="P35" s="17" t="s">
        <v>49</v>
      </c>
      <c r="Q35" s="17"/>
    </row>
    <row r="36" spans="1:47" ht="15">
      <c r="A36" s="5" t="s">
        <v>50</v>
      </c>
      <c r="B36" s="9">
        <v>7612</v>
      </c>
      <c r="C36" s="9">
        <v>1329</v>
      </c>
      <c r="D36" s="60">
        <v>0</v>
      </c>
      <c r="E36" s="60">
        <v>0</v>
      </c>
      <c r="F36" s="60">
        <v>0</v>
      </c>
      <c r="G36" s="61">
        <v>34200</v>
      </c>
      <c r="H36" s="60">
        <v>0</v>
      </c>
      <c r="I36" s="60"/>
      <c r="J36" s="60"/>
      <c r="K36" s="60"/>
      <c r="L36" s="60"/>
      <c r="M36" s="60">
        <v>68316</v>
      </c>
      <c r="N36" s="63">
        <f>M36+G36+C36+B36</f>
        <v>111457</v>
      </c>
      <c r="O36" s="17"/>
      <c r="P36" s="17"/>
      <c r="Q36" s="3"/>
      <c r="R36" s="7"/>
      <c r="S36" s="7"/>
      <c r="T36" s="7"/>
    </row>
    <row r="37" spans="1:47" ht="15">
      <c r="A37" s="5" t="s">
        <v>51</v>
      </c>
      <c r="B37" s="9">
        <v>38044</v>
      </c>
      <c r="C37" s="9">
        <v>53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/>
      <c r="J37" s="60"/>
      <c r="K37" s="60"/>
      <c r="L37" s="60"/>
      <c r="M37" s="60">
        <v>10007</v>
      </c>
      <c r="N37" s="60">
        <v>48103</v>
      </c>
      <c r="O37" s="17"/>
      <c r="P37" s="17"/>
      <c r="Q37" s="3"/>
      <c r="R37" s="7"/>
      <c r="S37" s="7" t="s">
        <v>30</v>
      </c>
      <c r="T37" s="7" t="s">
        <v>31</v>
      </c>
    </row>
    <row r="38" spans="1:47" ht="15">
      <c r="A38" s="5" t="s">
        <v>52</v>
      </c>
      <c r="B38" s="9">
        <v>0</v>
      </c>
      <c r="C38" s="9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/>
      <c r="J38" s="60"/>
      <c r="K38" s="60"/>
      <c r="L38" s="60"/>
      <c r="M38" s="60">
        <v>914</v>
      </c>
      <c r="N38" s="60">
        <v>914</v>
      </c>
      <c r="O38" s="17">
        <f>SUM(O31:O35)</f>
        <v>0.75677834446069547</v>
      </c>
      <c r="P38" s="17"/>
      <c r="Q38" s="3"/>
      <c r="R38" s="7" t="s">
        <v>53</v>
      </c>
      <c r="S38" s="19">
        <f>N45/1000</f>
        <v>20.29684</v>
      </c>
      <c r="T38" s="7"/>
    </row>
    <row r="39" spans="1:47" ht="15">
      <c r="A39" s="5" t="s">
        <v>19</v>
      </c>
      <c r="B39" s="9">
        <v>88062</v>
      </c>
      <c r="C39" s="9">
        <v>270072</v>
      </c>
      <c r="D39" s="60">
        <v>0</v>
      </c>
      <c r="E39" s="63">
        <f>E32</f>
        <v>33189</v>
      </c>
      <c r="F39" s="60">
        <v>25308</v>
      </c>
      <c r="G39" s="63">
        <f>G36+G32</f>
        <v>34256</v>
      </c>
      <c r="H39" s="60">
        <v>0</v>
      </c>
      <c r="I39" s="60"/>
      <c r="J39" s="60"/>
      <c r="K39" s="60"/>
      <c r="L39" s="60"/>
      <c r="M39" s="60">
        <v>208898</v>
      </c>
      <c r="N39" s="60">
        <v>659785</v>
      </c>
      <c r="O39" s="3"/>
      <c r="P39" s="3"/>
      <c r="Q39" s="3"/>
      <c r="R39" s="7" t="s">
        <v>54</v>
      </c>
      <c r="S39" s="20">
        <f>N41/1000</f>
        <v>160.47399999999999</v>
      </c>
      <c r="T39" s="14">
        <f>O41</f>
        <v>0.24322165553930447</v>
      </c>
    </row>
    <row r="40" spans="1:47">
      <c r="R40" s="7" t="s">
        <v>55</v>
      </c>
      <c r="S40" s="20">
        <f>N35/1000</f>
        <v>98.558999999999997</v>
      </c>
      <c r="T40" s="15">
        <f>O35</f>
        <v>0.14938048000485007</v>
      </c>
    </row>
    <row r="41" spans="1:47" ht="15">
      <c r="A41" s="21" t="s">
        <v>56</v>
      </c>
      <c r="B41" s="22">
        <f>B38+B37+B36</f>
        <v>45656</v>
      </c>
      <c r="C41" s="22">
        <f t="shared" ref="C41:N41" si="0">C38+C37+C36</f>
        <v>1382</v>
      </c>
      <c r="D41" s="22">
        <f t="shared" si="0"/>
        <v>0</v>
      </c>
      <c r="E41" s="22">
        <f t="shared" si="0"/>
        <v>0</v>
      </c>
      <c r="F41" s="22">
        <f t="shared" si="0"/>
        <v>0</v>
      </c>
      <c r="G41" s="22">
        <f t="shared" si="0"/>
        <v>34200</v>
      </c>
      <c r="H41" s="22">
        <f t="shared" si="0"/>
        <v>0</v>
      </c>
      <c r="I41" s="22">
        <f t="shared" si="0"/>
        <v>0</v>
      </c>
      <c r="J41" s="22">
        <f t="shared" si="0"/>
        <v>0</v>
      </c>
      <c r="K41" s="22">
        <f t="shared" si="0"/>
        <v>0</v>
      </c>
      <c r="L41" s="22">
        <f t="shared" si="0"/>
        <v>0</v>
      </c>
      <c r="M41" s="22">
        <f t="shared" si="0"/>
        <v>79237</v>
      </c>
      <c r="N41" s="22">
        <f t="shared" si="0"/>
        <v>160474</v>
      </c>
      <c r="O41" s="16">
        <f>N41/N$39</f>
        <v>0.24322165553930447</v>
      </c>
      <c r="P41" s="16" t="s">
        <v>57</v>
      </c>
      <c r="Q41" s="7"/>
      <c r="R41" s="7" t="s">
        <v>58</v>
      </c>
      <c r="S41" s="20">
        <f>N33/1000</f>
        <v>23.547999999999998</v>
      </c>
      <c r="T41" s="14">
        <f>O33</f>
        <v>3.5690414301628559E-2</v>
      </c>
    </row>
    <row r="42" spans="1:47" ht="15">
      <c r="A42" s="23" t="s">
        <v>59</v>
      </c>
      <c r="B42" s="22"/>
      <c r="C42" s="24">
        <f>C39+C23+C10</f>
        <v>277077</v>
      </c>
      <c r="D42" s="24">
        <f t="shared" ref="D42:L42" si="1">D39+D23+D10</f>
        <v>0</v>
      </c>
      <c r="E42" s="24">
        <f t="shared" si="1"/>
        <v>33189</v>
      </c>
      <c r="F42" s="24">
        <f t="shared" si="1"/>
        <v>25308</v>
      </c>
      <c r="G42" s="24">
        <f t="shared" si="1"/>
        <v>34256</v>
      </c>
      <c r="H42" s="24">
        <f t="shared" si="1"/>
        <v>0</v>
      </c>
      <c r="I42" s="24">
        <f t="shared" si="1"/>
        <v>0</v>
      </c>
      <c r="J42" s="24">
        <f t="shared" si="1"/>
        <v>0</v>
      </c>
      <c r="K42" s="24">
        <f t="shared" si="1"/>
        <v>0</v>
      </c>
      <c r="L42" s="24">
        <f t="shared" si="1"/>
        <v>0</v>
      </c>
      <c r="M42" s="24">
        <f>M39+M23-B6+M45</f>
        <v>225609.84</v>
      </c>
      <c r="N42" s="25">
        <f>SUM(C42:M42)</f>
        <v>595439.84</v>
      </c>
      <c r="O42" s="7"/>
      <c r="P42" s="7"/>
      <c r="Q42" s="7"/>
      <c r="R42" s="7" t="s">
        <v>39</v>
      </c>
      <c r="S42" s="20">
        <f>N31/1000</f>
        <v>14.209</v>
      </c>
      <c r="T42" s="14">
        <f>O31</f>
        <v>2.1535803329872611E-2</v>
      </c>
    </row>
    <row r="43" spans="1:47" ht="15">
      <c r="A43" s="23" t="s">
        <v>60</v>
      </c>
      <c r="B43" s="22"/>
      <c r="C43" s="16">
        <f t="shared" ref="C43:M43" si="2">C42/$N42</f>
        <v>0.46533164458730208</v>
      </c>
      <c r="D43" s="16">
        <f t="shared" si="2"/>
        <v>0</v>
      </c>
      <c r="E43" s="16">
        <f t="shared" si="2"/>
        <v>5.5738628439776554E-2</v>
      </c>
      <c r="F43" s="16">
        <f t="shared" si="2"/>
        <v>4.2503034395548679E-2</v>
      </c>
      <c r="G43" s="16">
        <f t="shared" si="2"/>
        <v>5.7530581091114093E-2</v>
      </c>
      <c r="H43" s="16">
        <f t="shared" si="2"/>
        <v>0</v>
      </c>
      <c r="I43" s="16">
        <f t="shared" si="2"/>
        <v>0</v>
      </c>
      <c r="J43" s="16">
        <f t="shared" si="2"/>
        <v>0</v>
      </c>
      <c r="K43" s="16">
        <f t="shared" si="2"/>
        <v>0</v>
      </c>
      <c r="L43" s="16">
        <f t="shared" si="2"/>
        <v>0</v>
      </c>
      <c r="M43" s="16">
        <f t="shared" si="2"/>
        <v>0.37889611148625862</v>
      </c>
      <c r="N43" s="16">
        <f>SUM(C43:M43)</f>
        <v>1</v>
      </c>
      <c r="O43" s="7"/>
      <c r="P43" s="7"/>
      <c r="Q43" s="7"/>
      <c r="R43" s="7" t="s">
        <v>61</v>
      </c>
      <c r="S43" s="20">
        <f>N32/1000</f>
        <v>81.058999999999997</v>
      </c>
      <c r="T43" s="15">
        <f>O32</f>
        <v>0.12285668816356843</v>
      </c>
    </row>
    <row r="44" spans="1:4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7"/>
      <c r="Q44" s="7"/>
      <c r="R44" s="7" t="s">
        <v>62</v>
      </c>
      <c r="S44" s="20">
        <f>N34/1000</f>
        <v>281.93599999999998</v>
      </c>
      <c r="T44" s="15">
        <f>O34</f>
        <v>0.42731495866077585</v>
      </c>
    </row>
    <row r="45" spans="1:47" ht="15">
      <c r="A45" s="6" t="s">
        <v>63</v>
      </c>
      <c r="B45" s="6">
        <f>B23+B25-B39</f>
        <v>3585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26">
        <f>M39*0.08</f>
        <v>16711.84</v>
      </c>
      <c r="N45" s="25">
        <f>B45+M45</f>
        <v>20296.84</v>
      </c>
      <c r="O45" s="7"/>
      <c r="P45" s="7"/>
      <c r="Q45" s="7"/>
      <c r="R45" s="7" t="s">
        <v>64</v>
      </c>
      <c r="S45" s="20">
        <f>SUM(S39:S44)</f>
        <v>659.78500000000008</v>
      </c>
      <c r="T45" s="14">
        <f>SUM(T39:T44)</f>
        <v>1</v>
      </c>
    </row>
    <row r="46" spans="1:47" ht="15">
      <c r="A46" s="6" t="s">
        <v>76</v>
      </c>
      <c r="B46" s="65">
        <f>B45/(B23+B25)</f>
        <v>3.9117483387344922E-2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/>
      <c r="N46" s="6"/>
      <c r="O46" s="7"/>
      <c r="P46" s="7"/>
      <c r="Q46" s="7"/>
    </row>
    <row r="47" spans="1:47">
      <c r="A47" s="4"/>
      <c r="B47" s="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"/>
      <c r="R47" s="4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4"/>
      <c r="AH47" s="4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>
      <c r="A48" s="27"/>
      <c r="B48" s="4"/>
      <c r="C48" s="27"/>
      <c r="D48" s="27"/>
      <c r="E48" s="27"/>
      <c r="F48" s="37"/>
      <c r="G48" s="27"/>
      <c r="H48" s="37"/>
      <c r="I48" s="27"/>
      <c r="J48" s="27"/>
      <c r="K48" s="27"/>
      <c r="L48" s="27"/>
      <c r="M48" s="27"/>
      <c r="N48" s="27"/>
      <c r="O48" s="37"/>
      <c r="P48" s="27"/>
      <c r="Q48" s="27"/>
      <c r="R48" s="4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4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</row>
    <row r="49" spans="1:47">
      <c r="A49" s="27"/>
      <c r="B49" s="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4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4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>
      <c r="A50" s="27"/>
      <c r="B50" s="4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4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4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>
      <c r="A51" s="27"/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4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>
      <c r="A52" s="27"/>
      <c r="B52" s="4"/>
      <c r="C52" s="27"/>
      <c r="D52" s="27"/>
      <c r="E52" s="27"/>
      <c r="F52" s="27"/>
      <c r="G52" s="27"/>
      <c r="H52" s="37"/>
      <c r="I52" s="27"/>
      <c r="J52" s="27"/>
      <c r="K52" s="27"/>
      <c r="L52" s="27"/>
      <c r="M52" s="27"/>
      <c r="N52" s="27"/>
      <c r="O52" s="37"/>
      <c r="P52" s="27"/>
      <c r="Q52" s="27"/>
      <c r="R52" s="4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4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>
      <c r="A53" s="27"/>
      <c r="B53" s="4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4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4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</row>
    <row r="54" spans="1:47">
      <c r="A54" s="27"/>
      <c r="B54" s="4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4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4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>
      <c r="A55" s="27"/>
      <c r="B55" s="4"/>
      <c r="C55" s="27"/>
      <c r="D55" s="27"/>
      <c r="E55" s="27"/>
      <c r="F55" s="37"/>
      <c r="G55" s="27"/>
      <c r="H55" s="37"/>
      <c r="I55" s="27"/>
      <c r="J55" s="27"/>
      <c r="K55" s="27"/>
      <c r="L55" s="27"/>
      <c r="M55" s="27"/>
      <c r="N55" s="27"/>
      <c r="O55" s="27"/>
      <c r="P55" s="27"/>
      <c r="Q55" s="27"/>
      <c r="R55" s="4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4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>
      <c r="A56" s="27"/>
      <c r="B56" s="4"/>
      <c r="C56" s="27"/>
      <c r="D56" s="27"/>
      <c r="E56" s="27"/>
      <c r="F56" s="37"/>
      <c r="G56" s="27"/>
      <c r="H56" s="37"/>
      <c r="I56" s="27"/>
      <c r="J56" s="27"/>
      <c r="K56" s="27"/>
      <c r="L56" s="27"/>
      <c r="M56" s="27"/>
      <c r="N56" s="27"/>
      <c r="O56" s="27"/>
      <c r="P56" s="27"/>
      <c r="Q56" s="27"/>
      <c r="R56" s="4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4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15">
      <c r="A57" s="7"/>
      <c r="B57" s="7"/>
      <c r="C57" s="28"/>
      <c r="D57" s="28"/>
      <c r="E57" s="28"/>
      <c r="F57" s="28"/>
      <c r="G57" s="28"/>
      <c r="H57" s="28"/>
      <c r="I57" s="28"/>
      <c r="J57" s="28"/>
      <c r="K57" s="28"/>
      <c r="L57" s="6"/>
      <c r="M57" s="29"/>
      <c r="N57" s="7"/>
      <c r="O57" s="6"/>
      <c r="P57" s="14"/>
      <c r="Q57" s="7"/>
      <c r="R57" s="7"/>
      <c r="S57" s="6"/>
      <c r="T57" s="30"/>
    </row>
    <row r="58" spans="1:47" ht="15">
      <c r="A58" s="7"/>
      <c r="B58" s="7"/>
      <c r="C58" s="28"/>
      <c r="D58" s="28"/>
      <c r="E58" s="28"/>
      <c r="F58" s="28"/>
      <c r="G58" s="28"/>
      <c r="H58" s="28"/>
      <c r="I58" s="28"/>
      <c r="J58" s="28"/>
      <c r="K58" s="28"/>
      <c r="L58" s="6"/>
      <c r="M58" s="29"/>
      <c r="N58" s="7"/>
      <c r="O58" s="6"/>
      <c r="P58" s="14"/>
      <c r="Q58" s="7"/>
      <c r="R58" s="7"/>
      <c r="S58" s="6"/>
      <c r="T58" s="30"/>
    </row>
    <row r="59" spans="1:47" ht="15">
      <c r="A59" s="7"/>
      <c r="B59" s="7"/>
      <c r="C59" s="28"/>
      <c r="D59" s="28"/>
      <c r="E59" s="28"/>
      <c r="F59" s="28"/>
      <c r="G59" s="28"/>
      <c r="H59" s="28"/>
      <c r="I59" s="28"/>
      <c r="J59" s="28"/>
      <c r="K59" s="28"/>
      <c r="L59" s="6"/>
      <c r="M59" s="29"/>
      <c r="N59" s="7"/>
      <c r="O59" s="6"/>
      <c r="P59" s="14"/>
      <c r="Q59" s="7"/>
      <c r="R59" s="7"/>
      <c r="S59" s="6"/>
      <c r="T59" s="30"/>
    </row>
    <row r="60" spans="1:47" ht="15">
      <c r="A60" s="23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6"/>
      <c r="M60" s="29"/>
      <c r="N60" s="7"/>
      <c r="O60" s="6"/>
      <c r="P60" s="14"/>
      <c r="Q60" s="7"/>
      <c r="R60" s="7"/>
      <c r="S60" s="6"/>
      <c r="T60" s="30"/>
    </row>
    <row r="61" spans="1:47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6"/>
      <c r="M61" s="29"/>
      <c r="N61" s="7"/>
      <c r="O61" s="6"/>
      <c r="P61" s="14"/>
      <c r="Q61" s="7"/>
      <c r="R61" s="7"/>
      <c r="S61" s="31"/>
      <c r="T61" s="32"/>
    </row>
    <row r="62" spans="1:47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6"/>
    </row>
    <row r="63" spans="1:47">
      <c r="A63" s="7"/>
      <c r="B63" s="33"/>
      <c r="C63" s="33"/>
      <c r="D63" s="33"/>
      <c r="E63" s="33"/>
      <c r="F63" s="33"/>
      <c r="G63" s="33"/>
      <c r="H63" s="33"/>
      <c r="I63" s="33"/>
      <c r="J63" s="7"/>
      <c r="K63" s="7"/>
      <c r="L63" s="7"/>
      <c r="M63" s="7"/>
      <c r="N63" s="7"/>
      <c r="O63" s="7"/>
      <c r="P63" s="7"/>
      <c r="Q63" s="7"/>
      <c r="R63" s="7"/>
      <c r="S63" s="33"/>
      <c r="T63" s="34"/>
    </row>
    <row r="64" spans="1:47" ht="15">
      <c r="A64" s="7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6"/>
      <c r="P64" s="29"/>
      <c r="Q64" s="7"/>
      <c r="R64" s="7"/>
      <c r="S64" s="6"/>
      <c r="T64" s="30"/>
    </row>
    <row r="65" spans="1:20" ht="15">
      <c r="A65" s="7"/>
      <c r="B65" s="6"/>
      <c r="C65" s="6"/>
      <c r="D65" s="6"/>
      <c r="E65" s="6"/>
      <c r="F65" s="6"/>
      <c r="G65" s="6"/>
      <c r="H65" s="6"/>
      <c r="I65" s="6"/>
      <c r="J65" s="7"/>
      <c r="K65" s="7"/>
      <c r="L65" s="7"/>
      <c r="M65" s="7"/>
      <c r="N65" s="7"/>
      <c r="O65" s="6"/>
      <c r="P65" s="29"/>
      <c r="Q65" s="7"/>
      <c r="R65" s="7"/>
      <c r="S65" s="6"/>
      <c r="T65" s="30"/>
    </row>
    <row r="66" spans="1:20" ht="15">
      <c r="A66" s="7"/>
      <c r="B66" s="6"/>
      <c r="C66" s="6"/>
      <c r="D66" s="6"/>
      <c r="E66" s="6"/>
      <c r="F66" s="6"/>
      <c r="G66" s="6"/>
      <c r="H66" s="6"/>
      <c r="I66" s="6"/>
      <c r="J66" s="7"/>
      <c r="K66" s="7"/>
      <c r="L66" s="7"/>
      <c r="M66" s="7"/>
      <c r="N66" s="7"/>
      <c r="O66" s="6"/>
      <c r="P66" s="29"/>
      <c r="Q66" s="7"/>
      <c r="R66" s="7"/>
      <c r="S66" s="6"/>
      <c r="T66" s="30"/>
    </row>
    <row r="67" spans="1:20" ht="15">
      <c r="A67" s="7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6"/>
      <c r="P67" s="29"/>
      <c r="Q67" s="7"/>
      <c r="R67" s="7"/>
      <c r="S67" s="6"/>
      <c r="T67" s="30"/>
    </row>
    <row r="68" spans="1:20" ht="15">
      <c r="A68" s="7"/>
      <c r="B68" s="6"/>
      <c r="C68" s="6"/>
      <c r="D68" s="6"/>
      <c r="E68" s="6"/>
      <c r="F68" s="6"/>
      <c r="G68" s="6"/>
      <c r="H68" s="6"/>
      <c r="I68" s="6"/>
      <c r="J68" s="7"/>
      <c r="K68" s="7"/>
      <c r="L68" s="7"/>
      <c r="M68" s="7"/>
      <c r="N68" s="7"/>
      <c r="O68" s="6"/>
      <c r="P68" s="29"/>
      <c r="Q68" s="7"/>
      <c r="R68" s="7"/>
      <c r="S68" s="6"/>
      <c r="T68" s="30"/>
    </row>
    <row r="69" spans="1:20" ht="15">
      <c r="A69" s="7"/>
      <c r="B69" s="6"/>
      <c r="C69" s="6"/>
      <c r="D69" s="6"/>
      <c r="E69" s="6"/>
      <c r="F69" s="6"/>
      <c r="G69" s="6"/>
      <c r="H69" s="6"/>
      <c r="I69" s="6"/>
      <c r="J69" s="7"/>
      <c r="K69" s="7"/>
      <c r="L69" s="7"/>
      <c r="M69" s="7"/>
      <c r="N69" s="7"/>
      <c r="O69" s="6"/>
      <c r="P69" s="29"/>
      <c r="Q69" s="7"/>
      <c r="R69" s="7"/>
      <c r="S69" s="6"/>
      <c r="T69" s="30"/>
    </row>
    <row r="70" spans="1:20" ht="15">
      <c r="A70" s="7"/>
      <c r="B70" s="31"/>
      <c r="C70" s="31"/>
      <c r="D70" s="31"/>
      <c r="E70" s="31"/>
      <c r="F70" s="31"/>
      <c r="G70" s="31"/>
      <c r="H70" s="31"/>
      <c r="I70" s="31"/>
      <c r="J70" s="7"/>
      <c r="K70" s="7"/>
      <c r="L70" s="7"/>
      <c r="M70" s="7"/>
      <c r="N70" s="7"/>
      <c r="O70" s="31"/>
      <c r="P70" s="35"/>
      <c r="Q70" s="7"/>
      <c r="R70" s="36"/>
      <c r="S70" s="31"/>
      <c r="T70" s="35"/>
    </row>
  </sheetData>
  <pageMargins left="0.75" right="0.75" top="0.75" bottom="0.5" header="0.5" footer="0.75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b5e531fa-67de-4c6f-b0e9-c95f80bf210e" xsi:nil="true"/>
    <Beskrivning xmlns="b5e531fa-67de-4c6f-b0e9-c95f80bf210e" xsi:nil="true"/>
    <PublishingExpirationDate xmlns="http://schemas.microsoft.com/sharepoint/v3" xsi:nil="true"/>
    <PublishingStartDate xmlns="http://schemas.microsoft.com/sharepoint/v3" xsi:nil="true"/>
    <Serienummer xmlns="b5e531fa-67de-4c6f-b0e9-c95f80bf210e" xsi:nil="true"/>
    <L_x00f6_pnummer xmlns="b5e531fa-67de-4c6f-b0e9-c95f80bf210e" xsi:nil="true"/>
    <Verksamhet xmlns="b5e531fa-67de-4c6f-b0e9-c95f80bf210e" xsi:nil="true"/>
    <_x00c5_rtal xmlns="b5e531fa-67de-4c6f-b0e9-c95f80bf210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1CA0758BFDE94287CDD3892FBF9AD3" ma:contentTypeVersion="7" ma:contentTypeDescription="Create a new document." ma:contentTypeScope="" ma:versionID="c2ce48790bf187f7a77713e12fb0dad6">
  <xsd:schema xmlns:xsd="http://www.w3.org/2001/XMLSchema" xmlns:xs="http://www.w3.org/2001/XMLSchema" xmlns:p="http://schemas.microsoft.com/office/2006/metadata/properties" xmlns:ns1="http://schemas.microsoft.com/sharepoint/v3" xmlns:ns2="b5e531fa-67de-4c6f-b0e9-c95f80bf210e" targetNamespace="http://schemas.microsoft.com/office/2006/metadata/properties" ma:root="true" ma:fieldsID="314d68ffa0513777a79096a356dfdc54" ns1:_="" ns2:_="">
    <xsd:import namespace="http://schemas.microsoft.com/sharepoint/v3"/>
    <xsd:import namespace="b5e531fa-67de-4c6f-b0e9-c95f80bf21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e531fa-67de-4c6f-b0e9-c95f80bf210e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1F708B-AFB6-4687-921D-3830D567712D}"/>
</file>

<file path=customXml/itemProps2.xml><?xml version="1.0" encoding="utf-8"?>
<ds:datastoreItem xmlns:ds="http://schemas.openxmlformats.org/officeDocument/2006/customXml" ds:itemID="{4F583EF3-87C3-46EA-8242-3A8761BE2A8E}"/>
</file>

<file path=customXml/itemProps3.xml><?xml version="1.0" encoding="utf-8"?>
<ds:datastoreItem xmlns:ds="http://schemas.openxmlformats.org/officeDocument/2006/customXml" ds:itemID="{12602A8A-DE7C-49BD-8D90-3D8BDDEAF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Örebro län</vt:lpstr>
      <vt:lpstr>Lekeberg</vt:lpstr>
      <vt:lpstr>Laxå</vt:lpstr>
      <vt:lpstr>Hallsberg</vt:lpstr>
      <vt:lpstr>Degerfors</vt:lpstr>
      <vt:lpstr>Hällefors</vt:lpstr>
      <vt:lpstr>Ljusnarsberg</vt:lpstr>
      <vt:lpstr>Örebro</vt:lpstr>
      <vt:lpstr>Kumla</vt:lpstr>
      <vt:lpstr>Askersund</vt:lpstr>
      <vt:lpstr>Karlskoga</vt:lpstr>
      <vt:lpstr>Nora</vt:lpstr>
      <vt:lpstr>Lindesberg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Kaj</dc:creator>
  <cp:lastModifiedBy>Kaj</cp:lastModifiedBy>
  <dcterms:created xsi:type="dcterms:W3CDTF">2016-02-06T13:09:40Z</dcterms:created>
  <dcterms:modified xsi:type="dcterms:W3CDTF">2016-03-30T00:28:38Z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0x010100FC1CA0758BFDE94287CDD3892FBF9AD3</vt:lpwstr>
  </property>
</Properties>
</file>