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5.xml" ContentType="application/vnd.openxmlformats-officedocument.spreadsheetml.comments+xml"/>
  <Override PartName="/xl/comments9.xml" ContentType="application/vnd.openxmlformats-officedocument.spreadsheetml.comments+xml"/>
  <Override PartName="/xl/comments8.xml" ContentType="application/vnd.openxmlformats-officedocument.spreadsheetml.comments+xml"/>
  <Override PartName="/xl/comments4.xml" ContentType="application/vnd.openxmlformats-officedocument.spreadsheetml.comment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10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comments13.xml" ContentType="application/vnd.openxmlformats-officedocument.spreadsheetml.comments+xml"/>
  <Override PartName="/xl/comments2.xml" ContentType="application/vnd.openxmlformats-officedocument.spreadsheetml.comments+xml"/>
  <Override PartName="/xl/comments12.xml" ContentType="application/vnd.openxmlformats-officedocument.spreadsheetml.comments+xml"/>
  <Override PartName="/xl/comments1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0" yWindow="460" windowWidth="28800" windowHeight="17460" tabRatio="840"/>
  </bookViews>
  <sheets>
    <sheet name="Örebro län" sheetId="17" r:id="rId1"/>
    <sheet name="Lekeberg" sheetId="13" r:id="rId2"/>
    <sheet name="Laxå" sheetId="2" r:id="rId3"/>
    <sheet name="Hallsberg" sheetId="3" r:id="rId4"/>
    <sheet name="Degerfors" sheetId="4" r:id="rId5"/>
    <sheet name="Hällefors" sheetId="5" r:id="rId6"/>
    <sheet name="Ljusnarsberg" sheetId="6" r:id="rId7"/>
    <sheet name="Örebro" sheetId="7" r:id="rId8"/>
    <sheet name="Kumla" sheetId="8" r:id="rId9"/>
    <sheet name="Askersund" sheetId="9" r:id="rId10"/>
    <sheet name="Karlskoga" sheetId="10" r:id="rId11"/>
    <sheet name="Nora" sheetId="11" r:id="rId12"/>
    <sheet name="Lindesberg" sheetId="12" r:id="rId1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0" i="12" l="1"/>
  <c r="T30" i="12"/>
  <c r="S30" i="12"/>
  <c r="J42" i="10"/>
  <c r="U34" i="2"/>
  <c r="U34" i="3"/>
  <c r="U34" i="4"/>
  <c r="U34" i="5"/>
  <c r="U34" i="6"/>
  <c r="U34" i="7"/>
  <c r="U34" i="8"/>
  <c r="U34" i="9"/>
  <c r="O42" i="10"/>
  <c r="N43" i="10"/>
  <c r="U24" i="10"/>
  <c r="G43" i="10"/>
  <c r="U25" i="10"/>
  <c r="J43" i="10"/>
  <c r="U26" i="10"/>
  <c r="F43" i="10"/>
  <c r="U27" i="10"/>
  <c r="E43" i="10"/>
  <c r="U28" i="10"/>
  <c r="D43" i="10"/>
  <c r="U29" i="10"/>
  <c r="K43" i="10"/>
  <c r="U30" i="10"/>
  <c r="I43" i="10"/>
  <c r="U31" i="10"/>
  <c r="H43" i="10"/>
  <c r="U32" i="10"/>
  <c r="C43" i="10"/>
  <c r="U33" i="10"/>
  <c r="U34" i="10"/>
  <c r="U34" i="11"/>
  <c r="U34" i="12"/>
  <c r="U34" i="13"/>
  <c r="T34" i="2"/>
  <c r="T34" i="3"/>
  <c r="T34" i="4"/>
  <c r="T34" i="5"/>
  <c r="T34" i="6"/>
  <c r="T34" i="7"/>
  <c r="T34" i="8"/>
  <c r="T34" i="9"/>
  <c r="T26" i="10"/>
  <c r="T34" i="10"/>
  <c r="T34" i="11"/>
  <c r="T34" i="12"/>
  <c r="T34" i="13"/>
  <c r="U32" i="17"/>
  <c r="T32" i="17"/>
  <c r="S32" i="17"/>
  <c r="U34" i="17"/>
  <c r="T34" i="17"/>
  <c r="B18" i="13"/>
  <c r="H34" i="17"/>
  <c r="E34" i="17"/>
  <c r="B37" i="3"/>
  <c r="O37" i="3"/>
  <c r="O39" i="3"/>
  <c r="O31" i="5"/>
  <c r="B32" i="5"/>
  <c r="C32" i="5"/>
  <c r="O32" i="5"/>
  <c r="B33" i="5"/>
  <c r="O33" i="5"/>
  <c r="B35" i="5"/>
  <c r="O35" i="5"/>
  <c r="O36" i="5"/>
  <c r="O37" i="5"/>
  <c r="O39" i="5"/>
  <c r="O39" i="6"/>
  <c r="B32" i="8"/>
  <c r="E32" i="8"/>
  <c r="O32" i="8"/>
  <c r="O39" i="8"/>
  <c r="O39" i="9"/>
  <c r="O32" i="11"/>
  <c r="O35" i="11"/>
  <c r="B37" i="11"/>
  <c r="O37" i="11"/>
  <c r="O39" i="11"/>
  <c r="O39" i="12"/>
  <c r="O39" i="17"/>
  <c r="O34" i="17"/>
  <c r="G17" i="7"/>
  <c r="C17" i="10"/>
  <c r="N23" i="10"/>
  <c r="K17" i="10"/>
  <c r="E39" i="3"/>
  <c r="E39" i="4"/>
  <c r="E39" i="5"/>
  <c r="E39" i="6"/>
  <c r="E39" i="8"/>
  <c r="E32" i="9"/>
  <c r="E39" i="9"/>
  <c r="O32" i="12"/>
  <c r="N32" i="12"/>
  <c r="G32" i="12"/>
  <c r="C32" i="12"/>
  <c r="E32" i="12"/>
  <c r="E39" i="12"/>
  <c r="E39" i="17"/>
  <c r="E23" i="17"/>
  <c r="E10" i="17"/>
  <c r="H39" i="17"/>
  <c r="C18" i="3"/>
  <c r="O18" i="3"/>
  <c r="O23" i="3"/>
  <c r="B18" i="7"/>
  <c r="N18" i="7"/>
  <c r="N23" i="7"/>
  <c r="C10" i="17"/>
  <c r="D10" i="8"/>
  <c r="D10" i="17"/>
  <c r="F10" i="9"/>
  <c r="F10" i="17"/>
  <c r="H10" i="17"/>
  <c r="I10" i="17"/>
  <c r="J10" i="17"/>
  <c r="K10" i="17"/>
  <c r="L10" i="17"/>
  <c r="M10" i="17"/>
  <c r="N10" i="17"/>
  <c r="N6" i="17"/>
  <c r="N7" i="17"/>
  <c r="B4" i="13"/>
  <c r="B4" i="2"/>
  <c r="B4" i="3"/>
  <c r="B4" i="4"/>
  <c r="B4" i="5"/>
  <c r="B4" i="6"/>
  <c r="B4" i="7"/>
  <c r="B4" i="8"/>
  <c r="B4" i="9"/>
  <c r="B4" i="10"/>
  <c r="B4" i="11"/>
  <c r="B4" i="12"/>
  <c r="B4" i="17"/>
  <c r="B10" i="12"/>
  <c r="B10" i="11"/>
  <c r="B10" i="10"/>
  <c r="B10" i="9"/>
  <c r="B9" i="9"/>
  <c r="B10" i="8"/>
  <c r="B10" i="7"/>
  <c r="B10" i="6"/>
  <c r="B10" i="5"/>
  <c r="B10" i="4"/>
  <c r="B10" i="3"/>
  <c r="B10" i="2"/>
  <c r="B10" i="13"/>
  <c r="O18" i="12"/>
  <c r="B18" i="12"/>
  <c r="G23" i="10"/>
  <c r="G23" i="3"/>
  <c r="G23" i="4"/>
  <c r="G23" i="6"/>
  <c r="G18" i="7"/>
  <c r="G23" i="7"/>
  <c r="G23" i="8"/>
  <c r="G23" i="11"/>
  <c r="G23" i="17"/>
  <c r="H23" i="17"/>
  <c r="I23" i="17"/>
  <c r="J23" i="10"/>
  <c r="J18" i="7"/>
  <c r="J23" i="7"/>
  <c r="J23" i="17"/>
  <c r="K23" i="10"/>
  <c r="K23" i="17"/>
  <c r="L23" i="17"/>
  <c r="M23" i="17"/>
  <c r="C23" i="10"/>
  <c r="C23" i="3"/>
  <c r="C23" i="4"/>
  <c r="C23" i="6"/>
  <c r="C18" i="7"/>
  <c r="C23" i="7"/>
  <c r="C23" i="8"/>
  <c r="C23" i="17"/>
  <c r="D18" i="7"/>
  <c r="D23" i="7"/>
  <c r="D23" i="8"/>
  <c r="D23" i="10"/>
  <c r="D23" i="17"/>
  <c r="F23" i="17"/>
  <c r="N23" i="12"/>
  <c r="N23" i="17"/>
  <c r="O19" i="12"/>
  <c r="O23" i="12"/>
  <c r="O18" i="7"/>
  <c r="O19" i="7"/>
  <c r="O20" i="7"/>
  <c r="O17" i="10"/>
  <c r="O23" i="10"/>
  <c r="B8" i="17"/>
  <c r="G10" i="8"/>
  <c r="O10" i="9"/>
  <c r="L39" i="12"/>
  <c r="O32" i="9"/>
  <c r="G32" i="9"/>
  <c r="G39" i="9"/>
  <c r="F39" i="9"/>
  <c r="G32" i="2"/>
  <c r="G39" i="2"/>
  <c r="N39" i="9"/>
  <c r="N39" i="2"/>
  <c r="C39" i="12"/>
  <c r="N39" i="12"/>
  <c r="C39" i="9"/>
  <c r="I39" i="9"/>
  <c r="O37" i="4"/>
  <c r="B35" i="4"/>
  <c r="N35" i="4"/>
  <c r="N32" i="4"/>
  <c r="B33" i="4"/>
  <c r="O33" i="4"/>
  <c r="B32" i="4"/>
  <c r="C32" i="4"/>
  <c r="C34" i="4"/>
  <c r="C36" i="4"/>
  <c r="C39" i="4"/>
  <c r="O38" i="4"/>
  <c r="O33" i="6"/>
  <c r="O38" i="6"/>
  <c r="O37" i="6"/>
  <c r="O32" i="6"/>
  <c r="N32" i="6"/>
  <c r="B32" i="6"/>
  <c r="C32" i="6"/>
  <c r="C39" i="6"/>
  <c r="O31" i="4"/>
  <c r="C32" i="3"/>
  <c r="N36" i="3"/>
  <c r="N33" i="3"/>
  <c r="B33" i="3"/>
  <c r="B35" i="3"/>
  <c r="B32" i="3"/>
  <c r="G32" i="3"/>
  <c r="G39" i="3"/>
  <c r="I39" i="12"/>
  <c r="G39" i="12"/>
  <c r="F39" i="12"/>
  <c r="O23" i="8"/>
  <c r="J42" i="7"/>
  <c r="C17" i="17"/>
  <c r="C18" i="17"/>
  <c r="B23" i="3"/>
  <c r="B45" i="3"/>
  <c r="O6" i="7"/>
  <c r="O10" i="7"/>
  <c r="O10" i="17"/>
  <c r="G10" i="7"/>
  <c r="G10" i="17"/>
  <c r="B17" i="7"/>
  <c r="B23" i="7"/>
  <c r="B45" i="7"/>
  <c r="O17" i="7"/>
  <c r="O23" i="7"/>
  <c r="B23" i="8"/>
  <c r="B45" i="8"/>
  <c r="B23" i="12"/>
  <c r="O18" i="11"/>
  <c r="O23" i="11"/>
  <c r="B18" i="11"/>
  <c r="B23" i="10"/>
  <c r="B18" i="9"/>
  <c r="B23" i="6"/>
  <c r="O18" i="6"/>
  <c r="O23" i="6"/>
  <c r="B18" i="5"/>
  <c r="B23" i="4"/>
  <c r="O18" i="4"/>
  <c r="O23" i="4"/>
  <c r="O41" i="7"/>
  <c r="N32" i="17"/>
  <c r="O32" i="17"/>
  <c r="N33" i="17"/>
  <c r="O33" i="17"/>
  <c r="N35" i="17"/>
  <c r="O35" i="17"/>
  <c r="N36" i="17"/>
  <c r="N37" i="17"/>
  <c r="O37" i="17"/>
  <c r="N38" i="17"/>
  <c r="O38" i="17"/>
  <c r="N39" i="17"/>
  <c r="O31" i="17"/>
  <c r="C31" i="17"/>
  <c r="D31" i="17"/>
  <c r="E31" i="17"/>
  <c r="F31" i="17"/>
  <c r="G31" i="17"/>
  <c r="H31" i="17"/>
  <c r="C32" i="17"/>
  <c r="D32" i="17"/>
  <c r="E32" i="17"/>
  <c r="F32" i="17"/>
  <c r="G32" i="17"/>
  <c r="H32" i="17"/>
  <c r="C33" i="17"/>
  <c r="D33" i="17"/>
  <c r="E33" i="17"/>
  <c r="F33" i="17"/>
  <c r="G33" i="17"/>
  <c r="H33" i="17"/>
  <c r="D34" i="17"/>
  <c r="F34" i="17"/>
  <c r="G34" i="17"/>
  <c r="C35" i="17"/>
  <c r="D35" i="17"/>
  <c r="E35" i="17"/>
  <c r="F35" i="17"/>
  <c r="G35" i="17"/>
  <c r="H35" i="17"/>
  <c r="D36" i="17"/>
  <c r="E36" i="17"/>
  <c r="F36" i="17"/>
  <c r="G36" i="17"/>
  <c r="H36" i="17"/>
  <c r="C37" i="17"/>
  <c r="D37" i="17"/>
  <c r="E37" i="17"/>
  <c r="F37" i="17"/>
  <c r="G37" i="17"/>
  <c r="H37" i="17"/>
  <c r="C38" i="17"/>
  <c r="D38" i="17"/>
  <c r="E38" i="17"/>
  <c r="F38" i="17"/>
  <c r="G38" i="17"/>
  <c r="H38" i="17"/>
  <c r="D39" i="17"/>
  <c r="F39" i="17"/>
  <c r="G39" i="17"/>
  <c r="B32" i="17"/>
  <c r="B33" i="17"/>
  <c r="B31" i="17"/>
  <c r="B34" i="17"/>
  <c r="B35" i="17"/>
  <c r="B36" i="17"/>
  <c r="B37" i="17"/>
  <c r="B38" i="17"/>
  <c r="B39" i="17"/>
  <c r="D17" i="17"/>
  <c r="E17" i="17"/>
  <c r="F17" i="17"/>
  <c r="G17" i="17"/>
  <c r="H17" i="17"/>
  <c r="D18" i="17"/>
  <c r="E18" i="17"/>
  <c r="F18" i="17"/>
  <c r="G18" i="17"/>
  <c r="H18" i="17"/>
  <c r="B18" i="17"/>
  <c r="B19" i="17"/>
  <c r="B20" i="17"/>
  <c r="B21" i="17"/>
  <c r="B22" i="17"/>
  <c r="B23" i="17"/>
  <c r="O7" i="17"/>
  <c r="N31" i="17"/>
  <c r="B17" i="17"/>
  <c r="O17" i="17"/>
  <c r="O6" i="17"/>
  <c r="C6" i="17"/>
  <c r="C7" i="17"/>
  <c r="D6" i="17"/>
  <c r="E6" i="17"/>
  <c r="F6" i="17"/>
  <c r="G6" i="17"/>
  <c r="H6" i="17"/>
  <c r="D7" i="17"/>
  <c r="E7" i="17"/>
  <c r="F7" i="17"/>
  <c r="G7" i="17"/>
  <c r="H7" i="17"/>
  <c r="B7" i="17"/>
  <c r="B9" i="17"/>
  <c r="B10" i="17"/>
  <c r="B6" i="17"/>
  <c r="I31" i="17"/>
  <c r="J31" i="17"/>
  <c r="K31" i="17"/>
  <c r="K32" i="17"/>
  <c r="K33" i="17"/>
  <c r="K34" i="17"/>
  <c r="K35" i="17"/>
  <c r="K36" i="17"/>
  <c r="K37" i="17"/>
  <c r="K38" i="17"/>
  <c r="K39" i="17"/>
  <c r="L31" i="17"/>
  <c r="M31" i="17"/>
  <c r="M32" i="17"/>
  <c r="M33" i="17"/>
  <c r="M34" i="17"/>
  <c r="M35" i="17"/>
  <c r="M36" i="17"/>
  <c r="M37" i="17"/>
  <c r="M38" i="17"/>
  <c r="M39" i="17"/>
  <c r="I32" i="17"/>
  <c r="J32" i="17"/>
  <c r="L32" i="17"/>
  <c r="I33" i="17"/>
  <c r="J33" i="17"/>
  <c r="L33" i="17"/>
  <c r="I34" i="17"/>
  <c r="J34" i="17"/>
  <c r="L34" i="17"/>
  <c r="I35" i="17"/>
  <c r="J35" i="17"/>
  <c r="L35" i="17"/>
  <c r="I36" i="17"/>
  <c r="J36" i="17"/>
  <c r="L36" i="17"/>
  <c r="E41" i="17"/>
  <c r="I37" i="17"/>
  <c r="I38" i="17"/>
  <c r="I41" i="17"/>
  <c r="J37" i="17"/>
  <c r="L37" i="17"/>
  <c r="L38" i="17"/>
  <c r="L41" i="17"/>
  <c r="M41" i="17"/>
  <c r="J38" i="17"/>
  <c r="J41" i="17"/>
  <c r="E42" i="17"/>
  <c r="T27" i="17"/>
  <c r="I39" i="17"/>
  <c r="I42" i="17"/>
  <c r="J39" i="17"/>
  <c r="L39" i="17"/>
  <c r="L42" i="17"/>
  <c r="M42" i="17"/>
  <c r="I17" i="17"/>
  <c r="J17" i="17"/>
  <c r="K17" i="17"/>
  <c r="L17" i="17"/>
  <c r="L18" i="17"/>
  <c r="M17" i="17"/>
  <c r="N17" i="17"/>
  <c r="N18" i="17"/>
  <c r="I18" i="17"/>
  <c r="J18" i="17"/>
  <c r="K18" i="17"/>
  <c r="M18" i="17"/>
  <c r="I6" i="17"/>
  <c r="J6" i="17"/>
  <c r="J7" i="17"/>
  <c r="K6" i="17"/>
  <c r="K7" i="17"/>
  <c r="L6" i="17"/>
  <c r="L7" i="17"/>
  <c r="M6" i="17"/>
  <c r="I7" i="17"/>
  <c r="M7" i="17"/>
  <c r="B45" i="17"/>
  <c r="N45" i="17"/>
  <c r="O45" i="17"/>
  <c r="T38" i="17"/>
  <c r="P35" i="17"/>
  <c r="U40" i="17"/>
  <c r="P33" i="17"/>
  <c r="U41" i="17"/>
  <c r="P31" i="17"/>
  <c r="U42" i="17"/>
  <c r="P34" i="17"/>
  <c r="U44" i="17"/>
  <c r="T40" i="17"/>
  <c r="T42" i="17"/>
  <c r="T44" i="17"/>
  <c r="N42" i="17"/>
  <c r="T23" i="17"/>
  <c r="D42" i="17"/>
  <c r="H42" i="17"/>
  <c r="T31" i="17"/>
  <c r="K42" i="17"/>
  <c r="K41" i="17"/>
  <c r="G41" i="17"/>
  <c r="T28" i="17"/>
  <c r="S29" i="2"/>
  <c r="S29" i="3"/>
  <c r="S29" i="4"/>
  <c r="S29" i="5"/>
  <c r="S29" i="6"/>
  <c r="S29" i="7"/>
  <c r="S29" i="8"/>
  <c r="S29" i="9"/>
  <c r="S29" i="10"/>
  <c r="S29" i="11"/>
  <c r="S29" i="12"/>
  <c r="S29" i="13"/>
  <c r="S32" i="2"/>
  <c r="S32" i="3"/>
  <c r="S32" i="4"/>
  <c r="S32" i="5"/>
  <c r="S32" i="6"/>
  <c r="S32" i="7"/>
  <c r="S32" i="8"/>
  <c r="S32" i="9"/>
  <c r="S32" i="10"/>
  <c r="S32" i="11"/>
  <c r="S32" i="12"/>
  <c r="S32" i="13"/>
  <c r="S30" i="2"/>
  <c r="S30" i="3"/>
  <c r="S30" i="4"/>
  <c r="S30" i="5"/>
  <c r="S30" i="6"/>
  <c r="S30" i="7"/>
  <c r="S30" i="8"/>
  <c r="S30" i="9"/>
  <c r="S30" i="10"/>
  <c r="S30" i="11"/>
  <c r="S30" i="13"/>
  <c r="S26" i="2"/>
  <c r="S26" i="3"/>
  <c r="S26" i="4"/>
  <c r="S26" i="5"/>
  <c r="S26" i="6"/>
  <c r="S26" i="7"/>
  <c r="S26" i="8"/>
  <c r="S26" i="9"/>
  <c r="S26" i="10"/>
  <c r="S26" i="11"/>
  <c r="S26" i="12"/>
  <c r="S26" i="13"/>
  <c r="S31" i="2"/>
  <c r="S31" i="3"/>
  <c r="S31" i="4"/>
  <c r="S31" i="5"/>
  <c r="S31" i="6"/>
  <c r="S31" i="7"/>
  <c r="S31" i="8"/>
  <c r="S31" i="9"/>
  <c r="S31" i="10"/>
  <c r="S31" i="11"/>
  <c r="S31" i="12"/>
  <c r="S31" i="13"/>
  <c r="B45" i="4"/>
  <c r="B45" i="6"/>
  <c r="B45" i="10"/>
  <c r="B45" i="12"/>
  <c r="B45" i="13"/>
  <c r="N45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B45" i="2"/>
  <c r="N45" i="2"/>
  <c r="O45" i="2"/>
  <c r="T38" i="2"/>
  <c r="C42" i="2"/>
  <c r="D42" i="2"/>
  <c r="E42" i="2"/>
  <c r="F42" i="2"/>
  <c r="G42" i="2"/>
  <c r="N42" i="2"/>
  <c r="M42" i="2"/>
  <c r="L42" i="2"/>
  <c r="K42" i="2"/>
  <c r="J42" i="2"/>
  <c r="I42" i="2"/>
  <c r="H42" i="2"/>
  <c r="O41" i="2"/>
  <c r="P41" i="2"/>
  <c r="U39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45" i="3"/>
  <c r="C42" i="3"/>
  <c r="D42" i="3"/>
  <c r="T29" i="3"/>
  <c r="E42" i="3"/>
  <c r="N42" i="3"/>
  <c r="M42" i="3"/>
  <c r="L42" i="3"/>
  <c r="K42" i="3"/>
  <c r="J42" i="3"/>
  <c r="I42" i="3"/>
  <c r="H42" i="3"/>
  <c r="G42" i="3"/>
  <c r="F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N45" i="4"/>
  <c r="O45" i="4"/>
  <c r="E42" i="4"/>
  <c r="N42" i="4"/>
  <c r="M42" i="4"/>
  <c r="L42" i="4"/>
  <c r="K42" i="4"/>
  <c r="J42" i="4"/>
  <c r="I42" i="4"/>
  <c r="H42" i="4"/>
  <c r="G42" i="4"/>
  <c r="F42" i="4"/>
  <c r="D42" i="4"/>
  <c r="N41" i="4"/>
  <c r="M41" i="4"/>
  <c r="L41" i="4"/>
  <c r="K41" i="4"/>
  <c r="J41" i="4"/>
  <c r="I41" i="4"/>
  <c r="H41" i="4"/>
  <c r="G41" i="4"/>
  <c r="F41" i="4"/>
  <c r="E41" i="4"/>
  <c r="D41" i="4"/>
  <c r="B41" i="4"/>
  <c r="B45" i="5"/>
  <c r="N45" i="5"/>
  <c r="O45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G43" i="5"/>
  <c r="M43" i="5"/>
  <c r="K43" i="5"/>
  <c r="U30" i="5"/>
  <c r="I43" i="5"/>
  <c r="D43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N45" i="6"/>
  <c r="N42" i="6"/>
  <c r="C42" i="6"/>
  <c r="M42" i="6"/>
  <c r="L42" i="6"/>
  <c r="K42" i="6"/>
  <c r="J42" i="6"/>
  <c r="I42" i="6"/>
  <c r="H42" i="6"/>
  <c r="G42" i="6"/>
  <c r="F42" i="6"/>
  <c r="E42" i="6"/>
  <c r="D42" i="6"/>
  <c r="O41" i="6"/>
  <c r="P41" i="6"/>
  <c r="U39" i="6"/>
  <c r="P35" i="6"/>
  <c r="U40" i="6"/>
  <c r="P33" i="6"/>
  <c r="U41" i="6"/>
  <c r="P32" i="6"/>
  <c r="U43" i="6"/>
  <c r="P31" i="6"/>
  <c r="U42" i="6"/>
  <c r="P34" i="6"/>
  <c r="U44" i="6"/>
  <c r="U45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N45" i="7"/>
  <c r="C42" i="7"/>
  <c r="D42" i="7"/>
  <c r="E42" i="7"/>
  <c r="F42" i="7"/>
  <c r="G42" i="7"/>
  <c r="T25" i="7"/>
  <c r="N42" i="7"/>
  <c r="T24" i="7"/>
  <c r="T26" i="7"/>
  <c r="T27" i="7"/>
  <c r="T28" i="7"/>
  <c r="T29" i="7"/>
  <c r="K42" i="7"/>
  <c r="T30" i="7"/>
  <c r="I42" i="7"/>
  <c r="T31" i="7"/>
  <c r="H42" i="7"/>
  <c r="T32" i="7"/>
  <c r="L42" i="7"/>
  <c r="M42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N45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B45" i="9"/>
  <c r="N45" i="9"/>
  <c r="N42" i="9"/>
  <c r="C42" i="9"/>
  <c r="M42" i="9"/>
  <c r="L42" i="9"/>
  <c r="K42" i="9"/>
  <c r="T30" i="9"/>
  <c r="J42" i="9"/>
  <c r="I42" i="9"/>
  <c r="H42" i="9"/>
  <c r="G42" i="9"/>
  <c r="F42" i="9"/>
  <c r="E42" i="9"/>
  <c r="D42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N45" i="10"/>
  <c r="O45" i="10"/>
  <c r="T38" i="10"/>
  <c r="N42" i="10"/>
  <c r="C42" i="10"/>
  <c r="D42" i="10"/>
  <c r="E42" i="10"/>
  <c r="F42" i="10"/>
  <c r="G42" i="10"/>
  <c r="H42" i="10"/>
  <c r="I42" i="10"/>
  <c r="K42" i="10"/>
  <c r="L42" i="10"/>
  <c r="M42" i="10"/>
  <c r="O41" i="10"/>
  <c r="P41" i="10"/>
  <c r="U39" i="10"/>
  <c r="P35" i="10"/>
  <c r="U40" i="10"/>
  <c r="P33" i="10"/>
  <c r="U41" i="10"/>
  <c r="P31" i="10"/>
  <c r="U42" i="10"/>
  <c r="P32" i="10"/>
  <c r="U43" i="10"/>
  <c r="P34" i="10"/>
  <c r="U44" i="10"/>
  <c r="U45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B45" i="11"/>
  <c r="N45" i="11"/>
  <c r="N42" i="11"/>
  <c r="C42" i="11"/>
  <c r="D42" i="11"/>
  <c r="E42" i="11"/>
  <c r="F42" i="11"/>
  <c r="G42" i="11"/>
  <c r="H42" i="11"/>
  <c r="I42" i="11"/>
  <c r="J42" i="11"/>
  <c r="K42" i="11"/>
  <c r="L42" i="11"/>
  <c r="M42" i="11"/>
  <c r="O41" i="11"/>
  <c r="T39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N45" i="12"/>
  <c r="C42" i="12"/>
  <c r="D42" i="12"/>
  <c r="E42" i="12"/>
  <c r="M42" i="12"/>
  <c r="L42" i="12"/>
  <c r="K42" i="12"/>
  <c r="J42" i="12"/>
  <c r="I42" i="12"/>
  <c r="H42" i="12"/>
  <c r="T32" i="12"/>
  <c r="G42" i="12"/>
  <c r="F42" i="12"/>
  <c r="O41" i="12"/>
  <c r="T39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P41" i="13"/>
  <c r="U39" i="13"/>
  <c r="T39" i="13"/>
  <c r="P34" i="13"/>
  <c r="U44" i="13"/>
  <c r="T44" i="13"/>
  <c r="P32" i="13"/>
  <c r="U43" i="13"/>
  <c r="T43" i="13"/>
  <c r="P31" i="13"/>
  <c r="T42" i="13"/>
  <c r="P33" i="13"/>
  <c r="U41" i="13"/>
  <c r="T41" i="13"/>
  <c r="P35" i="13"/>
  <c r="U40" i="13"/>
  <c r="T40" i="13"/>
  <c r="T24" i="13"/>
  <c r="T25" i="13"/>
  <c r="T26" i="13"/>
  <c r="T27" i="13"/>
  <c r="T28" i="13"/>
  <c r="T30" i="13"/>
  <c r="T31" i="13"/>
  <c r="T33" i="13"/>
  <c r="T39" i="2"/>
  <c r="T40" i="2"/>
  <c r="T41" i="2"/>
  <c r="T42" i="2"/>
  <c r="T43" i="2"/>
  <c r="T44" i="2"/>
  <c r="T45" i="2"/>
  <c r="P34" i="2"/>
  <c r="U44" i="2"/>
  <c r="P32" i="2"/>
  <c r="U43" i="2"/>
  <c r="P31" i="2"/>
  <c r="U42" i="2"/>
  <c r="P33" i="2"/>
  <c r="P35" i="2"/>
  <c r="U40" i="2"/>
  <c r="T33" i="2"/>
  <c r="T32" i="2"/>
  <c r="T31" i="2"/>
  <c r="T30" i="2"/>
  <c r="T29" i="2"/>
  <c r="T28" i="2"/>
  <c r="T27" i="2"/>
  <c r="T26" i="2"/>
  <c r="T25" i="2"/>
  <c r="P41" i="3"/>
  <c r="U39" i="3"/>
  <c r="T39" i="3"/>
  <c r="P34" i="3"/>
  <c r="U44" i="3"/>
  <c r="T44" i="3"/>
  <c r="P32" i="3"/>
  <c r="U43" i="3"/>
  <c r="T43" i="3"/>
  <c r="P31" i="3"/>
  <c r="U42" i="3"/>
  <c r="T42" i="3"/>
  <c r="P33" i="3"/>
  <c r="U41" i="3"/>
  <c r="T41" i="3"/>
  <c r="T40" i="3"/>
  <c r="T45" i="3"/>
  <c r="P35" i="3"/>
  <c r="U40" i="3"/>
  <c r="T24" i="3"/>
  <c r="T25" i="3"/>
  <c r="T26" i="3"/>
  <c r="T27" i="3"/>
  <c r="T28" i="3"/>
  <c r="T30" i="3"/>
  <c r="T31" i="3"/>
  <c r="T32" i="3"/>
  <c r="T33" i="3"/>
  <c r="P35" i="4"/>
  <c r="U40" i="4"/>
  <c r="P33" i="4"/>
  <c r="U41" i="4"/>
  <c r="P31" i="4"/>
  <c r="U42" i="4"/>
  <c r="T40" i="4"/>
  <c r="T41" i="4"/>
  <c r="T42" i="4"/>
  <c r="P34" i="4"/>
  <c r="U44" i="4"/>
  <c r="T44" i="4"/>
  <c r="P32" i="4"/>
  <c r="U43" i="4"/>
  <c r="T43" i="4"/>
  <c r="P38" i="4"/>
  <c r="T38" i="4"/>
  <c r="T24" i="4"/>
  <c r="T32" i="4"/>
  <c r="T31" i="4"/>
  <c r="T29" i="4"/>
  <c r="T27" i="4"/>
  <c r="P41" i="5"/>
  <c r="U39" i="5"/>
  <c r="P35" i="5"/>
  <c r="U40" i="5"/>
  <c r="P33" i="5"/>
  <c r="U41" i="5"/>
  <c r="P31" i="5"/>
  <c r="U42" i="5"/>
  <c r="P32" i="5"/>
  <c r="U43" i="5"/>
  <c r="P34" i="5"/>
  <c r="U44" i="5"/>
  <c r="U45" i="5"/>
  <c r="T39" i="5"/>
  <c r="T40" i="5"/>
  <c r="T41" i="5"/>
  <c r="T42" i="5"/>
  <c r="T43" i="5"/>
  <c r="T44" i="5"/>
  <c r="T45" i="5"/>
  <c r="P38" i="5"/>
  <c r="T38" i="5"/>
  <c r="T24" i="5"/>
  <c r="T25" i="5"/>
  <c r="T26" i="5"/>
  <c r="T27" i="5"/>
  <c r="T28" i="5"/>
  <c r="T33" i="5"/>
  <c r="T32" i="5"/>
  <c r="U31" i="5"/>
  <c r="T31" i="5"/>
  <c r="T30" i="5"/>
  <c r="U29" i="5"/>
  <c r="T29" i="5"/>
  <c r="U25" i="5"/>
  <c r="T21" i="5"/>
  <c r="T39" i="6"/>
  <c r="T41" i="6"/>
  <c r="T43" i="6"/>
  <c r="T40" i="6"/>
  <c r="T42" i="6"/>
  <c r="T44" i="6"/>
  <c r="T45" i="6"/>
  <c r="P38" i="6"/>
  <c r="T25" i="6"/>
  <c r="T26" i="6"/>
  <c r="T27" i="6"/>
  <c r="T33" i="6"/>
  <c r="T32" i="6"/>
  <c r="T31" i="6"/>
  <c r="T30" i="6"/>
  <c r="T29" i="6"/>
  <c r="P41" i="7"/>
  <c r="U39" i="7"/>
  <c r="T39" i="7"/>
  <c r="T40" i="7"/>
  <c r="T41" i="7"/>
  <c r="T42" i="7"/>
  <c r="T43" i="7"/>
  <c r="T44" i="7"/>
  <c r="T45" i="7"/>
  <c r="P34" i="7"/>
  <c r="U44" i="7"/>
  <c r="P32" i="7"/>
  <c r="U43" i="7"/>
  <c r="P31" i="7"/>
  <c r="U42" i="7"/>
  <c r="P33" i="7"/>
  <c r="U41" i="7"/>
  <c r="P35" i="7"/>
  <c r="U40" i="7"/>
  <c r="P41" i="8"/>
  <c r="U39" i="8"/>
  <c r="P35" i="8"/>
  <c r="U40" i="8"/>
  <c r="P33" i="8"/>
  <c r="U41" i="8"/>
  <c r="P31" i="8"/>
  <c r="U42" i="8"/>
  <c r="P32" i="8"/>
  <c r="U43" i="8"/>
  <c r="P34" i="8"/>
  <c r="U44" i="8"/>
  <c r="U45" i="8"/>
  <c r="T39" i="8"/>
  <c r="T44" i="8"/>
  <c r="T43" i="8"/>
  <c r="T42" i="8"/>
  <c r="T41" i="8"/>
  <c r="T40" i="8"/>
  <c r="T45" i="8"/>
  <c r="T24" i="8"/>
  <c r="T25" i="8"/>
  <c r="T29" i="8"/>
  <c r="T26" i="8"/>
  <c r="T27" i="8"/>
  <c r="T28" i="8"/>
  <c r="T30" i="8"/>
  <c r="T31" i="8"/>
  <c r="T32" i="8"/>
  <c r="T33" i="8"/>
  <c r="P41" i="9"/>
  <c r="U39" i="9"/>
  <c r="T39" i="9"/>
  <c r="T40" i="9"/>
  <c r="T41" i="9"/>
  <c r="T42" i="9"/>
  <c r="T43" i="9"/>
  <c r="T44" i="9"/>
  <c r="T45" i="9"/>
  <c r="P34" i="9"/>
  <c r="U44" i="9"/>
  <c r="P32" i="9"/>
  <c r="U43" i="9"/>
  <c r="P31" i="9"/>
  <c r="U42" i="9"/>
  <c r="P33" i="9"/>
  <c r="U41" i="9"/>
  <c r="P35" i="9"/>
  <c r="U40" i="9"/>
  <c r="T33" i="9"/>
  <c r="T31" i="9"/>
  <c r="T27" i="9"/>
  <c r="T26" i="9"/>
  <c r="T25" i="9"/>
  <c r="T39" i="10"/>
  <c r="T44" i="10"/>
  <c r="T43" i="10"/>
  <c r="T42" i="10"/>
  <c r="T41" i="10"/>
  <c r="T40" i="10"/>
  <c r="T25" i="10"/>
  <c r="T27" i="10"/>
  <c r="T29" i="10"/>
  <c r="T30" i="10"/>
  <c r="T31" i="10"/>
  <c r="T33" i="10"/>
  <c r="P41" i="11"/>
  <c r="U39" i="11"/>
  <c r="P35" i="11"/>
  <c r="U40" i="11"/>
  <c r="P33" i="11"/>
  <c r="U41" i="11"/>
  <c r="P31" i="11"/>
  <c r="U42" i="11"/>
  <c r="P32" i="11"/>
  <c r="U43" i="11"/>
  <c r="P34" i="11"/>
  <c r="U44" i="11"/>
  <c r="U45" i="11"/>
  <c r="T40" i="11"/>
  <c r="T41" i="11"/>
  <c r="T42" i="11"/>
  <c r="T43" i="11"/>
  <c r="T44" i="11"/>
  <c r="T45" i="11"/>
  <c r="T24" i="11"/>
  <c r="T25" i="11"/>
  <c r="T26" i="11"/>
  <c r="T28" i="11"/>
  <c r="T29" i="11"/>
  <c r="T30" i="11"/>
  <c r="T33" i="11"/>
  <c r="P41" i="12"/>
  <c r="U39" i="12"/>
  <c r="P34" i="12"/>
  <c r="U44" i="12"/>
  <c r="T44" i="12"/>
  <c r="P32" i="12"/>
  <c r="U43" i="12"/>
  <c r="T43" i="12"/>
  <c r="P31" i="12"/>
  <c r="T42" i="12"/>
  <c r="P33" i="12"/>
  <c r="U41" i="12"/>
  <c r="T41" i="12"/>
  <c r="P35" i="12"/>
  <c r="U40" i="12"/>
  <c r="T40" i="12"/>
  <c r="T25" i="12"/>
  <c r="T33" i="12"/>
  <c r="T31" i="12"/>
  <c r="T29" i="12"/>
  <c r="T27" i="12"/>
  <c r="T21" i="10"/>
  <c r="T29" i="9"/>
  <c r="O45" i="8"/>
  <c r="T38" i="8"/>
  <c r="M43" i="8"/>
  <c r="K43" i="8"/>
  <c r="U30" i="8"/>
  <c r="I43" i="8"/>
  <c r="U31" i="8"/>
  <c r="G43" i="8"/>
  <c r="U25" i="8"/>
  <c r="E43" i="8"/>
  <c r="U28" i="8"/>
  <c r="N43" i="8"/>
  <c r="U24" i="8"/>
  <c r="J43" i="8"/>
  <c r="U26" i="8"/>
  <c r="F43" i="8"/>
  <c r="U27" i="8"/>
  <c r="D43" i="8"/>
  <c r="U29" i="8"/>
  <c r="H43" i="8"/>
  <c r="U32" i="8"/>
  <c r="P38" i="11"/>
  <c r="U45" i="7"/>
  <c r="P38" i="3"/>
  <c r="U41" i="2"/>
  <c r="U45" i="2"/>
  <c r="P38" i="2"/>
  <c r="T26" i="12"/>
  <c r="O45" i="12"/>
  <c r="T38" i="12"/>
  <c r="N42" i="12"/>
  <c r="T24" i="6"/>
  <c r="T28" i="6"/>
  <c r="U42" i="12"/>
  <c r="U45" i="12"/>
  <c r="T24" i="10"/>
  <c r="T32" i="9"/>
  <c r="O42" i="3"/>
  <c r="D43" i="3"/>
  <c r="U29" i="3"/>
  <c r="L43" i="8"/>
  <c r="P38" i="10"/>
  <c r="T45" i="10"/>
  <c r="U45" i="9"/>
  <c r="P38" i="12"/>
  <c r="T21" i="8"/>
  <c r="P38" i="7"/>
  <c r="U45" i="3"/>
  <c r="T45" i="13"/>
  <c r="T45" i="12"/>
  <c r="O42" i="12"/>
  <c r="K43" i="12"/>
  <c r="T28" i="12"/>
  <c r="L43" i="12"/>
  <c r="O42" i="11"/>
  <c r="H43" i="11"/>
  <c r="U32" i="11"/>
  <c r="T32" i="11"/>
  <c r="T24" i="9"/>
  <c r="T28" i="9"/>
  <c r="T33" i="7"/>
  <c r="O42" i="6"/>
  <c r="D43" i="6"/>
  <c r="U29" i="6"/>
  <c r="L43" i="6"/>
  <c r="T29" i="17"/>
  <c r="T30" i="17"/>
  <c r="P38" i="8"/>
  <c r="U42" i="13"/>
  <c r="U45" i="13"/>
  <c r="P38" i="13"/>
  <c r="I43" i="12"/>
  <c r="U31" i="12"/>
  <c r="J43" i="11"/>
  <c r="U26" i="11"/>
  <c r="F43" i="11"/>
  <c r="U27" i="11"/>
  <c r="N43" i="11"/>
  <c r="U24" i="11"/>
  <c r="M43" i="10"/>
  <c r="C43" i="8"/>
  <c r="O45" i="7"/>
  <c r="T38" i="7"/>
  <c r="I43" i="6"/>
  <c r="U31" i="6"/>
  <c r="M43" i="6"/>
  <c r="T26" i="4"/>
  <c r="T24" i="2"/>
  <c r="O45" i="13"/>
  <c r="T38" i="13"/>
  <c r="H43" i="6"/>
  <c r="U32" i="6"/>
  <c r="P38" i="9"/>
  <c r="M43" i="11"/>
  <c r="I43" i="11"/>
  <c r="U31" i="11"/>
  <c r="T31" i="11"/>
  <c r="E43" i="11"/>
  <c r="U28" i="11"/>
  <c r="O45" i="11"/>
  <c r="T38" i="11"/>
  <c r="L43" i="10"/>
  <c r="T32" i="10"/>
  <c r="O42" i="9"/>
  <c r="T21" i="9"/>
  <c r="T21" i="6"/>
  <c r="C43" i="6"/>
  <c r="C43" i="5"/>
  <c r="E43" i="5"/>
  <c r="U28" i="5"/>
  <c r="N43" i="5"/>
  <c r="U24" i="5"/>
  <c r="J43" i="5"/>
  <c r="U26" i="5"/>
  <c r="F43" i="5"/>
  <c r="U27" i="5"/>
  <c r="H43" i="5"/>
  <c r="U32" i="5"/>
  <c r="L43" i="5"/>
  <c r="T25" i="4"/>
  <c r="T28" i="4"/>
  <c r="T30" i="4"/>
  <c r="O45" i="3"/>
  <c r="T38" i="3"/>
  <c r="O42" i="13"/>
  <c r="L43" i="13"/>
  <c r="H43" i="13"/>
  <c r="U32" i="13"/>
  <c r="T32" i="13"/>
  <c r="T29" i="13"/>
  <c r="D43" i="13"/>
  <c r="U29" i="13"/>
  <c r="T27" i="11"/>
  <c r="T28" i="10"/>
  <c r="F43" i="6"/>
  <c r="U27" i="6"/>
  <c r="J43" i="6"/>
  <c r="U26" i="6"/>
  <c r="O45" i="6"/>
  <c r="T38" i="6"/>
  <c r="O42" i="2"/>
  <c r="N43" i="13"/>
  <c r="U24" i="13"/>
  <c r="J43" i="13"/>
  <c r="U26" i="13"/>
  <c r="F43" i="13"/>
  <c r="U27" i="13"/>
  <c r="B41" i="17"/>
  <c r="P32" i="17"/>
  <c r="P38" i="17"/>
  <c r="G43" i="6"/>
  <c r="U25" i="6"/>
  <c r="K43" i="6"/>
  <c r="U30" i="6"/>
  <c r="O45" i="9"/>
  <c r="T38" i="9"/>
  <c r="D43" i="2"/>
  <c r="U29" i="2"/>
  <c r="F43" i="2"/>
  <c r="U27" i="2"/>
  <c r="T21" i="2"/>
  <c r="C43" i="2"/>
  <c r="G43" i="2"/>
  <c r="U25" i="2"/>
  <c r="E43" i="2"/>
  <c r="U28" i="2"/>
  <c r="I43" i="9"/>
  <c r="U31" i="9"/>
  <c r="L43" i="2"/>
  <c r="J43" i="2"/>
  <c r="U26" i="2"/>
  <c r="O43" i="10"/>
  <c r="H43" i="12"/>
  <c r="U32" i="12"/>
  <c r="T24" i="12"/>
  <c r="N43" i="12"/>
  <c r="U24" i="12"/>
  <c r="G43" i="12"/>
  <c r="U25" i="12"/>
  <c r="J43" i="12"/>
  <c r="U26" i="12"/>
  <c r="F43" i="12"/>
  <c r="U27" i="12"/>
  <c r="E43" i="12"/>
  <c r="U28" i="12"/>
  <c r="D43" i="12"/>
  <c r="U29" i="12"/>
  <c r="M43" i="2"/>
  <c r="K43" i="9"/>
  <c r="U30" i="9"/>
  <c r="H43" i="2"/>
  <c r="U32" i="2"/>
  <c r="F43" i="9"/>
  <c r="U27" i="9"/>
  <c r="O43" i="8"/>
  <c r="U33" i="8"/>
  <c r="E43" i="9"/>
  <c r="U28" i="9"/>
  <c r="C43" i="11"/>
  <c r="K43" i="11"/>
  <c r="U30" i="11"/>
  <c r="T21" i="11"/>
  <c r="L43" i="11"/>
  <c r="D43" i="11"/>
  <c r="U29" i="11"/>
  <c r="G43" i="11"/>
  <c r="U25" i="11"/>
  <c r="C43" i="3"/>
  <c r="E43" i="3"/>
  <c r="U28" i="3"/>
  <c r="M43" i="3"/>
  <c r="K43" i="3"/>
  <c r="U30" i="3"/>
  <c r="I43" i="3"/>
  <c r="U31" i="3"/>
  <c r="G43" i="3"/>
  <c r="U25" i="3"/>
  <c r="J43" i="3"/>
  <c r="U26" i="3"/>
  <c r="N43" i="3"/>
  <c r="U24" i="3"/>
  <c r="F43" i="3"/>
  <c r="U27" i="3"/>
  <c r="H43" i="3"/>
  <c r="U32" i="3"/>
  <c r="L43" i="3"/>
  <c r="T21" i="3"/>
  <c r="N43" i="6"/>
  <c r="U24" i="6"/>
  <c r="E43" i="6"/>
  <c r="U28" i="6"/>
  <c r="U43" i="17"/>
  <c r="O43" i="5"/>
  <c r="U33" i="5"/>
  <c r="N43" i="2"/>
  <c r="U24" i="2"/>
  <c r="K43" i="2"/>
  <c r="U30" i="2"/>
  <c r="I43" i="2"/>
  <c r="U31" i="2"/>
  <c r="J43" i="9"/>
  <c r="U26" i="9"/>
  <c r="O43" i="6"/>
  <c r="U33" i="6"/>
  <c r="C43" i="12"/>
  <c r="T21" i="12"/>
  <c r="H43" i="9"/>
  <c r="U32" i="9"/>
  <c r="G43" i="9"/>
  <c r="U25" i="9"/>
  <c r="G43" i="13"/>
  <c r="U25" i="13"/>
  <c r="T21" i="13"/>
  <c r="I43" i="13"/>
  <c r="U31" i="13"/>
  <c r="E43" i="13"/>
  <c r="U28" i="13"/>
  <c r="K43" i="13"/>
  <c r="U30" i="13"/>
  <c r="M43" i="13"/>
  <c r="C43" i="13"/>
  <c r="C43" i="9"/>
  <c r="M43" i="9"/>
  <c r="N43" i="9"/>
  <c r="U24" i="9"/>
  <c r="D43" i="9"/>
  <c r="U29" i="9"/>
  <c r="M43" i="12"/>
  <c r="L43" i="9"/>
  <c r="O43" i="2"/>
  <c r="U33" i="2"/>
  <c r="O43" i="3"/>
  <c r="U33" i="3"/>
  <c r="U33" i="11"/>
  <c r="O43" i="11"/>
  <c r="O43" i="13"/>
  <c r="U33" i="13"/>
  <c r="O43" i="12"/>
  <c r="U33" i="12"/>
  <c r="O43" i="9"/>
  <c r="U33" i="9"/>
  <c r="O18" i="17"/>
  <c r="N34" i="17"/>
  <c r="C34" i="17"/>
  <c r="O36" i="17"/>
  <c r="C39" i="17"/>
  <c r="C36" i="17"/>
  <c r="C41" i="17"/>
  <c r="C42" i="4"/>
  <c r="O42" i="4"/>
  <c r="L43" i="4"/>
  <c r="M43" i="4"/>
  <c r="C43" i="4"/>
  <c r="D43" i="4"/>
  <c r="E43" i="4"/>
  <c r="F43" i="4"/>
  <c r="G43" i="4"/>
  <c r="H43" i="4"/>
  <c r="I43" i="4"/>
  <c r="J43" i="4"/>
  <c r="K43" i="4"/>
  <c r="N43" i="4"/>
  <c r="O43" i="4"/>
  <c r="C41" i="4"/>
  <c r="O41" i="4"/>
  <c r="P41" i="4"/>
  <c r="U39" i="4"/>
  <c r="U45" i="4"/>
  <c r="T39" i="4"/>
  <c r="T45" i="4"/>
  <c r="U25" i="4"/>
  <c r="U26" i="4"/>
  <c r="U27" i="4"/>
  <c r="U28" i="4"/>
  <c r="U29" i="4"/>
  <c r="U30" i="4"/>
  <c r="U31" i="4"/>
  <c r="U32" i="4"/>
  <c r="U24" i="4"/>
  <c r="U33" i="4"/>
  <c r="T33" i="4"/>
  <c r="T21" i="4"/>
  <c r="C42" i="17"/>
  <c r="T33" i="17"/>
  <c r="O41" i="17"/>
  <c r="T39" i="17"/>
  <c r="P41" i="17"/>
  <c r="U39" i="17"/>
  <c r="F42" i="17"/>
  <c r="J42" i="17"/>
  <c r="H41" i="17"/>
  <c r="T43" i="17"/>
  <c r="D41" i="17"/>
  <c r="F41" i="17"/>
  <c r="N41" i="17"/>
  <c r="T41" i="17"/>
  <c r="T45" i="17"/>
  <c r="T25" i="17"/>
  <c r="T26" i="17"/>
  <c r="U45" i="17"/>
  <c r="G42" i="17"/>
  <c r="O23" i="17"/>
  <c r="T24" i="17"/>
  <c r="O42" i="17"/>
  <c r="G43" i="17"/>
  <c r="U24" i="17"/>
  <c r="O42" i="7"/>
  <c r="G43" i="7"/>
  <c r="U25" i="7"/>
  <c r="F43" i="7"/>
  <c r="U27" i="7"/>
  <c r="L43" i="7"/>
  <c r="K43" i="7"/>
  <c r="U30" i="7"/>
  <c r="N43" i="7"/>
  <c r="U24" i="7"/>
  <c r="H43" i="7"/>
  <c r="U32" i="7"/>
  <c r="I43" i="7"/>
  <c r="U31" i="7"/>
  <c r="E43" i="7"/>
  <c r="U28" i="7"/>
  <c r="C43" i="7"/>
  <c r="M43" i="7"/>
  <c r="J43" i="7"/>
  <c r="U26" i="7"/>
  <c r="T21" i="7"/>
  <c r="D43" i="7"/>
  <c r="U29" i="7"/>
  <c r="E43" i="17"/>
  <c r="U27" i="17"/>
  <c r="D43" i="17"/>
  <c r="U28" i="17"/>
  <c r="N43" i="17"/>
  <c r="U23" i="17"/>
  <c r="T20" i="17"/>
  <c r="J43" i="17"/>
  <c r="U25" i="17"/>
  <c r="F43" i="17"/>
  <c r="U26" i="17"/>
  <c r="I43" i="17"/>
  <c r="U30" i="17"/>
  <c r="H43" i="17"/>
  <c r="U31" i="17"/>
  <c r="K43" i="17"/>
  <c r="U29" i="17"/>
  <c r="C43" i="17"/>
  <c r="M43" i="17"/>
  <c r="L43" i="17"/>
  <c r="U33" i="7"/>
  <c r="O43" i="7"/>
  <c r="O43" i="17"/>
  <c r="U33" i="17"/>
</calcChain>
</file>

<file path=xl/comments1.xml><?xml version="1.0" encoding="utf-8"?>
<comments xmlns="http://schemas.openxmlformats.org/spreadsheetml/2006/main">
  <authors>
    <author>Kaj</author>
    <author>www.statistikdatabasen.scb.se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Rickard</author>
    <author>www.statistikdatabasen.scb.se</author>
  </authors>
  <commentList>
    <comment ref="K17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Avfall + RT-flis</t>
        </r>
      </text>
    </comment>
    <comment ref="A19" authorId="1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  <author>Kaj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2" authorId="1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Antagit samma fördelning industri/övriga tjänster som fg år.</t>
        </r>
      </text>
    </comment>
    <comment ref="B37" authorId="2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inom kolumnen efter korrigering av summan.</t>
        </r>
      </text>
    </comment>
    <comment ref="O37" authorId="2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Korrigerad till resterande inom flerbostadshus</t>
        </r>
      </text>
    </comment>
    <comment ref="O39" authorId="2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Korrigerad till nya summan i kolumnen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5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Antagen utifrån resulterande balans i fjärrvärmeanvändningen</t>
        </r>
      </text>
    </comment>
    <comment ref="B37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Total flerbostadshus i HÖK från FjvK, minus mängderna som återfinns i Kumla och Örebro.</t>
        </r>
      </text>
    </comment>
    <comment ref="B39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Från Eon</t>
        </r>
      </text>
    </comment>
  </commentList>
</comments>
</file>

<file path=xl/comments5.xml><?xml version="1.0" encoding="utf-8"?>
<comments xmlns="http://schemas.openxmlformats.org/spreadsheetml/2006/main">
  <authors>
    <author>Rickard</author>
    <author>www.statistikdatabasen.scb.se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FjvK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SvFj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FjvK</t>
        </r>
      </text>
    </comment>
    <comment ref="A19" authorId="1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1" authorId="1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Beräknat genomsntt förhållande till biodrivmedel som övriga kommuner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O39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Justerad för justeringen av fjärrvärmeleveranser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 i kolumn</t>
        </r>
      </text>
    </comment>
    <comment ref="B39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Från Eon</t>
        </r>
      </text>
    </comment>
  </commentList>
</comments>
</file>

<file path=xl/sharedStrings.xml><?xml version="1.0" encoding="utf-8"?>
<sst xmlns="http://schemas.openxmlformats.org/spreadsheetml/2006/main" count="1204" uniqueCount="74">
  <si>
    <t>Elproduktion och bränsleanvändning (MWh) efter tid, region, produktionssätt och bränsletyp</t>
  </si>
  <si>
    <t>1860 Laxå</t>
  </si>
  <si>
    <t>Elproduktion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</si>
  <si>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</si>
  <si>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</si>
  <si>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</si>
  <si>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</si>
  <si>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</si>
  <si>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</si>
  <si>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</si>
  <si>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</si>
  <si>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</si>
  <si>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</si>
  <si>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</si>
  <si>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</si>
  <si>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</si>
  <si>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</si>
  <si>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</si>
  <si>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</si>
  <si>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</si>
  <si>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</si>
  <si>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</si>
  <si>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</si>
  <si>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</si>
  <si>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</si>
  <si>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</si>
  <si>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</si>
  <si>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</si>
  <si>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</si>
  <si>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</si>
  <si>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</si>
  <si>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</si>
  <si>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</si>
  <si>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</si>
  <si>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</si>
  <si>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</si>
  <si>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</si>
  <si>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industri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</si>
  <si>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</si>
  <si>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</si>
  <si>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</si>
  <si>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</si>
  <si>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</si>
  <si>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</si>
  <si>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</si>
  <si>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</si>
  <si>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</si>
  <si>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</si>
  <si>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</si>
  <si>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</si>
  <si>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</si>
  <si>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</si>
  <si>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</si>
  <si>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</si>
  <si>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</si>
  <si>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</si>
  <si>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</si>
  <si>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</si>
  <si>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</si>
  <si>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1861 Hallsberg</t>
  </si>
  <si>
    <t>1862 Degerfors</t>
  </si>
  <si>
    <t>1863 Hällefors</t>
  </si>
  <si>
    <t>1864 Ljusnarsberg</t>
  </si>
  <si>
    <t>1880 Örebro</t>
  </si>
  <si>
    <t>1881 Kumla</t>
  </si>
  <si>
    <t>1882 Askersund</t>
  </si>
  <si>
    <t>1883 Karlskoga</t>
  </si>
  <si>
    <t>1884 Nora</t>
  </si>
  <si>
    <t>1885 Lindesberg</t>
  </si>
  <si>
    <t>1814 Lekeberg</t>
  </si>
  <si>
    <t>Örebro län</t>
  </si>
  <si>
    <t>Biobränslen</t>
  </si>
  <si>
    <t>Beckolja</t>
  </si>
  <si>
    <t>Solceller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</si>
</sst>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4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i/>
      <sz val="11"/>
      <color rgb="FF000000"/>
      <name val="Calibri"/>
      <family val="2"/>
    </font>
    <font>
      <i/>
      <sz val="11"/>
      <color rgb="FF000000"/>
      <name val="Calibri"/>
      <family val="2"/>
      <scheme val="minor"/>
    </font>
    <font>
      <sz val="8"/>
      <color rgb="FF000000"/>
      <name val="Tahoma"/>
      <family val="2"/>
    </font>
    <font>
      <i/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sz val="13.2"/>
      <color rgb="FF000000"/>
      <name val="Inherit"/>
    </font>
    <font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rgb="FFFF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color rgb="FF000000"/>
      <name val="Calibri"/>
      <family val="2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18">
    <xf numFmtId="0" fontId="0" fillId="0" borderId="0"/>
    <xf numFmtId="0" fontId="6" fillId="0" borderId="0" applyNumberFormat="0" applyBorder="0" applyAlignment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0" fontId="26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7" fillId="0" borderId="0" xfId="1" applyFont="1" applyFill="1" applyProtection="1"/>
    <xf numFmtId="0" fontId="6" fillId="0" borderId="0" xfId="1" applyFill="1" applyProtection="1"/>
    <xf numFmtId="0" fontId="8" fillId="0" borderId="0" xfId="1" applyFont="1"/>
    <xf numFmtId="0" fontId="9" fillId="0" borderId="0" xfId="0" applyFont="1"/>
    <xf numFmtId="0" fontId="10" fillId="0" borderId="0" xfId="1" applyFont="1" applyFill="1" applyProtection="1"/>
    <xf numFmtId="3" fontId="6" fillId="0" borderId="0" xfId="1" applyNumberFormat="1"/>
    <xf numFmtId="0" fontId="6" fillId="0" borderId="0" xfId="1"/>
    <xf numFmtId="0" fontId="10" fillId="0" borderId="0" xfId="0" applyFont="1" applyFill="1" applyProtection="1"/>
    <xf numFmtId="3" fontId="11" fillId="0" borderId="0" xfId="0" applyNumberFormat="1" applyFont="1"/>
    <xf numFmtId="3" fontId="6" fillId="0" borderId="0" xfId="1" applyNumberFormat="1" applyFill="1" applyProtection="1"/>
    <xf numFmtId="3" fontId="12" fillId="0" borderId="0" xfId="1" applyNumberFormat="1" applyFont="1" applyFill="1" applyProtection="1"/>
    <xf numFmtId="164" fontId="6" fillId="0" borderId="0" xfId="1" applyNumberFormat="1"/>
    <xf numFmtId="4" fontId="6" fillId="0" borderId="0" xfId="1" applyNumberFormat="1"/>
    <xf numFmtId="165" fontId="6" fillId="0" borderId="0" xfId="1" applyNumberFormat="1"/>
    <xf numFmtId="10" fontId="6" fillId="0" borderId="0" xfId="1" applyNumberFormat="1"/>
    <xf numFmtId="165" fontId="13" fillId="0" borderId="0" xfId="1" applyNumberFormat="1" applyFont="1"/>
    <xf numFmtId="165" fontId="8" fillId="0" borderId="0" xfId="1" applyNumberFormat="1" applyFont="1"/>
    <xf numFmtId="3" fontId="11" fillId="0" borderId="0" xfId="0" applyNumberFormat="1" applyFont="1" applyAlignment="1">
      <alignment horizontal="right"/>
    </xf>
    <xf numFmtId="166" fontId="6" fillId="0" borderId="0" xfId="1" applyNumberFormat="1"/>
    <xf numFmtId="2" fontId="6" fillId="0" borderId="0" xfId="1" applyNumberFormat="1"/>
    <xf numFmtId="0" fontId="14" fillId="0" borderId="0" xfId="1" applyFont="1"/>
    <xf numFmtId="3" fontId="14" fillId="0" borderId="0" xfId="1" applyNumberFormat="1" applyFont="1"/>
    <xf numFmtId="3" fontId="13" fillId="0" borderId="0" xfId="1" applyNumberFormat="1" applyFont="1"/>
    <xf numFmtId="3" fontId="13" fillId="2" borderId="0" xfId="1" applyNumberFormat="1" applyFont="1" applyFill="1"/>
    <xf numFmtId="3" fontId="15" fillId="2" borderId="0" xfId="1" applyNumberFormat="1" applyFont="1" applyFill="1"/>
    <xf numFmtId="3" fontId="6" fillId="2" borderId="0" xfId="1" applyNumberFormat="1" applyFill="1"/>
    <xf numFmtId="0" fontId="11" fillId="0" borderId="0" xfId="0" applyFont="1"/>
    <xf numFmtId="1" fontId="6" fillId="0" borderId="0" xfId="1" applyNumberFormat="1"/>
    <xf numFmtId="165" fontId="13" fillId="0" borderId="0" xfId="2" applyNumberFormat="1" applyFont="1"/>
    <xf numFmtId="165" fontId="5" fillId="0" borderId="0" xfId="2" applyNumberFormat="1" applyFont="1"/>
    <xf numFmtId="3" fontId="15" fillId="0" borderId="0" xfId="1" applyNumberFormat="1" applyFont="1"/>
    <xf numFmtId="9" fontId="15" fillId="0" borderId="0" xfId="2" applyFont="1"/>
    <xf numFmtId="0" fontId="6" fillId="0" borderId="0" xfId="1" applyAlignment="1">
      <alignment horizontal="right"/>
    </xf>
    <xf numFmtId="3" fontId="6" fillId="0" borderId="0" xfId="1" applyNumberFormat="1" applyAlignment="1">
      <alignment horizontal="right"/>
    </xf>
    <xf numFmtId="9" fontId="15" fillId="0" borderId="0" xfId="2" applyNumberFormat="1" applyFont="1"/>
    <xf numFmtId="9" fontId="5" fillId="0" borderId="0" xfId="2" applyFont="1"/>
    <xf numFmtId="0" fontId="11" fillId="0" borderId="0" xfId="0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0" borderId="0" xfId="0" applyNumberFormat="1" applyFill="1" applyProtection="1"/>
    <xf numFmtId="0" fontId="0" fillId="0" borderId="0" xfId="0" applyFill="1" applyProtection="1"/>
    <xf numFmtId="9" fontId="6" fillId="0" borderId="0" xfId="7" applyFont="1"/>
    <xf numFmtId="3" fontId="9" fillId="0" borderId="0" xfId="0" applyNumberFormat="1" applyFont="1"/>
    <xf numFmtId="3" fontId="21" fillId="0" borderId="0" xfId="1" applyNumberFormat="1" applyFont="1" applyFill="1" applyProtection="1"/>
    <xf numFmtId="3" fontId="22" fillId="0" borderId="0" xfId="0" applyNumberFormat="1" applyFont="1"/>
    <xf numFmtId="3" fontId="10" fillId="0" borderId="0" xfId="1" applyNumberFormat="1" applyFont="1" applyFill="1" applyProtection="1"/>
    <xf numFmtId="3" fontId="22" fillId="0" borderId="0" xfId="0" applyNumberFormat="1" applyFont="1" applyFill="1"/>
    <xf numFmtId="9" fontId="6" fillId="0" borderId="0" xfId="7" applyFont="1" applyFill="1"/>
    <xf numFmtId="0" fontId="9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9" fontId="13" fillId="0" borderId="0" xfId="1" applyNumberFormat="1" applyFont="1"/>
    <xf numFmtId="3" fontId="0" fillId="0" borderId="0" xfId="0" applyNumberFormat="1" applyFill="1" applyAlignment="1" applyProtection="1">
      <alignment horizontal="right"/>
    </xf>
    <xf numFmtId="165" fontId="6" fillId="0" borderId="0" xfId="1" applyNumberFormat="1" applyFill="1" applyProtection="1"/>
    <xf numFmtId="3" fontId="8" fillId="0" borderId="0" xfId="1" applyNumberFormat="1" applyFont="1"/>
    <xf numFmtId="0" fontId="22" fillId="0" borderId="0" xfId="0" applyFont="1"/>
    <xf numFmtId="3" fontId="24" fillId="0" borderId="0" xfId="1" applyNumberFormat="1" applyFont="1"/>
    <xf numFmtId="0" fontId="21" fillId="0" borderId="0" xfId="1" applyFont="1" applyFill="1" applyProtection="1"/>
    <xf numFmtId="165" fontId="2" fillId="0" borderId="0" xfId="2" applyNumberFormat="1" applyFont="1"/>
    <xf numFmtId="3" fontId="0" fillId="0" borderId="0" xfId="1" applyNumberFormat="1" applyFont="1"/>
    <xf numFmtId="0" fontId="11" fillId="0" borderId="0" xfId="115" applyFont="1"/>
    <xf numFmtId="9" fontId="2" fillId="0" borderId="0" xfId="2" applyFont="1"/>
    <xf numFmtId="0" fontId="6" fillId="0" borderId="0" xfId="1" applyFont="1" applyFill="1" applyProtection="1"/>
    <xf numFmtId="3" fontId="25" fillId="0" borderId="0" xfId="0" applyNumberFormat="1" applyFont="1" applyFill="1" applyAlignment="1" applyProtection="1">
      <alignment horizontal="right"/>
    </xf>
    <xf numFmtId="0" fontId="29" fillId="0" borderId="0" xfId="0" applyFont="1"/>
    <xf numFmtId="3" fontId="30" fillId="0" borderId="0" xfId="0" applyNumberFormat="1" applyFont="1" applyFill="1" applyAlignment="1" applyProtection="1">
      <alignment horizontal="right"/>
    </xf>
    <xf numFmtId="3" fontId="30" fillId="0" borderId="0" xfId="0" applyNumberFormat="1" applyFont="1" applyFill="1" applyProtection="1"/>
    <xf numFmtId="3" fontId="25" fillId="0" borderId="0" xfId="0" applyNumberFormat="1" applyFont="1" applyFill="1" applyProtection="1"/>
    <xf numFmtId="9" fontId="6" fillId="0" borderId="0" xfId="7" applyFont="1" applyFill="1" applyProtection="1"/>
    <xf numFmtId="3" fontId="33" fillId="0" borderId="0" xfId="0" applyNumberFormat="1" applyFont="1" applyFill="1" applyProtection="1"/>
    <xf numFmtId="3" fontId="34" fillId="0" borderId="0" xfId="0" applyNumberFormat="1" applyFont="1" applyFill="1" applyAlignment="1">
      <alignment horizontal="right"/>
    </xf>
    <xf numFmtId="3" fontId="35" fillId="0" borderId="0" xfId="1" applyNumberFormat="1" applyFont="1" applyFill="1" applyProtection="1"/>
    <xf numFmtId="3" fontId="35" fillId="0" borderId="0" xfId="1" applyNumberFormat="1" applyFont="1"/>
    <xf numFmtId="3" fontId="36" fillId="0" borderId="0" xfId="0" applyNumberFormat="1" applyFont="1" applyFill="1" applyProtection="1"/>
    <xf numFmtId="3" fontId="0" fillId="0" borderId="0" xfId="0" applyNumberFormat="1" applyFont="1" applyFill="1" applyProtection="1"/>
    <xf numFmtId="166" fontId="6" fillId="0" borderId="0" xfId="1" applyNumberFormat="1" applyFill="1" applyProtection="1"/>
    <xf numFmtId="3" fontId="37" fillId="0" borderId="0" xfId="0" applyNumberFormat="1" applyFont="1" applyFill="1" applyAlignment="1" applyProtection="1">
      <alignment horizontal="right"/>
    </xf>
    <xf numFmtId="3" fontId="38" fillId="0" borderId="0" xfId="0" applyNumberFormat="1" applyFont="1" applyFill="1" applyAlignment="1" applyProtection="1">
      <alignment horizontal="right"/>
    </xf>
    <xf numFmtId="3" fontId="37" fillId="0" borderId="0" xfId="0" applyNumberFormat="1" applyFont="1" applyFill="1" applyProtection="1"/>
    <xf numFmtId="3" fontId="33" fillId="0" borderId="0" xfId="0" applyNumberFormat="1" applyFont="1" applyFill="1" applyAlignment="1" applyProtection="1">
      <alignment horizontal="right"/>
    </xf>
    <xf numFmtId="0" fontId="39" fillId="0" borderId="0" xfId="0" applyFont="1" applyFill="1" applyProtection="1"/>
    <xf numFmtId="3" fontId="40" fillId="0" borderId="0" xfId="0" applyNumberFormat="1" applyFont="1" applyFill="1" applyProtection="1"/>
    <xf numFmtId="3" fontId="34" fillId="0" borderId="0" xfId="0" applyNumberFormat="1" applyFont="1" applyAlignment="1">
      <alignment horizontal="right"/>
    </xf>
  </cellXfs>
  <cellStyles count="118">
    <cellStyle name="Följd hyperlänk" xfId="4" builtinId="9" hidden="1"/>
    <cellStyle name="Följd hyperlänk" xfId="6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Hyperlänk" xfId="3" builtinId="8" hidden="1"/>
    <cellStyle name="Hyperlänk" xfId="5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Normal" xfId="0" builtinId="0"/>
    <cellStyle name="Normal 2" xfId="1"/>
    <cellStyle name="Normal 3" xfId="115"/>
    <cellStyle name="Normal 5" xfId="116"/>
    <cellStyle name="Percent 2" xfId="2"/>
    <cellStyle name="Percent 3" xfId="117"/>
    <cellStyle name="Procent" xfId="7" builtinId="5"/>
    <cellStyle name="Procent 2" xfId="7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7" Type="http://schemas.openxmlformats.org/officeDocument/2006/relationships/worksheet" Target="worksheets/sheet7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customXml" Target="../customXml/item3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1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74"/>
  <sheetViews>
    <sheetView tabSelected="1" workbookViewId="0">
      <selection activeCell="U33" sqref="U33"/>
    </sheetView>
  </sheetViews>
  <sheetFormatPr baseColWidth="10" defaultColWidth="8.6640625" defaultRowHeight="15" x14ac:dyDescent="0.2"/>
  <cols>
    <col min="1" max="1" width="22" style="2" customWidth="1"/>
    <col min="2" max="2" width="8.6640625" style="2" customWidth="1"/>
    <col min="3" max="3" width="9.33203125" style="2" customWidth="1"/>
    <col min="4" max="6" width="8.6640625" style="2" customWidth="1"/>
    <col min="7" max="7" width="9.33203125" style="2" customWidth="1"/>
    <col min="8" max="8" width="8.6640625" style="2" customWidth="1"/>
    <col min="9" max="9" width="9.5" style="2" customWidth="1"/>
    <col min="10" max="13" width="8.6640625" style="2" customWidth="1"/>
    <col min="14" max="14" width="9.6640625" style="2" customWidth="1"/>
    <col min="15" max="15" width="9.83203125" style="2" customWidth="1"/>
    <col min="16" max="21" width="8.6640625" style="2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70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 t="s">
        <v>9</v>
      </c>
      <c r="M3" s="6" t="s">
        <v>9</v>
      </c>
      <c r="N3" s="6"/>
      <c r="O3" s="7" t="s">
        <v>11</v>
      </c>
      <c r="P3" s="3"/>
      <c r="Q3" s="3"/>
      <c r="R3" s="3"/>
      <c r="S3" s="3"/>
      <c r="T3" s="3"/>
      <c r="U3" s="3"/>
    </row>
    <row r="4" spans="1:21" ht="16" x14ac:dyDescent="0.2">
      <c r="A4" s="5" t="s">
        <v>73</v>
      </c>
      <c r="B4" s="18">
        <f>SUM(Lekeberg:Lindesberg!B4)</f>
        <v>3175.8500000000004</v>
      </c>
      <c r="C4" s="9"/>
      <c r="D4" s="10"/>
      <c r="P4" s="3"/>
      <c r="Q4" s="3"/>
      <c r="R4" s="3"/>
      <c r="S4" s="3"/>
      <c r="T4" s="3"/>
      <c r="U4" s="3"/>
    </row>
    <row r="5" spans="1:21" ht="16" x14ac:dyDescent="0.2">
      <c r="A5" s="5"/>
      <c r="B5" s="18"/>
      <c r="C5" s="41"/>
      <c r="D5" s="41"/>
      <c r="E5" s="41"/>
      <c r="F5" s="41"/>
      <c r="G5" s="41"/>
      <c r="P5" s="3"/>
      <c r="Q5" s="56"/>
      <c r="R5" s="3"/>
      <c r="S5" s="3"/>
      <c r="T5" s="3"/>
      <c r="U5" s="3"/>
    </row>
    <row r="6" spans="1:21" ht="16" x14ac:dyDescent="0.2">
      <c r="A6" s="8" t="s">
        <v>12</v>
      </c>
      <c r="B6" s="18">
        <f>SUM(Lekeberg:Lindesberg!B6)</f>
        <v>114735</v>
      </c>
      <c r="C6" s="18">
        <f>SUM(Lekeberg:Lindesberg!C6)</f>
        <v>0</v>
      </c>
      <c r="D6" s="18">
        <f>SUM(Lekeberg:Lindesberg!D6)</f>
        <v>0</v>
      </c>
      <c r="E6" s="18">
        <f>SUM(Lekeberg:Lindesberg!E6)</f>
        <v>0</v>
      </c>
      <c r="F6" s="18">
        <f>SUM(Lekeberg:Lindesberg!F6)</f>
        <v>0</v>
      </c>
      <c r="G6" s="18">
        <f>SUM(Lekeberg:Lindesberg!G6)</f>
        <v>0</v>
      </c>
      <c r="H6" s="18">
        <f>SUM(Lekeberg:Lindesberg!H6)</f>
        <v>0</v>
      </c>
      <c r="I6" s="18">
        <f>SUM(Lekeberg:Lindesberg!I6)</f>
        <v>0</v>
      </c>
      <c r="J6" s="18">
        <f>SUM(Lekeberg:Lindesberg!J6)</f>
        <v>0</v>
      </c>
      <c r="K6" s="18">
        <f>SUM(Lekeberg:Lindesberg!K6)</f>
        <v>0</v>
      </c>
      <c r="L6" s="18">
        <f>SUM(Lekeberg:Lindesberg!L6)</f>
        <v>0</v>
      </c>
      <c r="M6" s="18">
        <f>SUM(Lekeberg:Lindesberg!M6)</f>
        <v>0</v>
      </c>
      <c r="N6" s="18">
        <f>SUM(Lekeberg:Lindesberg!N6)</f>
        <v>0</v>
      </c>
      <c r="O6" s="18">
        <f>SUM(Lekeberg:Lindesberg!O6)</f>
        <v>0</v>
      </c>
      <c r="P6" s="3"/>
      <c r="Q6" s="57"/>
      <c r="R6" s="44"/>
      <c r="S6" s="3"/>
      <c r="T6" s="3"/>
      <c r="U6" s="3"/>
    </row>
    <row r="7" spans="1:21" ht="16" x14ac:dyDescent="0.2">
      <c r="A7" s="8" t="s">
        <v>13</v>
      </c>
      <c r="B7" s="18">
        <f>SUM(Lekeberg:Lindesberg!B7)</f>
        <v>8</v>
      </c>
      <c r="C7" s="18">
        <f>SUM(Lekeberg:Lindesberg!C7)</f>
        <v>16</v>
      </c>
      <c r="D7" s="18">
        <f>SUM(Lekeberg:Lindesberg!D7)</f>
        <v>0</v>
      </c>
      <c r="E7" s="18">
        <f>SUM(Lekeberg:Lindesberg!E7)</f>
        <v>0</v>
      </c>
      <c r="F7" s="18">
        <f>SUM(Lekeberg:Lindesberg!F7)</f>
        <v>0</v>
      </c>
      <c r="G7" s="18">
        <f>SUM(Lekeberg:Lindesberg!G7)</f>
        <v>0</v>
      </c>
      <c r="H7" s="18">
        <f>SUM(Lekeberg:Lindesberg!H7)</f>
        <v>0</v>
      </c>
      <c r="I7" s="18">
        <f>SUM(Lekeberg:Lindesberg!I7)</f>
        <v>0</v>
      </c>
      <c r="J7" s="18">
        <f>SUM(Lekeberg:Lindesberg!J7)</f>
        <v>0</v>
      </c>
      <c r="K7" s="18">
        <f>SUM(Lekeberg:Lindesberg!K7)</f>
        <v>0</v>
      </c>
      <c r="L7" s="18">
        <f>SUM(Lekeberg:Lindesberg!L7)</f>
        <v>0</v>
      </c>
      <c r="M7" s="18">
        <f>SUM(Lekeberg:Lindesberg!M7)</f>
        <v>0</v>
      </c>
      <c r="N7" s="18">
        <f>SUM(Lekeberg:Lindesberg!N7)</f>
        <v>0</v>
      </c>
      <c r="O7" s="18">
        <f>SUM(Lekeberg:Lindesberg!O7)</f>
        <v>16</v>
      </c>
      <c r="P7" s="3"/>
      <c r="Q7" s="57"/>
      <c r="R7" s="44"/>
      <c r="S7" s="3"/>
      <c r="T7" s="3"/>
      <c r="U7" s="3"/>
    </row>
    <row r="8" spans="1:21" ht="16" x14ac:dyDescent="0.2">
      <c r="A8" s="8" t="s">
        <v>14</v>
      </c>
      <c r="B8" s="18">
        <f>SUM(Lekeberg:Lindesberg!B8)</f>
        <v>501919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8"/>
      <c r="P8" s="3"/>
      <c r="Q8" s="3"/>
      <c r="R8" s="3"/>
      <c r="S8" s="3"/>
      <c r="T8" s="3"/>
      <c r="U8" s="3"/>
    </row>
    <row r="9" spans="1:21" ht="16" x14ac:dyDescent="0.2">
      <c r="A9" s="8" t="s">
        <v>15</v>
      </c>
      <c r="B9" s="18">
        <f>SUM(Lekeberg:Lindesberg!B9)</f>
        <v>167082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8"/>
      <c r="P9" s="3"/>
      <c r="Q9" s="3"/>
      <c r="R9" s="3"/>
      <c r="S9" s="3"/>
      <c r="T9" s="3"/>
      <c r="U9" s="3"/>
    </row>
    <row r="10" spans="1:21" ht="16" x14ac:dyDescent="0.2">
      <c r="A10" s="8" t="s">
        <v>16</v>
      </c>
      <c r="B10" s="18">
        <f>SUM(Lekeberg:Lindesberg!B10)</f>
        <v>786919.85</v>
      </c>
      <c r="C10" s="18">
        <f>SUM(Lekeberg:Lindesberg!C10)</f>
        <v>16</v>
      </c>
      <c r="D10" s="18">
        <f>SUM(Lekeberg:Lindesberg!D10)</f>
        <v>0</v>
      </c>
      <c r="E10" s="18">
        <f>SUM(Lekeberg:Lindesberg!E10)</f>
        <v>0</v>
      </c>
      <c r="F10" s="18">
        <f>SUM(Lekeberg:Lindesberg!F10)</f>
        <v>0</v>
      </c>
      <c r="G10" s="18">
        <f>SUM(Lekeberg:Lindesberg!G10)</f>
        <v>0</v>
      </c>
      <c r="H10" s="18">
        <f>SUM(Lekeberg:Lindesberg!H10)</f>
        <v>0</v>
      </c>
      <c r="I10" s="18">
        <f>SUM(Lekeberg:Lindesberg!I10)</f>
        <v>0</v>
      </c>
      <c r="J10" s="18">
        <f>SUM(Lekeberg:Lindesberg!J10)</f>
        <v>0</v>
      </c>
      <c r="K10" s="18">
        <f>SUM(Lekeberg:Lindesberg!K10)</f>
        <v>0</v>
      </c>
      <c r="L10" s="18">
        <f>SUM(Lekeberg:Lindesberg!L10)</f>
        <v>0</v>
      </c>
      <c r="M10" s="18">
        <f>SUM(Lekeberg:Lindesberg!M10)</f>
        <v>0</v>
      </c>
      <c r="N10" s="18">
        <f>SUM(Lekeberg:Lindesberg!N10)</f>
        <v>0</v>
      </c>
      <c r="O10" s="18">
        <f>SUM(Lekeberg:Lindesberg!O10)</f>
        <v>16</v>
      </c>
      <c r="P10" s="3"/>
      <c r="Q10" s="3"/>
      <c r="R10" s="3"/>
      <c r="S10" s="3"/>
      <c r="T10" s="3"/>
      <c r="U10" s="3"/>
    </row>
    <row r="11" spans="1:21" ht="16" x14ac:dyDescent="0.2">
      <c r="A11" s="58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3"/>
      <c r="Q11" s="3"/>
      <c r="R11" s="3"/>
      <c r="S11" s="3"/>
      <c r="T11" s="3"/>
      <c r="U11" s="3"/>
    </row>
    <row r="12" spans="1:21" ht="16" x14ac:dyDescent="0.2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3"/>
      <c r="Q12" s="3"/>
      <c r="R12" s="3"/>
      <c r="S12" s="3"/>
      <c r="T12" s="3"/>
      <c r="U12" s="3"/>
    </row>
    <row r="13" spans="1:21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21" ht="16" x14ac:dyDescent="0.2">
      <c r="A14" s="4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21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21" ht="16" x14ac:dyDescent="0.2">
      <c r="B16" s="10"/>
      <c r="C16" s="41"/>
      <c r="D16" s="41"/>
      <c r="E16" s="41"/>
      <c r="F16" s="41"/>
      <c r="G16" s="41"/>
      <c r="H16" s="10"/>
      <c r="I16" s="10"/>
      <c r="J16" s="10"/>
      <c r="K16" s="10"/>
      <c r="L16" s="10"/>
      <c r="M16" s="10"/>
      <c r="N16" s="10"/>
      <c r="O16" s="10"/>
      <c r="P16" s="3"/>
      <c r="Q16" s="56"/>
      <c r="R16" s="3"/>
      <c r="S16" s="3"/>
      <c r="T16" s="3"/>
      <c r="U16" s="3"/>
    </row>
    <row r="17" spans="1:24" ht="16" x14ac:dyDescent="0.2">
      <c r="A17" s="8" t="s">
        <v>20</v>
      </c>
      <c r="B17" s="18">
        <f>SUM(Lekeberg:Lindesberg!B17)</f>
        <v>576449.5</v>
      </c>
      <c r="C17" s="18">
        <f>SUM(Lekeberg:Lindesberg!C17)</f>
        <v>29632</v>
      </c>
      <c r="D17" s="18">
        <f>SUM(Lekeberg:Lindesberg!D17)</f>
        <v>0</v>
      </c>
      <c r="E17" s="18">
        <f>SUM(Lekeberg:Lindesberg!E17)</f>
        <v>0</v>
      </c>
      <c r="F17" s="18">
        <f>SUM(Lekeberg:Lindesberg!F17)</f>
        <v>0</v>
      </c>
      <c r="G17" s="18">
        <f>SUM(Lekeberg:Lindesberg!G17)</f>
        <v>380247.24</v>
      </c>
      <c r="H17" s="18">
        <f>SUM(Lekeberg:Lindesberg!H17)</f>
        <v>0</v>
      </c>
      <c r="I17" s="18">
        <f>SUM(Lekeberg:Lindesberg!I17)</f>
        <v>0</v>
      </c>
      <c r="J17" s="18">
        <f>SUM(Lekeberg:Lindesberg!J17)</f>
        <v>42887</v>
      </c>
      <c r="K17" s="18">
        <f>SUM(Lekeberg:Lindesberg!K17)</f>
        <v>285326</v>
      </c>
      <c r="L17" s="18">
        <f>SUM(Lekeberg:Lindesberg!L17)</f>
        <v>0</v>
      </c>
      <c r="M17" s="18">
        <f>SUM(Lekeberg:Lindesberg!M17)</f>
        <v>0</v>
      </c>
      <c r="N17" s="18">
        <f>SUM(Lekeberg:Lindesberg!N17)</f>
        <v>18592</v>
      </c>
      <c r="O17" s="18">
        <f>SUM(Lekeberg:Lindesberg!O17)</f>
        <v>756684.24</v>
      </c>
      <c r="P17" s="3"/>
      <c r="Q17" s="57"/>
      <c r="R17" s="44"/>
      <c r="S17" s="3"/>
      <c r="T17" s="3"/>
      <c r="U17" s="3"/>
    </row>
    <row r="18" spans="1:24" ht="16" x14ac:dyDescent="0.2">
      <c r="A18" s="8" t="s">
        <v>21</v>
      </c>
      <c r="B18" s="18">
        <f>SUM(Lekeberg:Lindesberg!B18)</f>
        <v>801296.23891625612</v>
      </c>
      <c r="C18" s="18">
        <f>SUM(Lekeberg:Lindesberg!C18)</f>
        <v>22579.7</v>
      </c>
      <c r="D18" s="18">
        <f>SUM(Lekeberg:Lindesberg!D18)</f>
        <v>3269</v>
      </c>
      <c r="E18" s="18">
        <f>SUM(Lekeberg:Lindesberg!E18)</f>
        <v>0</v>
      </c>
      <c r="F18" s="18">
        <f>SUM(Lekeberg:Lindesberg!F18)</f>
        <v>0</v>
      </c>
      <c r="G18" s="18">
        <f>SUM(Lekeberg:Lindesberg!G18)</f>
        <v>603547.72</v>
      </c>
      <c r="H18" s="18">
        <f>SUM(Lekeberg:Lindesberg!H18)</f>
        <v>0</v>
      </c>
      <c r="I18" s="18">
        <f>SUM(Lekeberg:Lindesberg!I18)</f>
        <v>0</v>
      </c>
      <c r="J18" s="18">
        <f>SUM(Lekeberg:Lindesberg!J18)</f>
        <v>75957</v>
      </c>
      <c r="K18" s="18">
        <f>SUM(Lekeberg:Lindesberg!K18)</f>
        <v>0</v>
      </c>
      <c r="L18" s="18">
        <f>SUM(Lekeberg:Lindesberg!L18)</f>
        <v>0</v>
      </c>
      <c r="M18" s="18">
        <f>SUM(Lekeberg:Lindesberg!M18)</f>
        <v>0</v>
      </c>
      <c r="N18" s="18">
        <f>SUM(Lekeberg:Lindesberg!N18)</f>
        <v>37167</v>
      </c>
      <c r="O18" s="18">
        <f>SUM(Lekeberg:Lindesberg!O18)</f>
        <v>742521.41999999993</v>
      </c>
      <c r="P18" s="3"/>
      <c r="Q18" s="57"/>
      <c r="R18" s="44"/>
      <c r="S18" s="3"/>
      <c r="T18" s="3"/>
      <c r="U18" s="3"/>
    </row>
    <row r="19" spans="1:24" ht="16" x14ac:dyDescent="0.2">
      <c r="A19" s="8" t="s">
        <v>22</v>
      </c>
      <c r="B19" s="18">
        <f>SUM(Lekeberg:Lindesberg!B19)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8"/>
      <c r="O19" s="18"/>
      <c r="P19" s="3"/>
      <c r="Q19" s="3"/>
      <c r="R19" s="3"/>
      <c r="S19" s="3"/>
      <c r="T19" s="3"/>
      <c r="U19" s="3"/>
    </row>
    <row r="20" spans="1:24" ht="16" x14ac:dyDescent="0.2">
      <c r="A20" s="8" t="s">
        <v>23</v>
      </c>
      <c r="B20" s="18">
        <f>SUM(Lekeberg:Lindesberg!B20)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8"/>
      <c r="O20" s="18"/>
      <c r="P20" s="3"/>
      <c r="Q20" s="3"/>
      <c r="R20" s="3"/>
      <c r="S20" s="3" t="s">
        <v>26</v>
      </c>
      <c r="T20" s="12">
        <f>O42/1000</f>
        <v>12294.215725401793</v>
      </c>
      <c r="U20" s="3"/>
    </row>
    <row r="21" spans="1:24" ht="16" x14ac:dyDescent="0.2">
      <c r="A21" s="8" t="s">
        <v>24</v>
      </c>
      <c r="B21" s="18">
        <f>SUM(Lekeberg:Lindesberg!B21)</f>
        <v>354235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8"/>
      <c r="P21" s="3"/>
      <c r="Q21" s="3"/>
      <c r="R21" s="3"/>
      <c r="S21" s="3"/>
      <c r="T21" s="3"/>
      <c r="U21" s="3"/>
    </row>
    <row r="22" spans="1:24" ht="16" x14ac:dyDescent="0.2">
      <c r="A22" s="8" t="s">
        <v>25</v>
      </c>
      <c r="B22" s="18">
        <f>SUM(Lekeberg:Lindesberg!B22)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8"/>
      <c r="P22" s="3"/>
      <c r="Q22" s="3"/>
      <c r="R22" s="3"/>
      <c r="S22" s="3"/>
      <c r="T22" s="3" t="s">
        <v>27</v>
      </c>
      <c r="U22" s="3" t="s">
        <v>28</v>
      </c>
    </row>
    <row r="23" spans="1:24" ht="16" x14ac:dyDescent="0.2">
      <c r="A23" s="8" t="s">
        <v>16</v>
      </c>
      <c r="B23" s="18">
        <f>SUM(Lekeberg:Lindesberg!B23)</f>
        <v>1731980.7389162562</v>
      </c>
      <c r="C23" s="18">
        <f>SUM(Lekeberg:Lindesberg!C23)</f>
        <v>52211.7</v>
      </c>
      <c r="D23" s="18">
        <f>SUM(Lekeberg:Lindesberg!D23)</f>
        <v>3269</v>
      </c>
      <c r="E23" s="18">
        <f>SUM(Lekeberg:Lindesberg!E23)</f>
        <v>0</v>
      </c>
      <c r="F23" s="18">
        <f>SUM(Lekeberg:Lindesberg!F23)</f>
        <v>0</v>
      </c>
      <c r="G23" s="18">
        <f>SUM(Lekeberg:Lindesberg!G23)</f>
        <v>983794.96</v>
      </c>
      <c r="H23" s="18">
        <f>SUM(Lekeberg:Lindesberg!H23)</f>
        <v>0</v>
      </c>
      <c r="I23" s="18">
        <f>SUM(Lekeberg:Lindesberg!I23)</f>
        <v>0</v>
      </c>
      <c r="J23" s="18">
        <f>SUM(Lekeberg:Lindesberg!J23)</f>
        <v>118844</v>
      </c>
      <c r="K23" s="18">
        <f>SUM(Lekeberg:Lindesberg!K23)</f>
        <v>285326</v>
      </c>
      <c r="L23" s="18">
        <f>SUM(Lekeberg:Lindesberg!L23)</f>
        <v>0</v>
      </c>
      <c r="M23" s="18">
        <f>SUM(Lekeberg:Lindesberg!M23)</f>
        <v>0</v>
      </c>
      <c r="N23" s="18">
        <f>SUM(Lekeberg:Lindesberg!N23)</f>
        <v>55759</v>
      </c>
      <c r="O23" s="18">
        <f>SUM(Lekeberg:Lindesberg!O23)</f>
        <v>1499205.66</v>
      </c>
      <c r="P23" s="3"/>
      <c r="Q23" s="3"/>
      <c r="R23" s="3"/>
      <c r="S23" s="3" t="s">
        <v>10</v>
      </c>
      <c r="T23" s="13">
        <f>N42/1000</f>
        <v>3671.2500399999999</v>
      </c>
      <c r="U23" s="14">
        <f>N43</f>
        <v>0.29861604204769382</v>
      </c>
    </row>
    <row r="24" spans="1:24" ht="16" x14ac:dyDescent="0.2">
      <c r="A24" s="58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3"/>
      <c r="Q24" s="3"/>
      <c r="R24" s="3"/>
      <c r="S24" s="3" t="s">
        <v>71</v>
      </c>
      <c r="T24" s="13">
        <f>G42/1000</f>
        <v>2277.2038604017948</v>
      </c>
      <c r="U24" s="15">
        <f>G43</f>
        <v>0.1852256305944536</v>
      </c>
    </row>
    <row r="25" spans="1:24" ht="16" x14ac:dyDescent="0.2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3"/>
      <c r="Q25" s="3"/>
      <c r="R25" s="3"/>
      <c r="S25" s="3" t="s">
        <v>7</v>
      </c>
      <c r="T25" s="13">
        <f>J42/1000</f>
        <v>118.84399999999999</v>
      </c>
      <c r="U25" s="14">
        <f>J43</f>
        <v>9.666659724739457E-3</v>
      </c>
    </row>
    <row r="26" spans="1:24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31</v>
      </c>
      <c r="T26" s="13">
        <f>F42/1000</f>
        <v>222.62700000000001</v>
      </c>
      <c r="U26" s="14">
        <f>F43</f>
        <v>1.8108271806229773E-2</v>
      </c>
    </row>
    <row r="27" spans="1:24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4</v>
      </c>
      <c r="T27" s="12">
        <f>E42/1000</f>
        <v>360.26954166666667</v>
      </c>
      <c r="U27" s="14">
        <f>E43</f>
        <v>2.9303987315131692E-2</v>
      </c>
    </row>
    <row r="28" spans="1:24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2" t="s">
        <v>3</v>
      </c>
      <c r="T28" s="2">
        <f>D42/1000</f>
        <v>3.2690000000000001</v>
      </c>
      <c r="U28" s="54">
        <f>D43</f>
        <v>2.6589740029091317E-4</v>
      </c>
    </row>
    <row r="29" spans="1:24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72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8</v>
      </c>
      <c r="T29" s="2">
        <f>K42/1000</f>
        <v>285.32600000000002</v>
      </c>
      <c r="U29" s="54">
        <f>K43</f>
        <v>2.32081497814026E-2</v>
      </c>
    </row>
    <row r="30" spans="1:24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3" t="s">
        <v>5</v>
      </c>
      <c r="T30" s="13">
        <f>I42/1000</f>
        <v>2247</v>
      </c>
      <c r="U30" s="14">
        <f>I43</f>
        <v>0.18276887685949278</v>
      </c>
      <c r="W30" s="56"/>
    </row>
    <row r="31" spans="1:24" ht="16" x14ac:dyDescent="0.2">
      <c r="A31" s="5" t="s">
        <v>33</v>
      </c>
      <c r="B31" s="18">
        <f>SUM(Lekeberg:Lindesberg!B31)</f>
        <v>0</v>
      </c>
      <c r="C31" s="18">
        <f>SUM(Lekeberg:Lindesberg!C31)</f>
        <v>85629</v>
      </c>
      <c r="D31" s="18">
        <f>SUM(Lekeberg:Lindesberg!D31)</f>
        <v>0</v>
      </c>
      <c r="E31" s="18">
        <f>SUM(Lekeberg:Lindesberg!E31)</f>
        <v>0</v>
      </c>
      <c r="F31" s="18">
        <f>SUM(Lekeberg:Lindesberg!F31)</f>
        <v>8044</v>
      </c>
      <c r="G31" s="18">
        <f>SUM(Lekeberg:Lindesberg!G31)</f>
        <v>0</v>
      </c>
      <c r="H31" s="18">
        <f>SUM(Lekeberg:Lindesberg!H31)</f>
        <v>0</v>
      </c>
      <c r="I31" s="18">
        <f>SUM(Lekeberg:Lindesberg!I31)</f>
        <v>0</v>
      </c>
      <c r="J31" s="18">
        <f>SUM(Lekeberg:Lindesberg!J31)</f>
        <v>0</v>
      </c>
      <c r="K31" s="18">
        <f>SUM(Lekeberg:Lindesberg!K31)</f>
        <v>0</v>
      </c>
      <c r="L31" s="18">
        <f>SUM(Lekeberg:Lindesberg!L31)</f>
        <v>0</v>
      </c>
      <c r="M31" s="18">
        <f>SUM(Lekeberg:Lindesberg!M31)</f>
        <v>0</v>
      </c>
      <c r="N31" s="18">
        <f>SUM(Lekeberg:Lindesberg!N31)</f>
        <v>79498</v>
      </c>
      <c r="O31" s="18">
        <f>SUM(Lekeberg:Lindesberg!O31)</f>
        <v>173168</v>
      </c>
      <c r="P31" s="16">
        <f>O31/O$39</f>
        <v>1.4184792177302761E-2</v>
      </c>
      <c r="Q31" s="17" t="s">
        <v>34</v>
      </c>
      <c r="R31" s="3"/>
      <c r="S31" s="3" t="s">
        <v>6</v>
      </c>
      <c r="T31" s="13">
        <f>H42/1000</f>
        <v>33.858583333333328</v>
      </c>
      <c r="U31" s="14">
        <f>H43</f>
        <v>2.7540254774752445E-3</v>
      </c>
      <c r="W31" s="44"/>
      <c r="X31" s="44"/>
    </row>
    <row r="32" spans="1:24" ht="16" x14ac:dyDescent="0.2">
      <c r="A32" s="5" t="s">
        <v>36</v>
      </c>
      <c r="B32" s="18">
        <f>SUM(Lekeberg:Lindesberg!B32)</f>
        <v>289216.2199609204</v>
      </c>
      <c r="C32" s="18">
        <f>SUM(Lekeberg:Lindesberg!C32)</f>
        <v>185740.00000000003</v>
      </c>
      <c r="D32" s="18">
        <f>SUM(Lekeberg:Lindesberg!D32)</f>
        <v>0</v>
      </c>
      <c r="E32" s="18">
        <f>SUM(Lekeberg:Lindesberg!E32)</f>
        <v>349624</v>
      </c>
      <c r="F32" s="18">
        <f>SUM(Lekeberg:Lindesberg!F32)</f>
        <v>0</v>
      </c>
      <c r="G32" s="18">
        <f>SUM(Lekeberg:Lindesberg!G32)</f>
        <v>855172.90040179482</v>
      </c>
      <c r="H32" s="18">
        <f>SUM(Lekeberg:Lindesberg!H32)</f>
        <v>0</v>
      </c>
      <c r="I32" s="18">
        <f>SUM(Lekeberg:Lindesberg!I32)</f>
        <v>2247000</v>
      </c>
      <c r="J32" s="18">
        <f>SUM(Lekeberg:Lindesberg!J32)</f>
        <v>0</v>
      </c>
      <c r="K32" s="18">
        <f>SUM(Lekeberg:Lindesberg!K32)</f>
        <v>0</v>
      </c>
      <c r="L32" s="18">
        <f>SUM(Lekeberg:Lindesberg!L32)</f>
        <v>91000</v>
      </c>
      <c r="M32" s="18">
        <f>SUM(Lekeberg:Lindesberg!M32)</f>
        <v>0</v>
      </c>
      <c r="N32" s="18">
        <f>SUM(Lekeberg:Lindesberg!N32)</f>
        <v>1139644.0952247975</v>
      </c>
      <c r="O32" s="18">
        <f>SUM(Lekeberg:Lindesberg!O32)</f>
        <v>5157399.2155875126</v>
      </c>
      <c r="P32" s="16">
        <f>O32/O$39</f>
        <v>0.42246047796644381</v>
      </c>
      <c r="Q32" s="17" t="s">
        <v>37</v>
      </c>
      <c r="R32" s="3"/>
      <c r="S32" s="10" t="str">
        <f>L29</f>
        <v>Beckolja</v>
      </c>
      <c r="T32" s="2">
        <f>L42/1000</f>
        <v>91</v>
      </c>
      <c r="U32" s="14">
        <f>L43</f>
        <v>7.4018548260853774E-3</v>
      </c>
      <c r="W32" s="44"/>
      <c r="X32" s="44"/>
    </row>
    <row r="33" spans="1:48" ht="16" x14ac:dyDescent="0.2">
      <c r="A33" s="5" t="s">
        <v>38</v>
      </c>
      <c r="B33" s="18">
        <f>SUM(Lekeberg:Lindesberg!B33)</f>
        <v>180305.37398494472</v>
      </c>
      <c r="C33" s="18">
        <f>SUM(Lekeberg:Lindesberg!C33)</f>
        <v>5544</v>
      </c>
      <c r="D33" s="18">
        <f>SUM(Lekeberg:Lindesberg!D33)</f>
        <v>0</v>
      </c>
      <c r="E33" s="18">
        <f>SUM(Lekeberg:Lindesberg!E33)</f>
        <v>0</v>
      </c>
      <c r="F33" s="18">
        <f>SUM(Lekeberg:Lindesberg!F33)</f>
        <v>0</v>
      </c>
      <c r="G33" s="18">
        <f>SUM(Lekeberg:Lindesberg!G33)</f>
        <v>0</v>
      </c>
      <c r="H33" s="18">
        <f>SUM(Lekeberg:Lindesberg!H33)</f>
        <v>0</v>
      </c>
      <c r="I33" s="18">
        <f>SUM(Lekeberg:Lindesberg!I33)</f>
        <v>0</v>
      </c>
      <c r="J33" s="18">
        <f>SUM(Lekeberg:Lindesberg!J33)</f>
        <v>0</v>
      </c>
      <c r="K33" s="18">
        <f>SUM(Lekeberg:Lindesberg!K33)</f>
        <v>0</v>
      </c>
      <c r="L33" s="18">
        <f>SUM(Lekeberg:Lindesberg!L33)</f>
        <v>0</v>
      </c>
      <c r="M33" s="18">
        <f>SUM(Lekeberg:Lindesberg!M33)</f>
        <v>0</v>
      </c>
      <c r="N33" s="18">
        <f>SUM(Lekeberg:Lindesberg!N33)</f>
        <v>258137</v>
      </c>
      <c r="O33" s="18">
        <f>SUM(Lekeberg:Lindesberg!O33)</f>
        <v>443986.37398494472</v>
      </c>
      <c r="P33" s="16">
        <f>O33/O$39</f>
        <v>3.6368465562521143E-2</v>
      </c>
      <c r="Q33" s="17" t="s">
        <v>39</v>
      </c>
      <c r="R33" s="3"/>
      <c r="S33" s="3" t="s">
        <v>35</v>
      </c>
      <c r="T33" s="13">
        <f>C42/1000</f>
        <v>2983.5677000000001</v>
      </c>
      <c r="U33" s="15">
        <f>C43</f>
        <v>0.24268060416700496</v>
      </c>
      <c r="W33" s="44"/>
      <c r="X33" s="44"/>
    </row>
    <row r="34" spans="1:48" ht="16" x14ac:dyDescent="0.2">
      <c r="A34" s="5" t="s">
        <v>40</v>
      </c>
      <c r="B34" s="18">
        <f>SUM(Lekeberg:Lindesberg!B34)</f>
        <v>0</v>
      </c>
      <c r="C34" s="18">
        <f>SUM(Lekeberg:Lindesberg!C34)</f>
        <v>2562913</v>
      </c>
      <c r="D34" s="18">
        <f>SUM(Lekeberg:Lindesberg!D34)</f>
        <v>0</v>
      </c>
      <c r="E34" s="83">
        <f>969*39.55/3.6</f>
        <v>10645.541666666666</v>
      </c>
      <c r="F34" s="18">
        <f>SUM(Lekeberg:Lindesberg!F34)</f>
        <v>214583</v>
      </c>
      <c r="G34" s="18">
        <f>SUM(Lekeberg:Lindesberg!G34)</f>
        <v>0</v>
      </c>
      <c r="H34" s="83">
        <f>3453*35.3/3.6</f>
        <v>33858.583333333328</v>
      </c>
      <c r="I34" s="18">
        <f>SUM(Lekeberg:Lindesberg!I34)</f>
        <v>0</v>
      </c>
      <c r="J34" s="18">
        <f>SUM(Lekeberg:Lindesberg!J34)</f>
        <v>0</v>
      </c>
      <c r="K34" s="18">
        <f>SUM(Lekeberg:Lindesberg!K34)</f>
        <v>0</v>
      </c>
      <c r="L34" s="18">
        <f>SUM(Lekeberg:Lindesberg!L34)</f>
        <v>0</v>
      </c>
      <c r="M34" s="18">
        <f>SUM(Lekeberg:Lindesberg!M34)</f>
        <v>0</v>
      </c>
      <c r="N34" s="18">
        <f>SUM(Lekeberg:Lindesberg!N34)</f>
        <v>119544</v>
      </c>
      <c r="O34" s="18">
        <f>SUM(Lekeberg:Lindesberg!O34)+H34+E34</f>
        <v>2941544.125</v>
      </c>
      <c r="P34" s="16">
        <f>O34/O$39</f>
        <v>0.24095209330529252</v>
      </c>
      <c r="Q34" s="17" t="s">
        <v>41</v>
      </c>
      <c r="R34" s="3"/>
      <c r="S34" s="3"/>
      <c r="T34" s="13">
        <f>SUM(T23:T33)</f>
        <v>12294.215725401795</v>
      </c>
      <c r="U34" s="14">
        <f>SUM(U23:U33)</f>
        <v>1.0000000000000002</v>
      </c>
      <c r="W34" s="44"/>
      <c r="X34" s="44"/>
    </row>
    <row r="35" spans="1:48" ht="16" x14ac:dyDescent="0.2">
      <c r="A35" s="5" t="s">
        <v>42</v>
      </c>
      <c r="B35" s="18">
        <f>SUM(Lekeberg:Lindesberg!B35)</f>
        <v>254548.40605413483</v>
      </c>
      <c r="C35" s="18">
        <f>SUM(Lekeberg:Lindesberg!C35)</f>
        <v>79820</v>
      </c>
      <c r="D35" s="18">
        <f>SUM(Lekeberg:Lindesberg!D35)</f>
        <v>0</v>
      </c>
      <c r="E35" s="18">
        <f>SUM(Lekeberg:Lindesberg!E35)</f>
        <v>0</v>
      </c>
      <c r="F35" s="18">
        <f>SUM(Lekeberg:Lindesberg!F35)</f>
        <v>0</v>
      </c>
      <c r="G35" s="18">
        <f>SUM(Lekeberg:Lindesberg!G35)</f>
        <v>0</v>
      </c>
      <c r="H35" s="18">
        <f>SUM(Lekeberg:Lindesberg!H35)</f>
        <v>0</v>
      </c>
      <c r="I35" s="18">
        <f>SUM(Lekeberg:Lindesberg!I35)</f>
        <v>0</v>
      </c>
      <c r="J35" s="18">
        <f>SUM(Lekeberg:Lindesberg!J35)</f>
        <v>0</v>
      </c>
      <c r="K35" s="18">
        <f>SUM(Lekeberg:Lindesberg!K35)</f>
        <v>0</v>
      </c>
      <c r="L35" s="18">
        <f>SUM(Lekeberg:Lindesberg!L35)</f>
        <v>0</v>
      </c>
      <c r="M35" s="18">
        <f>SUM(Lekeberg:Lindesberg!M35)</f>
        <v>0</v>
      </c>
      <c r="N35" s="18">
        <f>SUM(Lekeberg:Lindesberg!N35)</f>
        <v>832788.90477520251</v>
      </c>
      <c r="O35" s="18">
        <f>SUM(Lekeberg:Lindesberg!O35)</f>
        <v>1167157.3108293372</v>
      </c>
      <c r="P35" s="16">
        <f>O35/O$39</f>
        <v>9.5605908091181455E-2</v>
      </c>
      <c r="Q35" s="17" t="s">
        <v>43</v>
      </c>
      <c r="R35" s="17"/>
      <c r="W35" s="44"/>
      <c r="X35" s="44"/>
    </row>
    <row r="36" spans="1:48" ht="16" x14ac:dyDescent="0.2">
      <c r="A36" s="5" t="s">
        <v>44</v>
      </c>
      <c r="B36" s="18">
        <f>SUM(Lekeberg:Lindesberg!B36)</f>
        <v>142563</v>
      </c>
      <c r="C36" s="18">
        <f>SUM(Lekeberg:Lindesberg!C36)</f>
        <v>11040</v>
      </c>
      <c r="D36" s="18">
        <f>SUM(Lekeberg:Lindesberg!D36)</f>
        <v>0</v>
      </c>
      <c r="E36" s="18">
        <f>SUM(Lekeberg:Lindesberg!E36)</f>
        <v>0</v>
      </c>
      <c r="F36" s="18">
        <f>SUM(Lekeberg:Lindesberg!F36)</f>
        <v>0</v>
      </c>
      <c r="G36" s="18">
        <f>SUM(Lekeberg:Lindesberg!G36)</f>
        <v>438237</v>
      </c>
      <c r="H36" s="18">
        <f>SUM(Lekeberg:Lindesberg!H36)</f>
        <v>0</v>
      </c>
      <c r="I36" s="18">
        <f>SUM(Lekeberg:Lindesberg!I36)</f>
        <v>0</v>
      </c>
      <c r="J36" s="18">
        <f>SUM(Lekeberg:Lindesberg!J36)</f>
        <v>0</v>
      </c>
      <c r="K36" s="18">
        <f>SUM(Lekeberg:Lindesberg!K36)</f>
        <v>0</v>
      </c>
      <c r="L36" s="18">
        <f>SUM(Lekeberg:Lindesberg!L36)</f>
        <v>0</v>
      </c>
      <c r="M36" s="18">
        <f>SUM(Lekeberg:Lindesberg!M36)</f>
        <v>0</v>
      </c>
      <c r="N36" s="18">
        <f>SUM(Lekeberg:Lindesberg!N36)</f>
        <v>800837</v>
      </c>
      <c r="O36" s="18">
        <f>SUM(Lekeberg:Lindesberg!O36)</f>
        <v>1392678</v>
      </c>
      <c r="P36" s="17"/>
      <c r="Q36" s="17"/>
      <c r="R36" s="3"/>
      <c r="S36" s="7"/>
      <c r="T36" s="7"/>
      <c r="U36" s="7"/>
      <c r="W36" s="44"/>
      <c r="X36" s="44"/>
    </row>
    <row r="37" spans="1:48" ht="16" x14ac:dyDescent="0.2">
      <c r="A37" s="5" t="s">
        <v>45</v>
      </c>
      <c r="B37" s="18">
        <f>SUM(Lekeberg:Lindesberg!B37)</f>
        <v>707949</v>
      </c>
      <c r="C37" s="18">
        <f>SUM(Lekeberg:Lindesberg!C37)</f>
        <v>657</v>
      </c>
      <c r="D37" s="18">
        <f>SUM(Lekeberg:Lindesberg!D37)</f>
        <v>0</v>
      </c>
      <c r="E37" s="18">
        <f>SUM(Lekeberg:Lindesberg!E37)</f>
        <v>0</v>
      </c>
      <c r="F37" s="18">
        <f>SUM(Lekeberg:Lindesberg!F37)</f>
        <v>0</v>
      </c>
      <c r="G37" s="18">
        <f>SUM(Lekeberg:Lindesberg!G37)</f>
        <v>0</v>
      </c>
      <c r="H37" s="18">
        <f>SUM(Lekeberg:Lindesberg!H37)</f>
        <v>0</v>
      </c>
      <c r="I37" s="18">
        <f>SUM(Lekeberg:Lindesberg!I37)</f>
        <v>0</v>
      </c>
      <c r="J37" s="18">
        <f>SUM(Lekeberg:Lindesberg!J37)</f>
        <v>0</v>
      </c>
      <c r="K37" s="18">
        <f>SUM(Lekeberg:Lindesberg!K37)</f>
        <v>0</v>
      </c>
      <c r="L37" s="18">
        <f>SUM(Lekeberg:Lindesberg!L37)</f>
        <v>0</v>
      </c>
      <c r="M37" s="18">
        <f>SUM(Lekeberg:Lindesberg!M37)</f>
        <v>0</v>
      </c>
      <c r="N37" s="18">
        <f>SUM(Lekeberg:Lindesberg!N37)</f>
        <v>168620</v>
      </c>
      <c r="O37" s="18">
        <f>SUM(Lekeberg:Lindesberg!O37)</f>
        <v>877224</v>
      </c>
      <c r="P37" s="17"/>
      <c r="Q37" s="17"/>
      <c r="R37" s="3"/>
      <c r="S37" s="7"/>
      <c r="T37" s="7" t="s">
        <v>27</v>
      </c>
      <c r="U37" s="7" t="s">
        <v>28</v>
      </c>
      <c r="W37" s="44"/>
      <c r="X37" s="44"/>
    </row>
    <row r="38" spans="1:48" ht="16" x14ac:dyDescent="0.2">
      <c r="A38" s="5" t="s">
        <v>46</v>
      </c>
      <c r="B38" s="18">
        <f>SUM(Lekeberg:Lindesberg!B38)</f>
        <v>0</v>
      </c>
      <c r="C38" s="18">
        <f>SUM(Lekeberg:Lindesberg!C38)</f>
        <v>0</v>
      </c>
      <c r="D38" s="18">
        <f>SUM(Lekeberg:Lindesberg!D38)</f>
        <v>0</v>
      </c>
      <c r="E38" s="18">
        <f>SUM(Lekeberg:Lindesberg!E38)</f>
        <v>0</v>
      </c>
      <c r="F38" s="18">
        <f>SUM(Lekeberg:Lindesberg!F38)</f>
        <v>0</v>
      </c>
      <c r="G38" s="18">
        <f>SUM(Lekeberg:Lindesberg!G38)</f>
        <v>0</v>
      </c>
      <c r="H38" s="18">
        <f>SUM(Lekeberg:Lindesberg!H38)</f>
        <v>0</v>
      </c>
      <c r="I38" s="18">
        <f>SUM(Lekeberg:Lindesberg!I38)</f>
        <v>0</v>
      </c>
      <c r="J38" s="18">
        <f>SUM(Lekeberg:Lindesberg!J38)</f>
        <v>0</v>
      </c>
      <c r="K38" s="18">
        <f>SUM(Lekeberg:Lindesberg!K38)</f>
        <v>0</v>
      </c>
      <c r="L38" s="18">
        <f>SUM(Lekeberg:Lindesberg!L38)</f>
        <v>0</v>
      </c>
      <c r="M38" s="18">
        <f>SUM(Lekeberg:Lindesberg!M38)</f>
        <v>0</v>
      </c>
      <c r="N38" s="18">
        <f>SUM(Lekeberg:Lindesberg!N38)</f>
        <v>54844</v>
      </c>
      <c r="O38" s="18">
        <f>SUM(Lekeberg:Lindesberg!O38)</f>
        <v>54844</v>
      </c>
      <c r="P38" s="17">
        <f>SUM(P31:P35)</f>
        <v>0.80957173710274166</v>
      </c>
      <c r="Q38" s="17"/>
      <c r="R38" s="3"/>
      <c r="S38" s="7" t="s">
        <v>47</v>
      </c>
      <c r="T38" s="19">
        <f>O45/1000</f>
        <v>433.71177891625621</v>
      </c>
      <c r="U38" s="7"/>
      <c r="W38" s="44"/>
      <c r="X38" s="44"/>
    </row>
    <row r="39" spans="1:48" ht="16" x14ac:dyDescent="0.2">
      <c r="A39" s="5" t="s">
        <v>16</v>
      </c>
      <c r="B39" s="18">
        <f>SUM(Lekeberg:Lindesberg!B39)</f>
        <v>1574582</v>
      </c>
      <c r="C39" s="18">
        <f>SUM(Lekeberg:Lindesberg!C39)</f>
        <v>2931340</v>
      </c>
      <c r="D39" s="18">
        <f>SUM(Lekeberg:Lindesberg!D39)</f>
        <v>0</v>
      </c>
      <c r="E39" s="18">
        <f>SUM(Lekeberg:Lindesberg!E39)+E34</f>
        <v>360269.54166666669</v>
      </c>
      <c r="F39" s="18">
        <f>SUM(Lekeberg:Lindesberg!F39)</f>
        <v>222627</v>
      </c>
      <c r="G39" s="18">
        <f>SUM(Lekeberg:Lindesberg!G39)</f>
        <v>1293408.9004017948</v>
      </c>
      <c r="H39" s="18">
        <f>SUM(Lekeberg:Lindesberg!H39)+H34</f>
        <v>33858.583333333328</v>
      </c>
      <c r="I39" s="18">
        <f>SUM(Lekeberg:Lindesberg!I39)</f>
        <v>2247000</v>
      </c>
      <c r="J39" s="18">
        <f>SUM(Lekeberg:Lindesberg!J39)</f>
        <v>0</v>
      </c>
      <c r="K39" s="18">
        <f>SUM(Lekeberg:Lindesberg!K39)</f>
        <v>0</v>
      </c>
      <c r="L39" s="18">
        <f>SUM(Lekeberg:Lindesberg!L39)</f>
        <v>91000</v>
      </c>
      <c r="M39" s="18">
        <f>SUM(Lekeberg:Lindesberg!M39)</f>
        <v>0</v>
      </c>
      <c r="N39" s="18">
        <f>SUM(Lekeberg:Lindesberg!N39)</f>
        <v>3453913</v>
      </c>
      <c r="O39" s="18">
        <f>SUM(Lekeberg:Lindesberg!O39)+H34+E34</f>
        <v>12208004.025401795</v>
      </c>
      <c r="P39" s="3"/>
      <c r="Q39" s="3"/>
      <c r="R39" s="3"/>
      <c r="S39" s="7" t="s">
        <v>48</v>
      </c>
      <c r="T39" s="20">
        <f>O41/1000</f>
        <v>2324.7460000000001</v>
      </c>
      <c r="U39" s="14">
        <f>P41</f>
        <v>0.19042801715684124</v>
      </c>
    </row>
    <row r="40" spans="1:48" x14ac:dyDescent="0.2">
      <c r="S40" s="7" t="s">
        <v>49</v>
      </c>
      <c r="T40" s="20">
        <f>O35/1000</f>
        <v>1167.1573108293371</v>
      </c>
      <c r="U40" s="15">
        <f>P35</f>
        <v>9.5605908091181455E-2</v>
      </c>
    </row>
    <row r="41" spans="1:48" ht="16" x14ac:dyDescent="0.2">
      <c r="A41" s="21" t="s">
        <v>50</v>
      </c>
      <c r="B41" s="22">
        <f>B38+B37+B36</f>
        <v>850512</v>
      </c>
      <c r="C41" s="22">
        <f t="shared" ref="C41:O41" si="0">C38+C37+C36</f>
        <v>11697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438237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1024301</v>
      </c>
      <c r="O41" s="22">
        <f t="shared" si="0"/>
        <v>2324746</v>
      </c>
      <c r="P41" s="16">
        <f>O41/O$39</f>
        <v>0.19042801715684124</v>
      </c>
      <c r="Q41" s="16" t="s">
        <v>51</v>
      </c>
      <c r="R41" s="7"/>
      <c r="S41" s="7" t="s">
        <v>52</v>
      </c>
      <c r="T41" s="20">
        <f>O33/1000</f>
        <v>443.98637398494469</v>
      </c>
      <c r="U41" s="14">
        <f>P33</f>
        <v>3.6368465562521143E-2</v>
      </c>
    </row>
    <row r="42" spans="1:48" ht="16" x14ac:dyDescent="0.2">
      <c r="A42" s="23" t="s">
        <v>53</v>
      </c>
      <c r="B42" s="22"/>
      <c r="C42" s="24">
        <f>C39+C23+C10</f>
        <v>2983567.7</v>
      </c>
      <c r="D42" s="24">
        <f t="shared" ref="D42:M42" si="1">D39+D23+D10</f>
        <v>3269</v>
      </c>
      <c r="E42" s="24">
        <f t="shared" si="1"/>
        <v>360269.54166666669</v>
      </c>
      <c r="F42" s="24">
        <f t="shared" si="1"/>
        <v>222627</v>
      </c>
      <c r="G42" s="24">
        <f t="shared" si="1"/>
        <v>2277203.8604017948</v>
      </c>
      <c r="H42" s="24">
        <f t="shared" si="1"/>
        <v>33858.583333333328</v>
      </c>
      <c r="I42" s="24">
        <f t="shared" si="1"/>
        <v>2247000</v>
      </c>
      <c r="J42" s="24">
        <f t="shared" si="1"/>
        <v>118844</v>
      </c>
      <c r="K42" s="24">
        <f t="shared" si="1"/>
        <v>285326</v>
      </c>
      <c r="L42" s="24">
        <f t="shared" si="1"/>
        <v>91000</v>
      </c>
      <c r="M42" s="24">
        <f t="shared" si="1"/>
        <v>0</v>
      </c>
      <c r="N42" s="24">
        <f>N39+N23-B6+N45</f>
        <v>3671250.04</v>
      </c>
      <c r="O42" s="25">
        <f>SUM(C42:N42)</f>
        <v>12294215.725401793</v>
      </c>
      <c r="P42" s="7"/>
      <c r="Q42" s="7"/>
      <c r="R42" s="7"/>
      <c r="S42" s="7" t="s">
        <v>34</v>
      </c>
      <c r="T42" s="20">
        <f>O31/1000</f>
        <v>173.16800000000001</v>
      </c>
      <c r="U42" s="14">
        <f>P31</f>
        <v>1.4184792177302761E-2</v>
      </c>
    </row>
    <row r="43" spans="1:48" ht="16" x14ac:dyDescent="0.2">
      <c r="A43" s="23" t="s">
        <v>54</v>
      </c>
      <c r="B43" s="22"/>
      <c r="C43" s="16">
        <f t="shared" ref="C43:N43" si="2">C42/$O42</f>
        <v>0.24268060416700496</v>
      </c>
      <c r="D43" s="16">
        <f t="shared" si="2"/>
        <v>2.6589740029091317E-4</v>
      </c>
      <c r="E43" s="16">
        <f t="shared" si="2"/>
        <v>2.9303987315131692E-2</v>
      </c>
      <c r="F43" s="16">
        <f t="shared" si="2"/>
        <v>1.8108271806229773E-2</v>
      </c>
      <c r="G43" s="16">
        <f t="shared" si="2"/>
        <v>0.1852256305944536</v>
      </c>
      <c r="H43" s="16">
        <f t="shared" si="2"/>
        <v>2.7540254774752445E-3</v>
      </c>
      <c r="I43" s="16">
        <f t="shared" si="2"/>
        <v>0.18276887685949278</v>
      </c>
      <c r="J43" s="16">
        <f t="shared" si="2"/>
        <v>9.666659724739457E-3</v>
      </c>
      <c r="K43" s="16">
        <f t="shared" si="2"/>
        <v>2.32081497814026E-2</v>
      </c>
      <c r="L43" s="16">
        <f t="shared" si="2"/>
        <v>7.4018548260853774E-3</v>
      </c>
      <c r="M43" s="16">
        <f t="shared" si="2"/>
        <v>0</v>
      </c>
      <c r="N43" s="16">
        <f t="shared" si="2"/>
        <v>0.29861604204769382</v>
      </c>
      <c r="O43" s="16">
        <f>SUM(C43:N43)</f>
        <v>1.0000000000000002</v>
      </c>
      <c r="P43" s="7"/>
      <c r="Q43" s="7"/>
      <c r="R43" s="7"/>
      <c r="S43" s="7" t="s">
        <v>55</v>
      </c>
      <c r="T43" s="20">
        <f>O32/1000</f>
        <v>5157.399215587513</v>
      </c>
      <c r="U43" s="15">
        <f>P32</f>
        <v>0.42246047796644381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2941.5441249999999</v>
      </c>
      <c r="U44" s="15">
        <f>P34</f>
        <v>0.24095209330529252</v>
      </c>
    </row>
    <row r="45" spans="1:48" ht="16" x14ac:dyDescent="0.2">
      <c r="A45" s="6" t="s">
        <v>57</v>
      </c>
      <c r="B45" s="6">
        <f>B23-B39</f>
        <v>157398.73891625623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276313.03999999998</v>
      </c>
      <c r="O45" s="25">
        <f>B45+N45</f>
        <v>433711.77891625621</v>
      </c>
      <c r="P45" s="7"/>
      <c r="Q45" s="7"/>
      <c r="R45" s="7"/>
      <c r="S45" s="7" t="s">
        <v>58</v>
      </c>
      <c r="T45" s="20">
        <f>SUM(T39:T44)</f>
        <v>12208.001025401794</v>
      </c>
      <c r="U45" s="14">
        <f>SUM(U39:U44)</f>
        <v>0.99999975425958298</v>
      </c>
    </row>
    <row r="46" spans="1:48" ht="16" x14ac:dyDescent="0.2">
      <c r="A46" s="6"/>
      <c r="B46" s="6"/>
      <c r="C46" s="6"/>
      <c r="D46" s="6"/>
      <c r="E46" s="6"/>
      <c r="F46" s="6"/>
      <c r="G46" s="6"/>
      <c r="H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56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9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3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56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9"/>
      <c r="C49" s="3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3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9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3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9"/>
      <c r="C52" s="3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3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9"/>
      <c r="C53" s="3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3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27"/>
      <c r="C55" s="27"/>
      <c r="D55" s="27"/>
      <c r="E55" s="37"/>
      <c r="F55" s="37"/>
      <c r="G55" s="37"/>
      <c r="H55" s="37"/>
      <c r="I55" s="37"/>
      <c r="J55" s="37"/>
      <c r="K55" s="37"/>
      <c r="L55" s="37"/>
      <c r="M55" s="3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37"/>
      <c r="F56" s="37"/>
      <c r="G56" s="37"/>
      <c r="H56" s="37"/>
      <c r="I56" s="6"/>
      <c r="J56" s="37"/>
      <c r="K56" s="37"/>
      <c r="L56" s="37"/>
      <c r="M56" s="3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8"/>
      <c r="D57" s="28"/>
      <c r="E57" s="28"/>
      <c r="F57" s="27"/>
      <c r="G57" s="27"/>
      <c r="H57" s="28"/>
      <c r="I57" s="9"/>
      <c r="J57" s="27"/>
      <c r="K57" s="28"/>
      <c r="L57" s="6"/>
      <c r="M57" s="6"/>
      <c r="N57" s="29"/>
      <c r="O57" s="7"/>
      <c r="P57" s="6"/>
      <c r="Q57" s="14"/>
      <c r="R57" s="7"/>
      <c r="S57" s="7"/>
      <c r="T57" s="6"/>
      <c r="U57" s="59"/>
    </row>
    <row r="58" spans="1:48" ht="16" x14ac:dyDescent="0.2">
      <c r="A58" s="7"/>
      <c r="B58" s="7"/>
      <c r="C58" s="28"/>
      <c r="D58" s="28"/>
      <c r="E58" s="28"/>
      <c r="F58" s="37"/>
      <c r="G58" s="27"/>
      <c r="H58" s="28"/>
      <c r="I58" s="9"/>
      <c r="J58" s="27"/>
      <c r="K58" s="28"/>
      <c r="L58" s="6"/>
      <c r="M58" s="6"/>
      <c r="N58" s="29"/>
      <c r="O58" s="7"/>
      <c r="P58" s="6"/>
      <c r="Q58" s="14"/>
      <c r="R58" s="7"/>
      <c r="S58" s="7"/>
      <c r="T58" s="6"/>
      <c r="U58" s="59"/>
    </row>
    <row r="59" spans="1:48" ht="16" x14ac:dyDescent="0.2">
      <c r="A59" s="7"/>
      <c r="B59" s="7"/>
      <c r="C59" s="28"/>
      <c r="D59" s="28"/>
      <c r="E59" s="28"/>
      <c r="F59" s="27"/>
      <c r="G59" s="27"/>
      <c r="H59" s="28"/>
      <c r="I59" s="9"/>
      <c r="J59" s="27"/>
      <c r="K59" s="28"/>
      <c r="L59" s="6"/>
      <c r="M59" s="6"/>
      <c r="N59" s="29"/>
      <c r="O59" s="7"/>
      <c r="P59" s="6"/>
      <c r="Q59" s="14"/>
      <c r="R59" s="7"/>
      <c r="S59" s="7"/>
      <c r="T59" s="6"/>
      <c r="U59" s="59"/>
    </row>
    <row r="60" spans="1:48" ht="16" x14ac:dyDescent="0.2">
      <c r="A60" s="23"/>
      <c r="B60" s="7"/>
      <c r="C60" s="28"/>
      <c r="D60" s="28"/>
      <c r="E60" s="28"/>
      <c r="F60" s="27"/>
      <c r="G60" s="27"/>
      <c r="H60" s="28"/>
      <c r="I60" s="9"/>
      <c r="J60" s="27"/>
      <c r="K60" s="28"/>
      <c r="L60" s="6"/>
      <c r="M60" s="6"/>
      <c r="N60" s="29"/>
      <c r="O60" s="7"/>
      <c r="P60" s="6"/>
      <c r="Q60" s="14"/>
      <c r="R60" s="7"/>
      <c r="S60" s="7"/>
      <c r="T60" s="6"/>
      <c r="U60" s="59"/>
    </row>
    <row r="61" spans="1:48" ht="16" x14ac:dyDescent="0.2">
      <c r="A61" s="7"/>
      <c r="B61" s="7"/>
      <c r="C61" s="7"/>
      <c r="D61" s="7"/>
      <c r="E61" s="7"/>
      <c r="F61" s="27"/>
      <c r="G61" s="27"/>
      <c r="H61" s="7"/>
      <c r="I61" s="9"/>
      <c r="J61" s="27"/>
      <c r="K61" s="6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27"/>
      <c r="G62" s="27"/>
      <c r="H62" s="7"/>
      <c r="I62" s="9"/>
      <c r="J62" s="2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59"/>
    </row>
    <row r="65" spans="1:21" ht="16" x14ac:dyDescent="0.2">
      <c r="A65" s="7"/>
      <c r="B65" s="6"/>
      <c r="C65" s="7"/>
      <c r="D65" s="6"/>
      <c r="E65" s="60"/>
      <c r="F65" s="60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59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59"/>
    </row>
    <row r="67" spans="1:21" ht="16" x14ac:dyDescent="0.2">
      <c r="A67" s="61"/>
      <c r="B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59"/>
    </row>
    <row r="68" spans="1:21" ht="16" x14ac:dyDescent="0.2">
      <c r="D68" s="10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59"/>
    </row>
    <row r="69" spans="1:21" ht="16" x14ac:dyDescent="0.2"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59"/>
    </row>
    <row r="70" spans="1:21" ht="16" x14ac:dyDescent="0.2">
      <c r="A70" s="7"/>
      <c r="B70" s="31"/>
      <c r="C70" s="23"/>
      <c r="D70" s="23"/>
      <c r="E70" s="6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62"/>
      <c r="T70" s="31"/>
      <c r="U70" s="35"/>
    </row>
    <row r="71" spans="1:21" x14ac:dyDescent="0.2">
      <c r="C71" s="63"/>
      <c r="D71" s="63"/>
      <c r="E71" s="6"/>
    </row>
    <row r="72" spans="1:21" x14ac:dyDescent="0.2">
      <c r="E72" s="6"/>
    </row>
    <row r="73" spans="1:21" x14ac:dyDescent="0.2">
      <c r="E73" s="6"/>
    </row>
    <row r="74" spans="1:21" x14ac:dyDescent="0.2">
      <c r="D74" s="10"/>
      <c r="E74" s="10"/>
      <c r="F74" s="10"/>
    </row>
  </sheetData>
  <conditionalFormatting sqref="B12:O12">
    <cfRule type="colorScale" priority="8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O25">
    <cfRule type="colorScale" priority="7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25:N25">
    <cfRule type="colorScale" priority="6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48:O48">
    <cfRule type="colorScale" priority="5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X31:X38">
    <cfRule type="colorScale" priority="4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17:R18">
    <cfRule type="colorScale" priority="3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6:R7">
    <cfRule type="colorScale" priority="2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51">
    <cfRule type="colorScale" priority="1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pageMargins left="0.75" right="0.75" top="0.75" bottom="0.5" header="0.5" footer="0.75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 enableFormatConditionsCalculation="0"/>
  <dimension ref="A1:AV70"/>
  <sheetViews>
    <sheetView workbookViewId="0">
      <selection activeCell="U35" sqref="U35"/>
    </sheetView>
  </sheetViews>
  <sheetFormatPr baseColWidth="10" defaultColWidth="8.6640625" defaultRowHeight="15" x14ac:dyDescent="0.2"/>
  <cols>
    <col min="1" max="1" width="22" style="2" customWidth="1"/>
    <col min="2" max="21" width="8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65</v>
      </c>
      <c r="Q2" s="41"/>
      <c r="R2" s="8"/>
      <c r="AH2" s="41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1"/>
      <c r="R3" s="41"/>
      <c r="AH3" s="41"/>
      <c r="AI3" s="41"/>
    </row>
    <row r="4" spans="1:35" ht="16" x14ac:dyDescent="0.2">
      <c r="A4" s="81" t="s">
        <v>73</v>
      </c>
      <c r="B4" s="67">
        <f>0.95*282</f>
        <v>267.89999999999998</v>
      </c>
      <c r="Q4" s="41"/>
      <c r="R4" s="41"/>
      <c r="AH4" s="41"/>
      <c r="AI4" s="41"/>
    </row>
    <row r="5" spans="1:35" ht="16" x14ac:dyDescent="0.2">
      <c r="A5" s="41"/>
      <c r="Q5" s="41"/>
      <c r="R5" s="41"/>
      <c r="AH5" s="41"/>
      <c r="AI5" s="41"/>
    </row>
    <row r="6" spans="1:35" ht="16" x14ac:dyDescent="0.2">
      <c r="A6" s="8" t="s">
        <v>12</v>
      </c>
      <c r="B6" s="68">
        <v>0</v>
      </c>
      <c r="C6" s="40">
        <v>0</v>
      </c>
      <c r="D6" s="40">
        <v>0</v>
      </c>
      <c r="E6" s="40">
        <v>0</v>
      </c>
      <c r="F6" s="68">
        <v>0</v>
      </c>
      <c r="G6" s="40">
        <v>0</v>
      </c>
      <c r="H6" s="40">
        <v>0</v>
      </c>
      <c r="I6" s="40"/>
      <c r="J6" s="40"/>
      <c r="K6" s="40"/>
      <c r="L6" s="40"/>
      <c r="M6" s="40"/>
      <c r="N6" s="40"/>
      <c r="O6" s="68">
        <v>0</v>
      </c>
      <c r="Q6" s="41"/>
      <c r="R6" s="41"/>
      <c r="AH6" s="41"/>
      <c r="AI6" s="41"/>
    </row>
    <row r="7" spans="1:35" ht="16" x14ac:dyDescent="0.2">
      <c r="A7" s="8" t="s">
        <v>13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/>
      <c r="J7" s="40"/>
      <c r="K7" s="40"/>
      <c r="L7" s="40"/>
      <c r="M7" s="40"/>
      <c r="N7" s="40"/>
      <c r="O7" s="40">
        <v>0</v>
      </c>
      <c r="P7" s="40"/>
      <c r="Q7" s="41"/>
      <c r="R7" s="41"/>
      <c r="AH7" s="41"/>
      <c r="AI7" s="41"/>
    </row>
    <row r="8" spans="1:35" ht="16" x14ac:dyDescent="0.2">
      <c r="A8" s="8" t="s">
        <v>14</v>
      </c>
      <c r="B8" s="64">
        <v>686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>
        <v>0</v>
      </c>
      <c r="P8" s="40"/>
      <c r="Q8" s="41"/>
      <c r="R8" s="41"/>
      <c r="AH8" s="41"/>
      <c r="AI8" s="41"/>
    </row>
    <row r="9" spans="1:35" ht="16" x14ac:dyDescent="0.2">
      <c r="A9" s="8" t="s">
        <v>15</v>
      </c>
      <c r="B9" s="64">
        <f>B10-B8-B4</f>
        <v>54439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>
        <v>0</v>
      </c>
      <c r="P9" s="40"/>
      <c r="Q9" s="41"/>
      <c r="R9" s="41"/>
      <c r="S9" s="8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  <c r="AI9" s="41"/>
    </row>
    <row r="10" spans="1:35" ht="16" x14ac:dyDescent="0.2">
      <c r="A10" s="8" t="s">
        <v>16</v>
      </c>
      <c r="B10" s="68">
        <f>126088-70963+B4</f>
        <v>55392.9</v>
      </c>
      <c r="C10" s="40">
        <v>0</v>
      </c>
      <c r="D10" s="40">
        <v>0</v>
      </c>
      <c r="E10" s="40">
        <v>0</v>
      </c>
      <c r="F10" s="68">
        <f>SUM(F6:F9)</f>
        <v>0</v>
      </c>
      <c r="G10" s="40">
        <v>0</v>
      </c>
      <c r="H10" s="40">
        <v>0</v>
      </c>
      <c r="I10" s="40"/>
      <c r="J10" s="40"/>
      <c r="K10" s="40"/>
      <c r="L10" s="40"/>
      <c r="M10" s="40"/>
      <c r="N10" s="40"/>
      <c r="O10" s="68">
        <f>SUM(O6:O9)</f>
        <v>0</v>
      </c>
      <c r="P10" s="40"/>
      <c r="Q10" s="41"/>
      <c r="R10" s="41"/>
      <c r="S10" s="8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/>
      <c r="AI10" s="41"/>
    </row>
    <row r="11" spans="1:35" ht="16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/>
      <c r="J17" s="40"/>
      <c r="K17" s="40"/>
      <c r="L17" s="40"/>
      <c r="M17" s="40"/>
      <c r="N17" s="40"/>
      <c r="O17" s="40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8">
        <f>16965+3792</f>
        <v>20757</v>
      </c>
      <c r="C18" s="40">
        <v>786</v>
      </c>
      <c r="D18" s="40">
        <v>0</v>
      </c>
      <c r="E18" s="40">
        <v>0</v>
      </c>
      <c r="F18" s="40">
        <v>0</v>
      </c>
      <c r="G18" s="40">
        <v>17508</v>
      </c>
      <c r="H18" s="40">
        <v>0</v>
      </c>
      <c r="I18" s="40"/>
      <c r="J18" s="40"/>
      <c r="K18" s="40"/>
      <c r="L18" s="40"/>
      <c r="M18" s="40"/>
      <c r="N18" s="40"/>
      <c r="O18" s="40">
        <v>18294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/>
      <c r="J19" s="40"/>
      <c r="K19" s="40"/>
      <c r="L19" s="40"/>
      <c r="M19" s="40"/>
      <c r="N19" s="40"/>
      <c r="O19" s="40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/>
      <c r="L20" s="40"/>
      <c r="M20" s="40"/>
      <c r="N20" s="40"/>
      <c r="O20" s="40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/>
      <c r="J21" s="40"/>
      <c r="K21" s="40"/>
      <c r="L21" s="40"/>
      <c r="M21" s="40"/>
      <c r="N21" s="40"/>
      <c r="O21" s="40">
        <v>0</v>
      </c>
      <c r="P21" s="3"/>
      <c r="Q21" s="3"/>
      <c r="R21" s="3"/>
      <c r="S21" s="3" t="s">
        <v>26</v>
      </c>
      <c r="T21" s="12">
        <f>O42/1000</f>
        <v>1728.3668400000001</v>
      </c>
      <c r="U21" s="3"/>
    </row>
    <row r="22" spans="1:21" ht="16" x14ac:dyDescent="0.2">
      <c r="A22" s="8" t="s">
        <v>25</v>
      </c>
      <c r="B22" s="68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/>
      <c r="L22" s="40"/>
      <c r="M22" s="40"/>
      <c r="N22" s="40"/>
      <c r="O22" s="40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0">
        <v>20757</v>
      </c>
      <c r="C23" s="40">
        <v>786</v>
      </c>
      <c r="D23" s="40">
        <v>0</v>
      </c>
      <c r="E23" s="40">
        <v>0</v>
      </c>
      <c r="F23" s="40">
        <v>0</v>
      </c>
      <c r="G23" s="40">
        <v>17508</v>
      </c>
      <c r="H23" s="40">
        <v>0</v>
      </c>
      <c r="I23" s="40"/>
      <c r="J23" s="40"/>
      <c r="K23" s="40"/>
      <c r="L23" s="40"/>
      <c r="M23" s="40"/>
      <c r="N23" s="40"/>
      <c r="O23" s="40">
        <v>18294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2">
        <f>N42/1000</f>
        <v>202.17383999999998</v>
      </c>
      <c r="U24" s="14">
        <f>N43</f>
        <v>0.11697391741211605</v>
      </c>
    </row>
    <row r="25" spans="1:21" ht="16" x14ac:dyDescent="0.2">
      <c r="B25" s="6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71</v>
      </c>
      <c r="T25" s="12">
        <f>G42/1000</f>
        <v>137.03090040179487</v>
      </c>
      <c r="U25" s="14">
        <f>G43</f>
        <v>7.9283458366856227E-2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55" t="str">
        <f>J29</f>
        <v>Torv</v>
      </c>
      <c r="T26" s="12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2">
        <f>F42/1000</f>
        <v>14.33</v>
      </c>
      <c r="U27" s="14">
        <f>F43</f>
        <v>8.2910639502896261E-3</v>
      </c>
    </row>
    <row r="28" spans="1:21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1.3960995982051205</v>
      </c>
      <c r="U28" s="14">
        <f>E43</f>
        <v>8.0775652824091474E-4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10" t="str">
        <f>D29</f>
        <v>Kol och koks</v>
      </c>
      <c r="T29" s="2">
        <f>D42/1000</f>
        <v>0</v>
      </c>
      <c r="U29" s="54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10" t="str">
        <f>K29</f>
        <v>Avfall</v>
      </c>
      <c r="T30" s="2">
        <f>K42/1000</f>
        <v>0</v>
      </c>
      <c r="U30" s="54">
        <f>K43</f>
        <v>0</v>
      </c>
    </row>
    <row r="31" spans="1:21" ht="16" x14ac:dyDescent="0.2">
      <c r="A31" s="8" t="s">
        <v>33</v>
      </c>
      <c r="B31" s="40">
        <v>0</v>
      </c>
      <c r="C31" s="40">
        <v>8866</v>
      </c>
      <c r="D31" s="40">
        <v>0</v>
      </c>
      <c r="E31" s="40">
        <v>0</v>
      </c>
      <c r="F31" s="40">
        <v>909</v>
      </c>
      <c r="G31" s="40">
        <v>0</v>
      </c>
      <c r="H31" s="40">
        <v>0</v>
      </c>
      <c r="I31" s="40"/>
      <c r="J31" s="40"/>
      <c r="K31" s="40"/>
      <c r="L31" s="40"/>
      <c r="M31" s="41"/>
      <c r="N31" s="40">
        <v>5638</v>
      </c>
      <c r="O31" s="40">
        <v>15413</v>
      </c>
      <c r="P31" s="16">
        <f>O31/O$39</f>
        <v>9.0004233638447274E-3</v>
      </c>
      <c r="Q31" s="17" t="s">
        <v>34</v>
      </c>
      <c r="R31" s="3"/>
      <c r="S31" s="55" t="str">
        <f>I29</f>
        <v>Avlutar</v>
      </c>
      <c r="T31" s="12">
        <f>I42/1000</f>
        <v>1135</v>
      </c>
      <c r="U31" s="14">
        <f>I43</f>
        <v>0.65668929403899001</v>
      </c>
    </row>
    <row r="32" spans="1:21" ht="16" x14ac:dyDescent="0.2">
      <c r="A32" s="8" t="s">
        <v>36</v>
      </c>
      <c r="B32" s="40">
        <v>959</v>
      </c>
      <c r="C32" s="64">
        <v>69771</v>
      </c>
      <c r="D32" s="40">
        <v>0</v>
      </c>
      <c r="E32" s="78">
        <f>52426*908/(908+33189)</f>
        <v>1396.0995982051206</v>
      </c>
      <c r="F32" s="64">
        <v>0</v>
      </c>
      <c r="G32" s="64">
        <f>O32-N32-I32-E32-C32-B32</f>
        <v>88189.900401794876</v>
      </c>
      <c r="H32" s="40">
        <v>0</v>
      </c>
      <c r="I32" s="79">
        <v>1135000</v>
      </c>
      <c r="J32" s="40"/>
      <c r="K32" s="40"/>
      <c r="L32" s="40"/>
      <c r="M32" s="41"/>
      <c r="N32" s="64">
        <v>60829</v>
      </c>
      <c r="O32" s="68">
        <f>1291848-70963+135260</f>
        <v>1356145</v>
      </c>
      <c r="P32" s="16">
        <f>O32/O$39</f>
        <v>0.79192104994233492</v>
      </c>
      <c r="Q32" s="17" t="s">
        <v>37</v>
      </c>
      <c r="R32" s="3"/>
      <c r="S32" s="55" t="str">
        <f>H29</f>
        <v>Biogas</v>
      </c>
      <c r="T32" s="12">
        <f>H42/1000</f>
        <v>0</v>
      </c>
      <c r="U32" s="14">
        <f>H43</f>
        <v>0</v>
      </c>
    </row>
    <row r="33" spans="1:48" ht="16" x14ac:dyDescent="0.2">
      <c r="A33" s="8" t="s">
        <v>38</v>
      </c>
      <c r="B33" s="40">
        <v>3919</v>
      </c>
      <c r="C33" s="40">
        <v>2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/>
      <c r="J33" s="40"/>
      <c r="K33" s="40"/>
      <c r="L33" s="40"/>
      <c r="M33" s="41"/>
      <c r="N33" s="40">
        <v>15140</v>
      </c>
      <c r="O33" s="40">
        <v>19061</v>
      </c>
      <c r="P33" s="16">
        <f>O33/O$39</f>
        <v>1.1130673440488183E-2</v>
      </c>
      <c r="Q33" s="17" t="s">
        <v>39</v>
      </c>
      <c r="R33" s="3"/>
      <c r="S33" s="3" t="s">
        <v>35</v>
      </c>
      <c r="T33" s="12">
        <f>C42/1000</f>
        <v>238.43600000000001</v>
      </c>
      <c r="U33" s="14">
        <f>C43</f>
        <v>0.13795450970350714</v>
      </c>
    </row>
    <row r="34" spans="1:48" ht="16" x14ac:dyDescent="0.2">
      <c r="A34" s="8" t="s">
        <v>40</v>
      </c>
      <c r="B34" s="40">
        <v>0</v>
      </c>
      <c r="C34" s="40">
        <v>155897</v>
      </c>
      <c r="D34" s="40">
        <v>0</v>
      </c>
      <c r="E34" s="40">
        <v>0</v>
      </c>
      <c r="F34" s="40">
        <v>13421</v>
      </c>
      <c r="G34" s="40">
        <v>0</v>
      </c>
      <c r="H34" s="40">
        <v>0</v>
      </c>
      <c r="I34" s="40"/>
      <c r="J34" s="40"/>
      <c r="K34" s="40"/>
      <c r="L34" s="40"/>
      <c r="M34" s="41"/>
      <c r="N34" s="40">
        <v>21387</v>
      </c>
      <c r="O34" s="40">
        <v>190705</v>
      </c>
      <c r="P34" s="16">
        <f>O34/O$39</f>
        <v>0.11136220966729442</v>
      </c>
      <c r="Q34" s="17" t="s">
        <v>41</v>
      </c>
      <c r="R34" s="3"/>
      <c r="S34" s="3"/>
      <c r="T34" s="13">
        <f>SUM(T24:T33)</f>
        <v>1728.3668399999999</v>
      </c>
      <c r="U34" s="14">
        <f>SUM(U24:U33)</f>
        <v>1</v>
      </c>
    </row>
    <row r="35" spans="1:48" ht="16" x14ac:dyDescent="0.2">
      <c r="A35" s="8" t="s">
        <v>42</v>
      </c>
      <c r="B35" s="40">
        <v>1795</v>
      </c>
      <c r="C35" s="40">
        <v>2360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/>
      <c r="J35" s="40"/>
      <c r="K35" s="40"/>
      <c r="L35" s="40"/>
      <c r="M35" s="41"/>
      <c r="N35" s="40">
        <v>21951</v>
      </c>
      <c r="O35" s="40">
        <v>26106</v>
      </c>
      <c r="P35" s="16">
        <f>O35/O$39</f>
        <v>1.5244602110979723E-2</v>
      </c>
      <c r="Q35" s="17" t="s">
        <v>43</v>
      </c>
      <c r="R35" s="17"/>
    </row>
    <row r="36" spans="1:48" ht="16" x14ac:dyDescent="0.2">
      <c r="A36" s="8" t="s">
        <v>44</v>
      </c>
      <c r="B36" s="40">
        <v>164</v>
      </c>
      <c r="C36" s="40">
        <v>754</v>
      </c>
      <c r="D36" s="40">
        <v>0</v>
      </c>
      <c r="E36" s="40">
        <v>0</v>
      </c>
      <c r="F36" s="40">
        <v>0</v>
      </c>
      <c r="G36" s="40">
        <v>31333</v>
      </c>
      <c r="H36" s="40">
        <v>0</v>
      </c>
      <c r="I36" s="40"/>
      <c r="J36" s="40"/>
      <c r="K36" s="40"/>
      <c r="L36" s="40"/>
      <c r="M36" s="41"/>
      <c r="N36" s="40">
        <v>45742</v>
      </c>
      <c r="O36" s="40">
        <v>77993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45</v>
      </c>
      <c r="B37" s="40">
        <v>10541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/>
      <c r="J37" s="40"/>
      <c r="K37" s="40"/>
      <c r="L37" s="40"/>
      <c r="M37" s="41"/>
      <c r="N37" s="40">
        <v>6689</v>
      </c>
      <c r="O37" s="40">
        <v>17230</v>
      </c>
      <c r="P37" s="17"/>
      <c r="Q37" s="17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/>
      <c r="J38" s="40"/>
      <c r="K38" s="40"/>
      <c r="L38" s="40"/>
      <c r="M38" s="41"/>
      <c r="N38" s="40">
        <v>9822</v>
      </c>
      <c r="O38" s="40">
        <v>9822</v>
      </c>
      <c r="P38" s="17">
        <f>SUM(P31:P35)</f>
        <v>0.93865895852494208</v>
      </c>
      <c r="Q38" s="17"/>
      <c r="R38" s="3"/>
      <c r="S38" s="7" t="s">
        <v>47</v>
      </c>
      <c r="T38" s="19">
        <f>O45/1000</f>
        <v>18.354839999999999</v>
      </c>
      <c r="U38" s="7"/>
    </row>
    <row r="39" spans="1:48" ht="16" x14ac:dyDescent="0.2">
      <c r="A39" s="8" t="s">
        <v>16</v>
      </c>
      <c r="B39" s="40">
        <v>17378</v>
      </c>
      <c r="C39" s="64">
        <f>SUM(C31:C38)</f>
        <v>237650</v>
      </c>
      <c r="D39" s="40">
        <v>0</v>
      </c>
      <c r="E39" s="78">
        <f>SUM(E31:E38)</f>
        <v>1396.0995982051206</v>
      </c>
      <c r="F39" s="64">
        <f>SUM(F31:F38)</f>
        <v>14330</v>
      </c>
      <c r="G39" s="64">
        <f>SUM(G31:G38)</f>
        <v>119522.90040179488</v>
      </c>
      <c r="H39" s="40">
        <v>0</v>
      </c>
      <c r="I39" s="79">
        <f>SUM(I32:I38)</f>
        <v>1135000</v>
      </c>
      <c r="J39" s="40"/>
      <c r="K39" s="40"/>
      <c r="L39" s="40"/>
      <c r="M39" s="41"/>
      <c r="N39" s="64">
        <f>SUM(N31:N38)</f>
        <v>187198</v>
      </c>
      <c r="O39" s="68">
        <f>1648178-70963+135260</f>
        <v>1712475</v>
      </c>
      <c r="P39" s="3"/>
      <c r="Q39" s="3"/>
      <c r="R39" s="3"/>
      <c r="S39" s="7" t="s">
        <v>48</v>
      </c>
      <c r="T39" s="19">
        <f>O41/1000</f>
        <v>105.045</v>
      </c>
      <c r="U39" s="14">
        <f>P41</f>
        <v>6.1341041475058034E-2</v>
      </c>
    </row>
    <row r="40" spans="1:48" x14ac:dyDescent="0.2">
      <c r="S40" s="7" t="s">
        <v>49</v>
      </c>
      <c r="T40" s="19">
        <f>O35/1000</f>
        <v>26.106000000000002</v>
      </c>
      <c r="U40" s="14">
        <f>P35</f>
        <v>1.5244602110979723E-2</v>
      </c>
    </row>
    <row r="41" spans="1:48" ht="16" x14ac:dyDescent="0.2">
      <c r="A41" s="21" t="s">
        <v>50</v>
      </c>
      <c r="B41" s="22">
        <f>B38+B37+B36</f>
        <v>10705</v>
      </c>
      <c r="C41" s="22">
        <f t="shared" ref="C41:O41" si="0">C38+C37+C36</f>
        <v>754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31333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62253</v>
      </c>
      <c r="O41" s="22">
        <f t="shared" si="0"/>
        <v>105045</v>
      </c>
      <c r="P41" s="16">
        <f>O41/O$39</f>
        <v>6.1341041475058034E-2</v>
      </c>
      <c r="Q41" s="16" t="s">
        <v>51</v>
      </c>
      <c r="R41" s="7"/>
      <c r="S41" s="7" t="s">
        <v>52</v>
      </c>
      <c r="T41" s="19">
        <f>O33/1000</f>
        <v>19.061</v>
      </c>
      <c r="U41" s="14">
        <f>P33</f>
        <v>1.1130673440488183E-2</v>
      </c>
    </row>
    <row r="42" spans="1:48" ht="16" x14ac:dyDescent="0.2">
      <c r="A42" s="23" t="s">
        <v>53</v>
      </c>
      <c r="B42" s="22"/>
      <c r="C42" s="24">
        <f>C39+C23+C10</f>
        <v>238436</v>
      </c>
      <c r="D42" s="24">
        <f t="shared" ref="D42:M42" si="1">D39+D23+D10</f>
        <v>0</v>
      </c>
      <c r="E42" s="24">
        <f t="shared" si="1"/>
        <v>1396.0995982051206</v>
      </c>
      <c r="F42" s="24">
        <f t="shared" si="1"/>
        <v>14330</v>
      </c>
      <c r="G42" s="24">
        <f t="shared" si="1"/>
        <v>137030.90040179488</v>
      </c>
      <c r="H42" s="24">
        <f t="shared" si="1"/>
        <v>0</v>
      </c>
      <c r="I42" s="24">
        <f t="shared" si="1"/>
        <v>1135000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202173.84</v>
      </c>
      <c r="O42" s="25">
        <f>SUM(C42:N42)</f>
        <v>1728366.84</v>
      </c>
      <c r="P42" s="7"/>
      <c r="Q42" s="7"/>
      <c r="R42" s="7"/>
      <c r="S42" s="7" t="s">
        <v>34</v>
      </c>
      <c r="T42" s="19">
        <f>O31/1000</f>
        <v>15.413</v>
      </c>
      <c r="U42" s="14">
        <f>P31</f>
        <v>9.0004233638447274E-3</v>
      </c>
    </row>
    <row r="43" spans="1:48" ht="16" x14ac:dyDescent="0.2">
      <c r="A43" s="23" t="s">
        <v>54</v>
      </c>
      <c r="B43" s="22"/>
      <c r="C43" s="16">
        <f t="shared" ref="C43:N43" si="2">C42/$O42</f>
        <v>0.13795450970350714</v>
      </c>
      <c r="D43" s="16">
        <f t="shared" si="2"/>
        <v>0</v>
      </c>
      <c r="E43" s="16">
        <f t="shared" si="2"/>
        <v>8.0775652824091474E-4</v>
      </c>
      <c r="F43" s="16">
        <f t="shared" si="2"/>
        <v>8.2910639502896261E-3</v>
      </c>
      <c r="G43" s="16">
        <f t="shared" si="2"/>
        <v>7.9283458366856227E-2</v>
      </c>
      <c r="H43" s="16">
        <f t="shared" si="2"/>
        <v>0</v>
      </c>
      <c r="I43" s="16">
        <f t="shared" si="2"/>
        <v>0.65668929403899001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0.11697391741211605</v>
      </c>
      <c r="O43" s="16">
        <f>SUM(C43:N43)</f>
        <v>1</v>
      </c>
      <c r="P43" s="7"/>
      <c r="Q43" s="7"/>
      <c r="R43" s="7"/>
      <c r="S43" s="7" t="s">
        <v>55</v>
      </c>
      <c r="T43" s="19">
        <f>O32/1000</f>
        <v>1356.145</v>
      </c>
      <c r="U43" s="14">
        <f>P32</f>
        <v>0.79192104994233492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19">
        <f>O34/1000</f>
        <v>190.70500000000001</v>
      </c>
      <c r="U44" s="14">
        <f>P34</f>
        <v>0.11136220966729442</v>
      </c>
    </row>
    <row r="45" spans="1:48" ht="16" x14ac:dyDescent="0.2">
      <c r="A45" s="6" t="s">
        <v>57</v>
      </c>
      <c r="B45" s="6">
        <f>B23-B39</f>
        <v>3379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14975.84</v>
      </c>
      <c r="O45" s="25">
        <f>B45+N45</f>
        <v>18354.84</v>
      </c>
      <c r="P45" s="7"/>
      <c r="Q45" s="7"/>
      <c r="R45" s="7"/>
      <c r="S45" s="7" t="s">
        <v>58</v>
      </c>
      <c r="T45" s="19">
        <f>SUM(T39:T44)</f>
        <v>1712.4749999999999</v>
      </c>
      <c r="U45" s="14">
        <f>SUM(U39:U44)</f>
        <v>1</v>
      </c>
    </row>
    <row r="46" spans="1:48" ht="16" x14ac:dyDescent="0.2">
      <c r="A46" s="6"/>
      <c r="B46" s="4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3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3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37"/>
      <c r="E48" s="27"/>
      <c r="F48" s="37"/>
      <c r="G48" s="37"/>
      <c r="H48" s="37"/>
      <c r="I48" s="27"/>
      <c r="J48" s="27"/>
      <c r="K48" s="27"/>
      <c r="L48" s="27"/>
      <c r="M48" s="27"/>
      <c r="N48" s="27"/>
      <c r="O48" s="3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/>
      <c r="B50" s="40"/>
      <c r="C50" s="40"/>
      <c r="D50" s="40"/>
      <c r="E50" s="74"/>
      <c r="F50" s="40"/>
      <c r="G50" s="40"/>
      <c r="I50" s="40"/>
      <c r="J50" s="40"/>
      <c r="K50" s="40"/>
      <c r="L50" s="75"/>
      <c r="M50" s="40"/>
      <c r="N50" s="40"/>
      <c r="O50" s="40"/>
      <c r="P50" s="40"/>
      <c r="Q50" s="40"/>
      <c r="R50" s="40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4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27"/>
      <c r="N52" s="9"/>
      <c r="O52" s="9"/>
      <c r="P52" s="27"/>
      <c r="Q52" s="27"/>
      <c r="R52" s="4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27"/>
      <c r="N53" s="9"/>
      <c r="O53" s="9"/>
      <c r="P53" s="27"/>
      <c r="Q53" s="27"/>
      <c r="R53" s="4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27"/>
      <c r="N54" s="9"/>
      <c r="O54" s="9"/>
      <c r="P54" s="27"/>
      <c r="Q54" s="27"/>
      <c r="R54" s="4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27"/>
      <c r="N55" s="9"/>
      <c r="O55" s="9"/>
      <c r="P55" s="27"/>
      <c r="Q55" s="27"/>
      <c r="R55" s="4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/>
      <c r="B56" s="76"/>
      <c r="C56" s="6"/>
      <c r="D56" s="6"/>
      <c r="E56" s="9"/>
      <c r="F56" s="18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/>
      <c r="B57" s="76"/>
      <c r="C57" s="6"/>
      <c r="D57" s="31"/>
      <c r="E57" s="9"/>
      <c r="F57" s="18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0"/>
    </row>
    <row r="58" spans="1:48" ht="16" x14ac:dyDescent="0.2">
      <c r="A58" s="5"/>
      <c r="B58" s="76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7"/>
      <c r="T58" s="6"/>
      <c r="U58" s="30"/>
    </row>
    <row r="59" spans="1:48" ht="16" x14ac:dyDescent="0.2">
      <c r="A59" s="5"/>
      <c r="B59" s="76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7"/>
      <c r="T59" s="6"/>
      <c r="U59" s="30"/>
    </row>
    <row r="60" spans="1:48" ht="16" x14ac:dyDescent="0.2">
      <c r="A60" s="5"/>
      <c r="B60" s="76"/>
      <c r="C60" s="6"/>
      <c r="D60" s="10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7"/>
      <c r="T60" s="6"/>
      <c r="U60" s="30"/>
    </row>
    <row r="61" spans="1:48" ht="16" x14ac:dyDescent="0.2">
      <c r="C61" s="10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7"/>
      <c r="T61" s="31"/>
      <c r="U61" s="32"/>
    </row>
    <row r="62" spans="1:48" ht="16" x14ac:dyDescent="0.2">
      <c r="E62" s="7"/>
      <c r="F62" s="7"/>
      <c r="G62" s="7"/>
      <c r="H62" s="7"/>
      <c r="I62" s="6"/>
      <c r="J62" s="7"/>
      <c r="K62" s="7"/>
      <c r="L62" s="6"/>
      <c r="M62" s="29"/>
      <c r="N62" s="7"/>
      <c r="O62" s="6"/>
      <c r="P62" s="14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 enableFormatConditionsCalculation="0"/>
  <dimension ref="A1:AV70"/>
  <sheetViews>
    <sheetView topLeftCell="A9" workbookViewId="0">
      <selection activeCell="O42" sqref="O42"/>
    </sheetView>
  </sheetViews>
  <sheetFormatPr baseColWidth="10" defaultColWidth="8.6640625" defaultRowHeight="15" x14ac:dyDescent="0.2"/>
  <cols>
    <col min="1" max="1" width="22" style="2" customWidth="1"/>
    <col min="2" max="14" width="8.6640625" style="2" customWidth="1"/>
    <col min="15" max="15" width="11.33203125" style="2" customWidth="1"/>
    <col min="16" max="21" width="8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66</v>
      </c>
      <c r="Q2" s="41"/>
      <c r="R2" s="8"/>
      <c r="AH2" s="41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1"/>
      <c r="R3" s="41"/>
      <c r="AH3" s="41"/>
      <c r="AI3" s="41"/>
    </row>
    <row r="4" spans="1:35" ht="16" x14ac:dyDescent="0.2">
      <c r="A4" s="81" t="s">
        <v>73</v>
      </c>
      <c r="B4" s="67">
        <f>0.95*(215/2)</f>
        <v>102.125</v>
      </c>
      <c r="Q4" s="41"/>
      <c r="R4" s="41"/>
      <c r="AH4" s="41"/>
      <c r="AI4" s="41"/>
    </row>
    <row r="5" spans="1:35" ht="16" x14ac:dyDescent="0.2">
      <c r="A5" s="41"/>
      <c r="Q5" s="41"/>
      <c r="R5" s="41"/>
      <c r="AH5" s="41"/>
      <c r="AI5" s="41"/>
    </row>
    <row r="6" spans="1:35" ht="16" x14ac:dyDescent="0.2">
      <c r="A6" s="8" t="s">
        <v>12</v>
      </c>
      <c r="B6" s="67">
        <v>25445</v>
      </c>
      <c r="C6" s="68">
        <v>0</v>
      </c>
      <c r="D6" s="68">
        <v>0</v>
      </c>
      <c r="E6" s="40">
        <v>0</v>
      </c>
      <c r="F6" s="40">
        <v>0</v>
      </c>
      <c r="G6" s="68">
        <v>0</v>
      </c>
      <c r="H6" s="40">
        <v>0</v>
      </c>
      <c r="I6" s="40"/>
      <c r="J6" s="40"/>
      <c r="K6" s="40"/>
      <c r="L6" s="40"/>
      <c r="M6" s="40"/>
      <c r="N6" s="40"/>
      <c r="O6" s="68">
        <v>0</v>
      </c>
      <c r="Q6" s="41"/>
      <c r="R6" s="41"/>
      <c r="AH6" s="41"/>
      <c r="AI6" s="41"/>
    </row>
    <row r="7" spans="1:35" ht="16" x14ac:dyDescent="0.2">
      <c r="A7" s="8" t="s">
        <v>13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/>
      <c r="J7" s="40"/>
      <c r="K7" s="40"/>
      <c r="L7" s="40"/>
      <c r="M7" s="40"/>
      <c r="N7" s="40"/>
      <c r="O7" s="40">
        <v>0</v>
      </c>
      <c r="P7" s="40"/>
      <c r="Q7" s="41"/>
      <c r="R7" s="41"/>
      <c r="AH7" s="41"/>
      <c r="AI7" s="41"/>
    </row>
    <row r="8" spans="1:35" ht="16" x14ac:dyDescent="0.2">
      <c r="A8" s="8" t="s">
        <v>14</v>
      </c>
      <c r="B8" s="40">
        <v>170761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>
        <v>0</v>
      </c>
      <c r="P8" s="40"/>
      <c r="Q8" s="41"/>
      <c r="R8" s="41"/>
      <c r="AH8" s="41"/>
      <c r="AI8" s="41"/>
    </row>
    <row r="9" spans="1:35" ht="16" x14ac:dyDescent="0.2">
      <c r="A9" s="8" t="s">
        <v>15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>
        <v>0</v>
      </c>
      <c r="P9" s="40"/>
      <c r="Q9" s="41"/>
      <c r="R9" s="41"/>
      <c r="S9" s="8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  <c r="AI9" s="41"/>
    </row>
    <row r="10" spans="1:35" ht="16" x14ac:dyDescent="0.2">
      <c r="A10" s="8" t="s">
        <v>16</v>
      </c>
      <c r="B10" s="68">
        <f>SUM(B4:B9)</f>
        <v>196308.125</v>
      </c>
      <c r="C10" s="68">
        <v>0</v>
      </c>
      <c r="D10" s="68">
        <v>0</v>
      </c>
      <c r="E10" s="40">
        <v>0</v>
      </c>
      <c r="F10" s="40">
        <v>0</v>
      </c>
      <c r="G10" s="68">
        <v>0</v>
      </c>
      <c r="H10" s="40">
        <v>0</v>
      </c>
      <c r="I10" s="40"/>
      <c r="J10" s="40"/>
      <c r="K10" s="40"/>
      <c r="L10" s="40"/>
      <c r="M10" s="40"/>
      <c r="N10" s="40"/>
      <c r="O10" s="68">
        <v>0</v>
      </c>
      <c r="P10" s="40"/>
      <c r="Q10" s="41"/>
      <c r="R10" s="41"/>
      <c r="S10" s="8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/>
      <c r="AI10" s="41"/>
    </row>
    <row r="11" spans="1:35" ht="16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44"/>
      <c r="P11" s="3"/>
      <c r="Q11" s="3"/>
      <c r="R11" s="3"/>
      <c r="S11" s="3"/>
      <c r="T11" s="3"/>
      <c r="U11" s="3"/>
    </row>
    <row r="12" spans="1:35" ht="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4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47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67">
        <v>324038</v>
      </c>
      <c r="C17" s="67">
        <f>1153+28479</f>
        <v>29632</v>
      </c>
      <c r="D17" s="67">
        <v>0</v>
      </c>
      <c r="E17" s="40">
        <v>0</v>
      </c>
      <c r="F17" s="40">
        <v>0</v>
      </c>
      <c r="G17" s="67">
        <v>9399</v>
      </c>
      <c r="H17" s="40">
        <v>0</v>
      </c>
      <c r="I17" s="40"/>
      <c r="J17" s="67">
        <v>42887</v>
      </c>
      <c r="K17" s="67">
        <f>105332+179994</f>
        <v>285326</v>
      </c>
      <c r="L17" s="40"/>
      <c r="M17" s="40"/>
      <c r="N17" s="67">
        <v>18592</v>
      </c>
      <c r="O17" s="67">
        <f>SUM(C17:N17)</f>
        <v>385836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/>
      <c r="J18" s="40"/>
      <c r="K18" s="40"/>
      <c r="L18" s="40"/>
      <c r="M18" s="40"/>
      <c r="N18" s="40"/>
      <c r="O18" s="40">
        <v>0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/>
      <c r="J19" s="40"/>
      <c r="K19" s="40"/>
      <c r="L19" s="40"/>
      <c r="M19" s="40"/>
      <c r="N19" s="40"/>
      <c r="O19" s="40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/>
      <c r="L20" s="40"/>
      <c r="M20" s="40"/>
      <c r="N20" s="40"/>
      <c r="O20" s="40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/>
      <c r="J21" s="40"/>
      <c r="K21" s="40"/>
      <c r="L21" s="40"/>
      <c r="M21" s="40"/>
      <c r="N21" s="40"/>
      <c r="O21" s="40">
        <v>0</v>
      </c>
      <c r="P21" s="3"/>
      <c r="Q21" s="3"/>
      <c r="R21" s="3"/>
      <c r="S21" s="3" t="s">
        <v>26</v>
      </c>
      <c r="T21" s="12">
        <f>O42/1000</f>
        <v>1204.1371600000002</v>
      </c>
      <c r="U21" s="3"/>
    </row>
    <row r="22" spans="1:21" ht="16" x14ac:dyDescent="0.2">
      <c r="A22" s="8" t="s">
        <v>25</v>
      </c>
      <c r="B22" s="68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/>
      <c r="L22" s="40"/>
      <c r="M22" s="40"/>
      <c r="N22" s="40"/>
      <c r="O22" s="40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7">
        <f>SUM(B17:B22)</f>
        <v>324038</v>
      </c>
      <c r="C23" s="67">
        <f>SUM(C17:C22)</f>
        <v>29632</v>
      </c>
      <c r="D23" s="67">
        <f>SUM(D17:D22)</f>
        <v>0</v>
      </c>
      <c r="E23" s="40">
        <v>0</v>
      </c>
      <c r="F23" s="40">
        <v>0</v>
      </c>
      <c r="G23" s="67">
        <f>SUM(G17:G22)</f>
        <v>9399</v>
      </c>
      <c r="H23" s="40">
        <v>0</v>
      </c>
      <c r="I23" s="40"/>
      <c r="J23" s="67">
        <f>SUM(J17:J22)</f>
        <v>42887</v>
      </c>
      <c r="K23" s="67">
        <f>SUM(K17:K22)</f>
        <v>285326</v>
      </c>
      <c r="L23" s="40"/>
      <c r="M23" s="40"/>
      <c r="N23" s="67">
        <f>SUM(N17:N22)</f>
        <v>18592</v>
      </c>
      <c r="O23" s="67">
        <f>SUM(O17:O22)</f>
        <v>385836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2">
        <f>N42/1000</f>
        <v>477.77216000000004</v>
      </c>
      <c r="U24" s="14">
        <f>N43</f>
        <v>0.39677553012316302</v>
      </c>
    </row>
    <row r="25" spans="1:21" ht="16" x14ac:dyDescent="0.2">
      <c r="B25" s="6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71</v>
      </c>
      <c r="T25" s="12">
        <f>G42/1000</f>
        <v>39.32</v>
      </c>
      <c r="U25" s="14">
        <f>G43</f>
        <v>3.265408734666074E-2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55" t="str">
        <f>J29</f>
        <v>Torv</v>
      </c>
      <c r="T26" s="12">
        <f>J42/1000</f>
        <v>42.887</v>
      </c>
      <c r="U26" s="14">
        <f>J43</f>
        <v>3.5616374466842293E-2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2">
        <f>F42/1000</f>
        <v>21.513999999999999</v>
      </c>
      <c r="U27" s="14">
        <f>F43</f>
        <v>1.7866735380876377E-2</v>
      </c>
    </row>
    <row r="28" spans="1:21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1.032</v>
      </c>
      <c r="U28" s="14">
        <f>E43</f>
        <v>8.5704522232334383E-4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10" t="str">
        <f>D29</f>
        <v>Kol och koks</v>
      </c>
      <c r="T29" s="2">
        <f>D42/1000</f>
        <v>0</v>
      </c>
      <c r="U29" s="54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10" t="str">
        <f>K29</f>
        <v>Avfall</v>
      </c>
      <c r="T30" s="2">
        <f>K42/1000</f>
        <v>285.32600000000002</v>
      </c>
      <c r="U30" s="54">
        <f>K43</f>
        <v>0.23695473362851785</v>
      </c>
    </row>
    <row r="31" spans="1:21" ht="16" x14ac:dyDescent="0.2">
      <c r="A31" s="8" t="s">
        <v>33</v>
      </c>
      <c r="B31" s="40">
        <v>0</v>
      </c>
      <c r="C31" s="40">
        <v>1825</v>
      </c>
      <c r="D31" s="40">
        <v>0</v>
      </c>
      <c r="E31" s="40">
        <v>0</v>
      </c>
      <c r="F31" s="40">
        <v>175</v>
      </c>
      <c r="G31" s="40">
        <v>0</v>
      </c>
      <c r="H31" s="40">
        <v>0</v>
      </c>
      <c r="I31" s="40"/>
      <c r="J31" s="40"/>
      <c r="K31" s="40"/>
      <c r="L31" s="40"/>
      <c r="M31" s="41"/>
      <c r="N31" s="40">
        <v>5204</v>
      </c>
      <c r="O31" s="40">
        <v>7204</v>
      </c>
      <c r="P31" s="16">
        <f>O31/O$39</f>
        <v>6.4339524062571171E-3</v>
      </c>
      <c r="Q31" s="17" t="s">
        <v>34</v>
      </c>
      <c r="R31" s="3"/>
      <c r="S31" s="55" t="str">
        <f>I29</f>
        <v>Avlutar</v>
      </c>
      <c r="T31" s="12">
        <f>I42/1000</f>
        <v>0</v>
      </c>
      <c r="U31" s="14">
        <f>I43</f>
        <v>0</v>
      </c>
    </row>
    <row r="32" spans="1:21" ht="16" x14ac:dyDescent="0.2">
      <c r="A32" s="8" t="s">
        <v>36</v>
      </c>
      <c r="B32" s="40">
        <v>148156</v>
      </c>
      <c r="C32" s="40">
        <v>8534</v>
      </c>
      <c r="D32" s="40">
        <v>0</v>
      </c>
      <c r="E32" s="40">
        <v>1032</v>
      </c>
      <c r="F32" s="40">
        <v>0</v>
      </c>
      <c r="G32" s="40">
        <v>234</v>
      </c>
      <c r="H32" s="40">
        <v>0</v>
      </c>
      <c r="I32" s="40"/>
      <c r="J32" s="40"/>
      <c r="K32" s="40"/>
      <c r="L32" s="40"/>
      <c r="M32" s="41"/>
      <c r="N32" s="40">
        <v>156426</v>
      </c>
      <c r="O32" s="40">
        <v>314383</v>
      </c>
      <c r="P32" s="16">
        <f>O32/O$39</f>
        <v>0.28077807597672561</v>
      </c>
      <c r="Q32" s="17" t="s">
        <v>37</v>
      </c>
      <c r="R32" s="3"/>
      <c r="S32" s="55" t="str">
        <f>H29</f>
        <v>Biogas</v>
      </c>
      <c r="T32" s="12">
        <f>H42/1000</f>
        <v>0</v>
      </c>
      <c r="U32" s="14">
        <f>H43</f>
        <v>0</v>
      </c>
    </row>
    <row r="33" spans="1:48" ht="16" x14ac:dyDescent="0.2">
      <c r="A33" s="8" t="s">
        <v>38</v>
      </c>
      <c r="B33" s="40">
        <v>29170</v>
      </c>
      <c r="C33" s="40">
        <v>259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/>
      <c r="J33" s="40"/>
      <c r="K33" s="40"/>
      <c r="L33" s="40"/>
      <c r="M33" s="41"/>
      <c r="N33" s="40">
        <v>36768</v>
      </c>
      <c r="O33" s="40">
        <v>66197</v>
      </c>
      <c r="P33" s="16">
        <f>O33/O$39</f>
        <v>5.9121092092865403E-2</v>
      </c>
      <c r="Q33" s="17" t="s">
        <v>39</v>
      </c>
      <c r="R33" s="3"/>
      <c r="S33" s="3" t="s">
        <v>35</v>
      </c>
      <c r="T33" s="12">
        <f>C42/1000</f>
        <v>336.286</v>
      </c>
      <c r="U33" s="14">
        <f>C43</f>
        <v>0.27927549383161632</v>
      </c>
    </row>
    <row r="34" spans="1:48" ht="16" x14ac:dyDescent="0.2">
      <c r="A34" s="8" t="s">
        <v>40</v>
      </c>
      <c r="B34" s="40">
        <v>0</v>
      </c>
      <c r="C34" s="40">
        <v>264825</v>
      </c>
      <c r="D34" s="40">
        <v>0</v>
      </c>
      <c r="E34" s="40">
        <v>0</v>
      </c>
      <c r="F34" s="40">
        <v>21339</v>
      </c>
      <c r="G34" s="40">
        <v>0</v>
      </c>
      <c r="H34" s="40">
        <v>0</v>
      </c>
      <c r="I34" s="40"/>
      <c r="J34" s="40"/>
      <c r="K34" s="40"/>
      <c r="L34" s="40"/>
      <c r="M34" s="41"/>
      <c r="N34" s="40">
        <v>792</v>
      </c>
      <c r="O34" s="40">
        <v>286955</v>
      </c>
      <c r="P34" s="16">
        <f>O34/O$39</f>
        <v>0.25628190071314699</v>
      </c>
      <c r="Q34" s="17" t="s">
        <v>41</v>
      </c>
      <c r="R34" s="3"/>
      <c r="S34" s="3"/>
      <c r="T34" s="13">
        <f>SUM(T24:T33)</f>
        <v>1204.1371600000002</v>
      </c>
      <c r="U34" s="14">
        <f>SUM(U24:U33)</f>
        <v>0.99999999999999989</v>
      </c>
    </row>
    <row r="35" spans="1:48" ht="16" x14ac:dyDescent="0.2">
      <c r="A35" s="8" t="s">
        <v>42</v>
      </c>
      <c r="B35" s="40">
        <v>27641</v>
      </c>
      <c r="C35" s="40">
        <v>30074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/>
      <c r="J35" s="40"/>
      <c r="K35" s="40"/>
      <c r="L35" s="40"/>
      <c r="M35" s="41"/>
      <c r="N35" s="40">
        <v>130163</v>
      </c>
      <c r="O35" s="40">
        <v>187878</v>
      </c>
      <c r="P35" s="16">
        <f>O35/O$39</f>
        <v>0.16779540674386101</v>
      </c>
      <c r="Q35" s="17" t="s">
        <v>43</v>
      </c>
      <c r="R35" s="17"/>
    </row>
    <row r="36" spans="1:48" ht="16" x14ac:dyDescent="0.2">
      <c r="A36" s="8" t="s">
        <v>44</v>
      </c>
      <c r="B36" s="40">
        <v>19002</v>
      </c>
      <c r="C36" s="40">
        <v>1084</v>
      </c>
      <c r="D36" s="40">
        <v>0</v>
      </c>
      <c r="E36" s="40">
        <v>0</v>
      </c>
      <c r="F36" s="40">
        <v>0</v>
      </c>
      <c r="G36" s="40">
        <v>29687</v>
      </c>
      <c r="H36" s="40">
        <v>0</v>
      </c>
      <c r="I36" s="40"/>
      <c r="J36" s="40"/>
      <c r="K36" s="40"/>
      <c r="L36" s="40"/>
      <c r="M36" s="41"/>
      <c r="N36" s="40">
        <v>97932</v>
      </c>
      <c r="O36" s="40">
        <v>147704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45</v>
      </c>
      <c r="B37" s="40">
        <v>87867</v>
      </c>
      <c r="C37" s="40">
        <v>54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/>
      <c r="J37" s="40"/>
      <c r="K37" s="40"/>
      <c r="L37" s="40"/>
      <c r="M37" s="41"/>
      <c r="N37" s="40">
        <v>18501</v>
      </c>
      <c r="O37" s="40">
        <v>106422</v>
      </c>
      <c r="P37" s="17"/>
      <c r="Q37" s="17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/>
      <c r="J38" s="40"/>
      <c r="K38" s="40"/>
      <c r="L38" s="40"/>
      <c r="M38" s="41"/>
      <c r="N38" s="40">
        <v>2941</v>
      </c>
      <c r="O38" s="40">
        <v>2941</v>
      </c>
      <c r="P38" s="17">
        <f>SUM(P31:P35)</f>
        <v>0.77041042793285608</v>
      </c>
      <c r="Q38" s="17"/>
      <c r="R38" s="3"/>
      <c r="S38" s="7" t="s">
        <v>47</v>
      </c>
      <c r="T38" s="19">
        <f>O45/1000</f>
        <v>48.100160000000002</v>
      </c>
      <c r="U38" s="7"/>
    </row>
    <row r="39" spans="1:48" ht="16" x14ac:dyDescent="0.2">
      <c r="A39" s="8" t="s">
        <v>16</v>
      </c>
      <c r="B39" s="40">
        <v>311836</v>
      </c>
      <c r="C39" s="40">
        <v>306654</v>
      </c>
      <c r="D39" s="40">
        <v>0</v>
      </c>
      <c r="E39" s="40">
        <v>1032</v>
      </c>
      <c r="F39" s="40">
        <v>21514</v>
      </c>
      <c r="G39" s="40">
        <v>29921</v>
      </c>
      <c r="H39" s="40">
        <v>0</v>
      </c>
      <c r="I39" s="40"/>
      <c r="J39" s="40"/>
      <c r="K39" s="40"/>
      <c r="L39" s="40"/>
      <c r="M39" s="41"/>
      <c r="N39" s="40">
        <v>448727</v>
      </c>
      <c r="O39" s="40">
        <v>1119685</v>
      </c>
      <c r="P39" s="3"/>
      <c r="Q39" s="3"/>
      <c r="R39" s="3"/>
      <c r="S39" s="7" t="s">
        <v>48</v>
      </c>
      <c r="T39" s="19">
        <f>O41/1000</f>
        <v>257.06700000000001</v>
      </c>
      <c r="U39" s="14">
        <f>P41</f>
        <v>0.2295886789588143</v>
      </c>
    </row>
    <row r="40" spans="1:48" x14ac:dyDescent="0.2">
      <c r="S40" s="7" t="s">
        <v>49</v>
      </c>
      <c r="T40" s="19">
        <f>O35/1000</f>
        <v>187.87799999999999</v>
      </c>
      <c r="U40" s="14">
        <f>P35</f>
        <v>0.16779540674386101</v>
      </c>
    </row>
    <row r="41" spans="1:48" ht="16" x14ac:dyDescent="0.2">
      <c r="A41" s="21" t="s">
        <v>50</v>
      </c>
      <c r="B41" s="22">
        <f>B38+B37+B36</f>
        <v>106869</v>
      </c>
      <c r="C41" s="22">
        <f t="shared" ref="C41:O41" si="0">C38+C37+C36</f>
        <v>1138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29687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119374</v>
      </c>
      <c r="O41" s="22">
        <f t="shared" si="0"/>
        <v>257067</v>
      </c>
      <c r="P41" s="16">
        <f>O41/O$39</f>
        <v>0.2295886789588143</v>
      </c>
      <c r="Q41" s="16" t="s">
        <v>51</v>
      </c>
      <c r="R41" s="7"/>
      <c r="S41" s="7" t="s">
        <v>52</v>
      </c>
      <c r="T41" s="19">
        <f>O33/1000</f>
        <v>66.197000000000003</v>
      </c>
      <c r="U41" s="14">
        <f>P33</f>
        <v>5.9121092092865403E-2</v>
      </c>
    </row>
    <row r="42" spans="1:48" ht="16" x14ac:dyDescent="0.2">
      <c r="A42" s="23" t="s">
        <v>53</v>
      </c>
      <c r="B42" s="22"/>
      <c r="C42" s="24">
        <f>C39+C23+C10</f>
        <v>336286</v>
      </c>
      <c r="D42" s="24">
        <f>D39+D23+J10</f>
        <v>0</v>
      </c>
      <c r="E42" s="24">
        <f t="shared" ref="E42:M42" si="1">E39+E23+E10</f>
        <v>1032</v>
      </c>
      <c r="F42" s="24">
        <f t="shared" si="1"/>
        <v>21514</v>
      </c>
      <c r="G42" s="24">
        <f t="shared" si="1"/>
        <v>39320</v>
      </c>
      <c r="H42" s="24">
        <f t="shared" si="1"/>
        <v>0</v>
      </c>
      <c r="I42" s="24">
        <f t="shared" si="1"/>
        <v>0</v>
      </c>
      <c r="J42" s="24">
        <f>J39+J23</f>
        <v>42887</v>
      </c>
      <c r="K42" s="24">
        <f t="shared" si="1"/>
        <v>285326</v>
      </c>
      <c r="L42" s="24">
        <f t="shared" si="1"/>
        <v>0</v>
      </c>
      <c r="M42" s="24">
        <f t="shared" si="1"/>
        <v>0</v>
      </c>
      <c r="N42" s="24">
        <f>N39+N23-B6+N45</f>
        <v>477772.16000000003</v>
      </c>
      <c r="O42" s="25">
        <f>SUM(C42:N42)</f>
        <v>1204137.1600000001</v>
      </c>
      <c r="P42" s="7"/>
      <c r="Q42" s="7"/>
      <c r="R42" s="7"/>
      <c r="S42" s="7" t="s">
        <v>34</v>
      </c>
      <c r="T42" s="19">
        <f>O31/1000</f>
        <v>7.2039999999999997</v>
      </c>
      <c r="U42" s="14">
        <f>P31</f>
        <v>6.4339524062571171E-3</v>
      </c>
    </row>
    <row r="43" spans="1:48" ht="16" x14ac:dyDescent="0.2">
      <c r="A43" s="23" t="s">
        <v>54</v>
      </c>
      <c r="B43" s="22"/>
      <c r="C43" s="16">
        <f t="shared" ref="C43:N43" si="2">C42/$O42</f>
        <v>0.27927549383161632</v>
      </c>
      <c r="D43" s="16">
        <f t="shared" si="2"/>
        <v>0</v>
      </c>
      <c r="E43" s="16">
        <f t="shared" si="2"/>
        <v>8.5704522232334383E-4</v>
      </c>
      <c r="F43" s="16">
        <f t="shared" si="2"/>
        <v>1.7866735380876377E-2</v>
      </c>
      <c r="G43" s="16">
        <f t="shared" si="2"/>
        <v>3.265408734666074E-2</v>
      </c>
      <c r="H43" s="16">
        <f t="shared" si="2"/>
        <v>0</v>
      </c>
      <c r="I43" s="16">
        <f t="shared" si="2"/>
        <v>0</v>
      </c>
      <c r="J43" s="16">
        <f t="shared" si="2"/>
        <v>3.5616374466842293E-2</v>
      </c>
      <c r="K43" s="16">
        <f t="shared" si="2"/>
        <v>0.23695473362851785</v>
      </c>
      <c r="L43" s="16">
        <f t="shared" si="2"/>
        <v>0</v>
      </c>
      <c r="M43" s="16">
        <f t="shared" si="2"/>
        <v>0</v>
      </c>
      <c r="N43" s="16">
        <f t="shared" si="2"/>
        <v>0.39677553012316302</v>
      </c>
      <c r="O43" s="16">
        <f>SUM(C43:N43)</f>
        <v>0.99999999999999989</v>
      </c>
      <c r="P43" s="7"/>
      <c r="Q43" s="7"/>
      <c r="R43" s="7"/>
      <c r="S43" s="7" t="s">
        <v>55</v>
      </c>
      <c r="T43" s="19">
        <f>O32/1000</f>
        <v>314.38299999999998</v>
      </c>
      <c r="U43" s="14">
        <f>P32</f>
        <v>0.28077807597672561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19">
        <f>O34/1000</f>
        <v>286.95499999999998</v>
      </c>
      <c r="U44" s="14">
        <f>P34</f>
        <v>0.25628190071314699</v>
      </c>
    </row>
    <row r="45" spans="1:48" ht="16" x14ac:dyDescent="0.2">
      <c r="A45" s="6" t="s">
        <v>57</v>
      </c>
      <c r="B45" s="6">
        <f>B23-B39</f>
        <v>12202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35898.160000000003</v>
      </c>
      <c r="O45" s="25">
        <f>B45+N45</f>
        <v>48100.160000000003</v>
      </c>
      <c r="P45" s="7"/>
      <c r="Q45" s="7"/>
      <c r="R45" s="7"/>
      <c r="S45" s="7" t="s">
        <v>58</v>
      </c>
      <c r="T45" s="19">
        <f>SUM(T39:T44)</f>
        <v>1119.684</v>
      </c>
      <c r="U45" s="14">
        <f>SUM(U39:U44)</f>
        <v>0.99999910689167049</v>
      </c>
    </row>
    <row r="46" spans="1:48" ht="16" x14ac:dyDescent="0.2">
      <c r="A46" s="6"/>
      <c r="B46" s="48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A47" s="4"/>
      <c r="C47"/>
      <c r="D47"/>
      <c r="E47"/>
      <c r="F4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ht="16" x14ac:dyDescent="0.2">
      <c r="A48" s="27"/>
      <c r="B48" s="4"/>
      <c r="C48"/>
      <c r="D48"/>
      <c r="E48"/>
      <c r="F48"/>
      <c r="G48" s="27"/>
      <c r="H48" s="3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ht="16" x14ac:dyDescent="0.2">
      <c r="A49" s="27"/>
      <c r="B49" s="4"/>
      <c r="C49"/>
      <c r="D49"/>
      <c r="E49"/>
      <c r="F49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27"/>
      <c r="B50" s="4"/>
      <c r="C50"/>
      <c r="D50"/>
      <c r="E50"/>
      <c r="F50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27"/>
      <c r="B51" s="4"/>
      <c r="C51"/>
      <c r="D51"/>
      <c r="E51"/>
      <c r="F51"/>
      <c r="G51" s="27"/>
      <c r="H51" s="27"/>
      <c r="I51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27"/>
      <c r="B52" s="4"/>
      <c r="C52"/>
      <c r="D52"/>
      <c r="E52"/>
      <c r="F52"/>
      <c r="G52" s="27"/>
      <c r="H52" s="37"/>
      <c r="I52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ht="16" x14ac:dyDescent="0.2">
      <c r="A53" s="27"/>
      <c r="B53" s="4"/>
      <c r="C53" s="27"/>
      <c r="D53" s="27"/>
      <c r="E53" s="27"/>
      <c r="F53" s="27"/>
      <c r="G53" s="27"/>
      <c r="H53" s="27"/>
      <c r="I53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ht="16" x14ac:dyDescent="0.2">
      <c r="A54" s="27"/>
      <c r="B54" s="4"/>
      <c r="C54" s="27"/>
      <c r="D54" s="27"/>
      <c r="E54" s="27"/>
      <c r="F54" s="27"/>
      <c r="G54" s="27"/>
      <c r="H54" s="27"/>
      <c r="I54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ht="16" x14ac:dyDescent="0.2">
      <c r="A55" s="27"/>
      <c r="B55" s="4"/>
      <c r="C55" s="27"/>
      <c r="D55" s="37"/>
      <c r="E55" s="27"/>
      <c r="F55" s="27"/>
      <c r="G55" s="27"/>
      <c r="H55" s="37"/>
      <c r="I55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ht="16" x14ac:dyDescent="0.2">
      <c r="A56" s="27"/>
      <c r="B56" s="4"/>
      <c r="C56" s="27"/>
      <c r="D56" s="37"/>
      <c r="E56" s="27"/>
      <c r="F56" s="27"/>
      <c r="G56" s="27"/>
      <c r="H56" s="37"/>
      <c r="I56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ht="16" x14ac:dyDescent="0.2">
      <c r="A62" s="7"/>
      <c r="B62" s="7"/>
      <c r="C62" s="7"/>
      <c r="D62" s="7"/>
      <c r="E62" s="7"/>
      <c r="F62" s="7"/>
      <c r="G62" s="7"/>
      <c r="H62" s="7"/>
      <c r="I62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/>
  <dimension ref="A1:AV70"/>
  <sheetViews>
    <sheetView workbookViewId="0">
      <selection activeCell="U35" sqref="U35"/>
    </sheetView>
  </sheetViews>
  <sheetFormatPr baseColWidth="10" defaultColWidth="8.6640625" defaultRowHeight="15" x14ac:dyDescent="0.2"/>
  <cols>
    <col min="1" max="1" width="22" style="2" customWidth="1"/>
    <col min="2" max="21" width="8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67</v>
      </c>
      <c r="Q2" s="41"/>
      <c r="R2" s="8"/>
      <c r="AH2" s="41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1"/>
      <c r="R3" s="41"/>
      <c r="AH3" s="41"/>
      <c r="AI3" s="41"/>
    </row>
    <row r="4" spans="1:35" ht="16" x14ac:dyDescent="0.2">
      <c r="A4" s="81" t="s">
        <v>73</v>
      </c>
      <c r="B4" s="67">
        <f>0.95*117</f>
        <v>111.14999999999999</v>
      </c>
      <c r="Q4" s="41"/>
      <c r="R4" s="41"/>
      <c r="AH4" s="41"/>
      <c r="AI4" s="41"/>
    </row>
    <row r="5" spans="1:35" ht="16" x14ac:dyDescent="0.2">
      <c r="A5" s="41"/>
      <c r="Q5" s="41"/>
      <c r="R5" s="41"/>
      <c r="AH5" s="41"/>
      <c r="AI5" s="41"/>
    </row>
    <row r="6" spans="1:35" ht="16" x14ac:dyDescent="0.2">
      <c r="A6" s="8" t="s">
        <v>12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/>
      <c r="J6" s="40"/>
      <c r="K6" s="40"/>
      <c r="L6" s="40"/>
      <c r="M6" s="40"/>
      <c r="N6" s="40"/>
      <c r="O6" s="40">
        <v>0</v>
      </c>
      <c r="Q6" s="41"/>
      <c r="R6" s="41"/>
      <c r="AH6" s="41"/>
      <c r="AI6" s="41"/>
    </row>
    <row r="7" spans="1:35" ht="16" x14ac:dyDescent="0.2">
      <c r="A7" s="8" t="s">
        <v>13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/>
      <c r="J7" s="40"/>
      <c r="K7" s="40"/>
      <c r="L7" s="40"/>
      <c r="M7" s="40"/>
      <c r="N7" s="40"/>
      <c r="O7" s="40">
        <v>0</v>
      </c>
      <c r="P7" s="40"/>
      <c r="Q7" s="41"/>
      <c r="R7" s="41"/>
      <c r="AH7" s="41"/>
      <c r="AI7" s="41"/>
    </row>
    <row r="8" spans="1:35" ht="16" x14ac:dyDescent="0.2">
      <c r="A8" s="8" t="s">
        <v>14</v>
      </c>
      <c r="B8" s="40">
        <v>29433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>
        <v>0</v>
      </c>
      <c r="P8" s="40"/>
      <c r="Q8" s="41"/>
      <c r="R8" s="41"/>
      <c r="AH8" s="41"/>
      <c r="AI8" s="41"/>
    </row>
    <row r="9" spans="1:35" ht="16" x14ac:dyDescent="0.2">
      <c r="A9" s="8" t="s">
        <v>15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>
        <v>0</v>
      </c>
      <c r="P9" s="40"/>
      <c r="Q9" s="41"/>
      <c r="R9" s="41"/>
      <c r="S9" s="8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  <c r="AI9" s="41"/>
    </row>
    <row r="10" spans="1:35" ht="16" x14ac:dyDescent="0.2">
      <c r="A10" s="8" t="s">
        <v>16</v>
      </c>
      <c r="B10" s="68">
        <f>SUM(B4:B9)</f>
        <v>29544.15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/>
      <c r="J10" s="40"/>
      <c r="K10" s="40"/>
      <c r="L10" s="40"/>
      <c r="M10" s="40"/>
      <c r="N10" s="40"/>
      <c r="O10" s="40">
        <v>0</v>
      </c>
      <c r="P10" s="40"/>
      <c r="Q10" s="41"/>
      <c r="R10" s="41"/>
      <c r="S10" s="8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/>
      <c r="AI10" s="41"/>
    </row>
    <row r="11" spans="1:35" ht="16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/>
      <c r="J17" s="40"/>
      <c r="K17" s="40"/>
      <c r="L17" s="40"/>
      <c r="M17" s="40"/>
      <c r="N17" s="40"/>
      <c r="O17" s="40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8">
        <f>27527+4601</f>
        <v>32128</v>
      </c>
      <c r="C18" s="40">
        <v>159</v>
      </c>
      <c r="D18" s="40">
        <v>0</v>
      </c>
      <c r="E18" s="40">
        <v>0</v>
      </c>
      <c r="F18" s="40">
        <v>0</v>
      </c>
      <c r="G18" s="67">
        <v>34500</v>
      </c>
      <c r="H18" s="40">
        <v>0</v>
      </c>
      <c r="I18" s="40"/>
      <c r="J18" s="40"/>
      <c r="K18" s="40"/>
      <c r="L18" s="40"/>
      <c r="M18" s="40"/>
      <c r="N18" s="40"/>
      <c r="O18" s="40">
        <f>SUM(C18:N18)</f>
        <v>34659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/>
      <c r="J19" s="40"/>
      <c r="K19" s="40"/>
      <c r="L19" s="40"/>
      <c r="M19" s="40"/>
      <c r="N19" s="40"/>
      <c r="O19" s="40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/>
      <c r="L20" s="40"/>
      <c r="M20" s="40"/>
      <c r="N20" s="40"/>
      <c r="O20" s="40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/>
      <c r="J21" s="40"/>
      <c r="K21" s="40"/>
      <c r="L21" s="40"/>
      <c r="M21" s="40"/>
      <c r="N21" s="40"/>
      <c r="O21" s="40">
        <v>0</v>
      </c>
      <c r="P21" s="3"/>
      <c r="Q21" s="3"/>
      <c r="R21" s="3"/>
      <c r="S21" s="3" t="s">
        <v>26</v>
      </c>
      <c r="T21" s="12">
        <f>O42/1000</f>
        <v>238.81083999999998</v>
      </c>
      <c r="U21" s="3"/>
    </row>
    <row r="22" spans="1:21" ht="16" x14ac:dyDescent="0.2">
      <c r="A22" s="8" t="s">
        <v>25</v>
      </c>
      <c r="B22" s="68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/>
      <c r="L22" s="40"/>
      <c r="M22" s="40"/>
      <c r="N22" s="40"/>
      <c r="O22" s="40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0">
        <v>32128</v>
      </c>
      <c r="C23" s="40">
        <v>159</v>
      </c>
      <c r="D23" s="40">
        <v>0</v>
      </c>
      <c r="E23" s="40">
        <v>0</v>
      </c>
      <c r="F23" s="40">
        <v>0</v>
      </c>
      <c r="G23" s="67">
        <f>SUM(G17:G22)</f>
        <v>34500</v>
      </c>
      <c r="H23" s="40">
        <v>0</v>
      </c>
      <c r="I23" s="40"/>
      <c r="J23" s="40"/>
      <c r="K23" s="40"/>
      <c r="L23" s="40"/>
      <c r="M23" s="40"/>
      <c r="N23" s="40"/>
      <c r="O23" s="40">
        <f>SUM(O18:O22)</f>
        <v>34659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2">
        <f>N42/1000</f>
        <v>92.06783999999999</v>
      </c>
      <c r="U24" s="14">
        <f>N43</f>
        <v>0.38552621815659621</v>
      </c>
    </row>
    <row r="25" spans="1:21" ht="16" x14ac:dyDescent="0.2">
      <c r="B25" s="6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71</v>
      </c>
      <c r="T25" s="12">
        <f>G42/1000</f>
        <v>57.302999999999997</v>
      </c>
      <c r="U25" s="14">
        <f>G43</f>
        <v>0.23995141929068212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55" t="str">
        <f>J29</f>
        <v>Torv</v>
      </c>
      <c r="T26" s="12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2">
        <f>F42/1000</f>
        <v>5.5250000000000004</v>
      </c>
      <c r="U27" s="14">
        <f>F43</f>
        <v>2.3135465710015509E-2</v>
      </c>
    </row>
    <row r="28" spans="1:21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</v>
      </c>
      <c r="U28" s="14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10" t="str">
        <f>D29</f>
        <v>Kol och koks</v>
      </c>
      <c r="T29" s="2">
        <f>D42/1000</f>
        <v>0</v>
      </c>
      <c r="U29" s="54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10" t="str">
        <f>K29</f>
        <v>Avfall</v>
      </c>
      <c r="T30" s="2">
        <f>K42/1000</f>
        <v>0</v>
      </c>
      <c r="U30" s="54">
        <f>K43</f>
        <v>0</v>
      </c>
    </row>
    <row r="31" spans="1:21" ht="16" x14ac:dyDescent="0.2">
      <c r="A31" s="8" t="s">
        <v>33</v>
      </c>
      <c r="B31" s="40">
        <v>0</v>
      </c>
      <c r="C31" s="40">
        <v>2107</v>
      </c>
      <c r="D31" s="40">
        <v>0</v>
      </c>
      <c r="E31" s="40">
        <v>0</v>
      </c>
      <c r="F31" s="40">
        <v>213</v>
      </c>
      <c r="G31" s="40">
        <v>0</v>
      </c>
      <c r="H31" s="40">
        <v>0</v>
      </c>
      <c r="I31" s="40"/>
      <c r="J31" s="40"/>
      <c r="K31" s="40"/>
      <c r="L31" s="40"/>
      <c r="M31" s="41"/>
      <c r="N31" s="40">
        <v>2101</v>
      </c>
      <c r="O31" s="40">
        <v>4421</v>
      </c>
      <c r="P31" s="16">
        <f>O31/O$39</f>
        <v>1.9559090929200603E-2</v>
      </c>
      <c r="Q31" s="17" t="s">
        <v>34</v>
      </c>
      <c r="R31" s="3"/>
      <c r="S31" s="55" t="str">
        <f>I29</f>
        <v>Avlutar</v>
      </c>
      <c r="T31" s="12">
        <f>I42/1000</f>
        <v>0</v>
      </c>
      <c r="U31" s="14">
        <f>I43</f>
        <v>0</v>
      </c>
    </row>
    <row r="32" spans="1:21" ht="16" x14ac:dyDescent="0.2">
      <c r="A32" s="8" t="s">
        <v>36</v>
      </c>
      <c r="B32" s="40">
        <v>326</v>
      </c>
      <c r="C32" s="64">
        <v>8600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/>
      <c r="J32" s="40"/>
      <c r="K32" s="40"/>
      <c r="L32" s="40"/>
      <c r="M32" s="41"/>
      <c r="N32" s="40">
        <v>6190</v>
      </c>
      <c r="O32" s="64">
        <f>SUM(B32:N32)</f>
        <v>15116</v>
      </c>
      <c r="P32" s="16">
        <f>O32/O$39</f>
        <v>6.687519079072525E-2</v>
      </c>
      <c r="Q32" s="17" t="s">
        <v>37</v>
      </c>
      <c r="R32" s="3"/>
      <c r="S32" s="55" t="str">
        <f>H29</f>
        <v>Biogas</v>
      </c>
      <c r="T32" s="12">
        <f>H42/1000</f>
        <v>0</v>
      </c>
      <c r="U32" s="14">
        <f>H43</f>
        <v>0</v>
      </c>
    </row>
    <row r="33" spans="1:48" ht="16" x14ac:dyDescent="0.2">
      <c r="A33" s="8" t="s">
        <v>38</v>
      </c>
      <c r="B33" s="40">
        <v>2800</v>
      </c>
      <c r="C33" s="40">
        <v>283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/>
      <c r="J33" s="40"/>
      <c r="K33" s="40"/>
      <c r="L33" s="40"/>
      <c r="M33" s="41"/>
      <c r="N33" s="40">
        <v>3103</v>
      </c>
      <c r="O33" s="40">
        <v>6186</v>
      </c>
      <c r="P33" s="16">
        <f>O33/O$39</f>
        <v>2.7367685249498966E-2</v>
      </c>
      <c r="Q33" s="17" t="s">
        <v>39</v>
      </c>
      <c r="R33" s="3"/>
      <c r="S33" s="3" t="s">
        <v>35</v>
      </c>
      <c r="T33" s="12">
        <f>C42/1000</f>
        <v>83.915000000000006</v>
      </c>
      <c r="U33" s="14">
        <f>C43</f>
        <v>0.35138689684270613</v>
      </c>
    </row>
    <row r="34" spans="1:48" ht="16" x14ac:dyDescent="0.2">
      <c r="A34" s="8" t="s">
        <v>40</v>
      </c>
      <c r="B34" s="40">
        <v>0</v>
      </c>
      <c r="C34" s="40">
        <v>71806</v>
      </c>
      <c r="D34" s="40">
        <v>0</v>
      </c>
      <c r="E34" s="40">
        <v>0</v>
      </c>
      <c r="F34" s="40">
        <v>5312</v>
      </c>
      <c r="G34" s="40">
        <v>0</v>
      </c>
      <c r="H34" s="40">
        <v>0</v>
      </c>
      <c r="I34" s="40"/>
      <c r="J34" s="40"/>
      <c r="K34" s="40"/>
      <c r="L34" s="40"/>
      <c r="M34" s="41"/>
      <c r="N34" s="40">
        <v>335</v>
      </c>
      <c r="O34" s="40">
        <v>77453</v>
      </c>
      <c r="P34" s="16">
        <f>O34/O$39</f>
        <v>0.34266235461193717</v>
      </c>
      <c r="Q34" s="17" t="s">
        <v>41</v>
      </c>
      <c r="R34" s="3"/>
      <c r="S34" s="3"/>
      <c r="T34" s="13">
        <f>SUM(T24:T33)</f>
        <v>238.81083999999998</v>
      </c>
      <c r="U34" s="14">
        <f>SUM(U24:U33)</f>
        <v>1</v>
      </c>
    </row>
    <row r="35" spans="1:48" ht="16" x14ac:dyDescent="0.2">
      <c r="A35" s="8" t="s">
        <v>42</v>
      </c>
      <c r="B35" s="40">
        <v>8830</v>
      </c>
      <c r="C35" s="64">
        <v>399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/>
      <c r="J35" s="40"/>
      <c r="K35" s="40"/>
      <c r="L35" s="40"/>
      <c r="M35" s="41"/>
      <c r="N35" s="40">
        <v>20622</v>
      </c>
      <c r="O35" s="64">
        <f>SUM(B35:N35)</f>
        <v>29851</v>
      </c>
      <c r="P35" s="16">
        <f>O35/O$39</f>
        <v>0.1320647870001283</v>
      </c>
      <c r="Q35" s="17" t="s">
        <v>43</v>
      </c>
      <c r="R35" s="17"/>
    </row>
    <row r="36" spans="1:48" ht="16" x14ac:dyDescent="0.2">
      <c r="A36" s="8" t="s">
        <v>44</v>
      </c>
      <c r="B36" s="40">
        <v>753</v>
      </c>
      <c r="C36" s="40">
        <v>501</v>
      </c>
      <c r="D36" s="40">
        <v>0</v>
      </c>
      <c r="E36" s="40">
        <v>0</v>
      </c>
      <c r="F36" s="40">
        <v>0</v>
      </c>
      <c r="G36" s="40">
        <v>22803</v>
      </c>
      <c r="H36" s="40">
        <v>0</v>
      </c>
      <c r="I36" s="40"/>
      <c r="J36" s="40"/>
      <c r="K36" s="40"/>
      <c r="L36" s="40"/>
      <c r="M36" s="41"/>
      <c r="N36" s="40">
        <v>42598</v>
      </c>
      <c r="O36" s="40">
        <v>66656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45</v>
      </c>
      <c r="B37" s="68">
        <f>B39-B36-B35-B33-B32</f>
        <v>15991</v>
      </c>
      <c r="C37" s="40">
        <v>60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/>
      <c r="J37" s="40"/>
      <c r="K37" s="40"/>
      <c r="L37" s="40"/>
      <c r="M37" s="41"/>
      <c r="N37" s="40">
        <v>5058</v>
      </c>
      <c r="O37" s="68">
        <f>SUM(B37:N37)</f>
        <v>21109</v>
      </c>
      <c r="P37" s="17"/>
      <c r="Q37" s="17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/>
      <c r="J38" s="40"/>
      <c r="K38" s="40"/>
      <c r="L38" s="40"/>
      <c r="M38" s="41"/>
      <c r="N38" s="40">
        <v>5241</v>
      </c>
      <c r="O38" s="40">
        <v>5241</v>
      </c>
      <c r="P38" s="17">
        <f>SUM(P31:P35)</f>
        <v>0.58852910858149032</v>
      </c>
      <c r="Q38" s="17"/>
      <c r="R38" s="3"/>
      <c r="S38" s="7" t="s">
        <v>47</v>
      </c>
      <c r="T38" s="19">
        <f>O45/1000</f>
        <v>10.24784</v>
      </c>
      <c r="U38" s="7"/>
    </row>
    <row r="39" spans="1:48" ht="16" x14ac:dyDescent="0.2">
      <c r="A39" s="8" t="s">
        <v>16</v>
      </c>
      <c r="B39" s="67">
        <v>28700</v>
      </c>
      <c r="C39" s="40">
        <v>83756</v>
      </c>
      <c r="D39" s="40">
        <v>0</v>
      </c>
      <c r="E39" s="40">
        <v>0</v>
      </c>
      <c r="F39" s="40">
        <v>5525</v>
      </c>
      <c r="G39" s="40">
        <v>22803</v>
      </c>
      <c r="H39" s="40">
        <v>0</v>
      </c>
      <c r="I39" s="40"/>
      <c r="J39" s="40"/>
      <c r="K39" s="40"/>
      <c r="L39" s="40"/>
      <c r="M39" s="41"/>
      <c r="N39" s="40">
        <v>85248</v>
      </c>
      <c r="O39" s="68">
        <f>SUM(O31:O38)</f>
        <v>226033</v>
      </c>
      <c r="P39" s="3"/>
      <c r="Q39" s="3"/>
      <c r="R39" s="3"/>
      <c r="S39" s="7" t="s">
        <v>48</v>
      </c>
      <c r="T39" s="19">
        <f>O41/1000</f>
        <v>93.006</v>
      </c>
      <c r="U39" s="14">
        <f>P41</f>
        <v>0.41147089141850968</v>
      </c>
    </row>
    <row r="40" spans="1:48" x14ac:dyDescent="0.2">
      <c r="O40" s="10"/>
      <c r="S40" s="7" t="s">
        <v>49</v>
      </c>
      <c r="T40" s="19">
        <f>O35/1000</f>
        <v>29.850999999999999</v>
      </c>
      <c r="U40" s="14">
        <f>P35</f>
        <v>0.1320647870001283</v>
      </c>
    </row>
    <row r="41" spans="1:48" ht="16" x14ac:dyDescent="0.2">
      <c r="A41" s="21" t="s">
        <v>50</v>
      </c>
      <c r="B41" s="22">
        <f>B38+B37+B36</f>
        <v>16744</v>
      </c>
      <c r="C41" s="22">
        <f t="shared" ref="C41:O41" si="0">C38+C37+C36</f>
        <v>561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22803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52897</v>
      </c>
      <c r="O41" s="22">
        <f t="shared" si="0"/>
        <v>93006</v>
      </c>
      <c r="P41" s="16">
        <f>O41/O$39</f>
        <v>0.41147089141850968</v>
      </c>
      <c r="Q41" s="16" t="s">
        <v>51</v>
      </c>
      <c r="R41" s="7"/>
      <c r="S41" s="7" t="s">
        <v>52</v>
      </c>
      <c r="T41" s="19">
        <f>O33/1000</f>
        <v>6.1859999999999999</v>
      </c>
      <c r="U41" s="14">
        <f>P33</f>
        <v>2.7367685249498966E-2</v>
      </c>
    </row>
    <row r="42" spans="1:48" ht="16" x14ac:dyDescent="0.2">
      <c r="A42" s="23" t="s">
        <v>53</v>
      </c>
      <c r="B42" s="22"/>
      <c r="C42" s="24">
        <f>C39+C23+C10</f>
        <v>83915</v>
      </c>
      <c r="D42" s="24">
        <f t="shared" ref="D42:M42" si="1">D39+D23+D10</f>
        <v>0</v>
      </c>
      <c r="E42" s="24">
        <f t="shared" si="1"/>
        <v>0</v>
      </c>
      <c r="F42" s="24">
        <f t="shared" si="1"/>
        <v>5525</v>
      </c>
      <c r="G42" s="24">
        <f t="shared" si="1"/>
        <v>57303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92067.839999999997</v>
      </c>
      <c r="O42" s="25">
        <f>SUM(C42:N42)</f>
        <v>238810.84</v>
      </c>
      <c r="P42" s="7"/>
      <c r="Q42" s="7"/>
      <c r="R42" s="7"/>
      <c r="S42" s="7" t="s">
        <v>34</v>
      </c>
      <c r="T42" s="19">
        <f>O31/1000</f>
        <v>4.4210000000000003</v>
      </c>
      <c r="U42" s="14">
        <f>P31</f>
        <v>1.9559090929200603E-2</v>
      </c>
    </row>
    <row r="43" spans="1:48" ht="16" x14ac:dyDescent="0.2">
      <c r="A43" s="23" t="s">
        <v>54</v>
      </c>
      <c r="B43" s="22"/>
      <c r="C43" s="16">
        <f t="shared" ref="C43:N43" si="2">C42/$O42</f>
        <v>0.35138689684270613</v>
      </c>
      <c r="D43" s="16">
        <f t="shared" si="2"/>
        <v>0</v>
      </c>
      <c r="E43" s="16">
        <f t="shared" si="2"/>
        <v>0</v>
      </c>
      <c r="F43" s="16">
        <f t="shared" si="2"/>
        <v>2.3135465710015509E-2</v>
      </c>
      <c r="G43" s="16">
        <f t="shared" si="2"/>
        <v>0.23995141929068212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0.38552621815659621</v>
      </c>
      <c r="O43" s="16">
        <f>SUM(C43:N43)</f>
        <v>1</v>
      </c>
      <c r="P43" s="7"/>
      <c r="Q43" s="7"/>
      <c r="R43" s="7"/>
      <c r="S43" s="7" t="s">
        <v>55</v>
      </c>
      <c r="T43" s="19">
        <f>O32/1000</f>
        <v>15.116</v>
      </c>
      <c r="U43" s="14">
        <f>P32</f>
        <v>6.687519079072525E-2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19">
        <f>O34/1000</f>
        <v>77.453000000000003</v>
      </c>
      <c r="U44" s="14">
        <f>P34</f>
        <v>0.34266235461193717</v>
      </c>
    </row>
    <row r="45" spans="1:48" ht="16" x14ac:dyDescent="0.2">
      <c r="A45" s="6" t="s">
        <v>57</v>
      </c>
      <c r="B45" s="6">
        <f>B23-B39</f>
        <v>3428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6819.84</v>
      </c>
      <c r="O45" s="25">
        <f>B45+N45</f>
        <v>10247.84</v>
      </c>
      <c r="P45" s="7"/>
      <c r="Q45" s="7"/>
      <c r="R45" s="7"/>
      <c r="S45" s="7" t="s">
        <v>58</v>
      </c>
      <c r="T45" s="19">
        <f>SUM(T39:T44)</f>
        <v>226.03299999999999</v>
      </c>
      <c r="U45" s="14">
        <f>SUM(U39:U44)</f>
        <v>1</v>
      </c>
    </row>
    <row r="46" spans="1:48" ht="16" x14ac:dyDescent="0.2">
      <c r="A46" s="6"/>
      <c r="B46" s="5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37"/>
      <c r="E47" s="27"/>
      <c r="F47" s="27"/>
      <c r="G47" s="3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37"/>
      <c r="E48" s="27"/>
      <c r="F48" s="27"/>
      <c r="G48" s="37"/>
      <c r="H48" s="27"/>
      <c r="I48" s="27"/>
      <c r="J48" s="27"/>
      <c r="K48" s="27"/>
      <c r="L48" s="27"/>
      <c r="M48" s="27"/>
      <c r="N48" s="27"/>
      <c r="O48" s="9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9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7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7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7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7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2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2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 enableFormatConditionsCalculation="0"/>
  <dimension ref="A1:AV70"/>
  <sheetViews>
    <sheetView topLeftCell="A12" workbookViewId="0">
      <selection activeCell="U31" sqref="U31"/>
    </sheetView>
  </sheetViews>
  <sheetFormatPr baseColWidth="10" defaultColWidth="8.6640625" defaultRowHeight="15" x14ac:dyDescent="0.2"/>
  <cols>
    <col min="1" max="1" width="22" style="2" customWidth="1"/>
    <col min="2" max="8" width="8.6640625" style="2" customWidth="1"/>
    <col min="9" max="9" width="9.83203125" style="2" customWidth="1"/>
    <col min="10" max="14" width="8.6640625" style="2" customWidth="1"/>
    <col min="15" max="15" width="10.83203125" style="2" customWidth="1"/>
    <col min="16" max="21" width="8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68</v>
      </c>
      <c r="Q2" s="41"/>
      <c r="R2" s="8"/>
      <c r="AH2" s="41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1"/>
      <c r="R3" s="41"/>
      <c r="AH3" s="41"/>
      <c r="AI3" s="41"/>
    </row>
    <row r="4" spans="1:35" ht="16" x14ac:dyDescent="0.2">
      <c r="A4" s="81" t="s">
        <v>73</v>
      </c>
      <c r="B4" s="67">
        <f>0.95*235</f>
        <v>223.25</v>
      </c>
      <c r="Q4" s="41"/>
      <c r="R4" s="41"/>
      <c r="AH4" s="41"/>
      <c r="AI4" s="41"/>
    </row>
    <row r="5" spans="1:35" ht="16" x14ac:dyDescent="0.2">
      <c r="A5" s="41"/>
      <c r="Q5" s="41"/>
      <c r="R5" s="41"/>
      <c r="AH5" s="41"/>
      <c r="AI5" s="41"/>
    </row>
    <row r="6" spans="1:35" ht="16" x14ac:dyDescent="0.2">
      <c r="A6" s="8" t="s">
        <v>12</v>
      </c>
      <c r="B6" s="68">
        <v>0</v>
      </c>
      <c r="C6" s="68">
        <v>0</v>
      </c>
      <c r="D6" s="40">
        <v>0</v>
      </c>
      <c r="E6" s="40">
        <v>0</v>
      </c>
      <c r="F6" s="68">
        <v>0</v>
      </c>
      <c r="G6" s="68">
        <v>0</v>
      </c>
      <c r="H6" s="40">
        <v>0</v>
      </c>
      <c r="I6" s="40"/>
      <c r="J6" s="40"/>
      <c r="K6" s="40"/>
      <c r="L6" s="40"/>
      <c r="M6" s="40"/>
      <c r="N6" s="40"/>
      <c r="O6" s="68">
        <v>0</v>
      </c>
      <c r="Q6" s="41"/>
      <c r="R6" s="41"/>
      <c r="AH6" s="41"/>
      <c r="AI6" s="41"/>
    </row>
    <row r="7" spans="1:35" ht="16" x14ac:dyDescent="0.2">
      <c r="A7" s="8" t="s">
        <v>13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/>
      <c r="J7" s="40"/>
      <c r="K7" s="40"/>
      <c r="L7" s="40"/>
      <c r="M7" s="40"/>
      <c r="N7" s="40"/>
      <c r="O7" s="40">
        <v>0</v>
      </c>
      <c r="P7" s="40"/>
      <c r="Q7" s="41"/>
      <c r="R7" s="41"/>
      <c r="AH7" s="41"/>
      <c r="AI7" s="41"/>
    </row>
    <row r="8" spans="1:35" ht="16" x14ac:dyDescent="0.2">
      <c r="A8" s="8" t="s">
        <v>14</v>
      </c>
      <c r="B8" s="40">
        <v>90763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>
        <v>0</v>
      </c>
      <c r="P8" s="40"/>
      <c r="Q8" s="41"/>
      <c r="R8" s="41"/>
      <c r="AH8" s="41"/>
      <c r="AI8" s="41"/>
    </row>
    <row r="9" spans="1:35" ht="16" x14ac:dyDescent="0.2">
      <c r="A9" s="8" t="s">
        <v>15</v>
      </c>
      <c r="B9" s="80">
        <v>1443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>
        <v>0</v>
      </c>
      <c r="P9" s="40"/>
      <c r="Q9" s="41"/>
      <c r="R9" s="41"/>
      <c r="S9" s="8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  <c r="AI9" s="41"/>
    </row>
    <row r="10" spans="1:35" ht="16" x14ac:dyDescent="0.2">
      <c r="A10" s="8" t="s">
        <v>16</v>
      </c>
      <c r="B10" s="64">
        <f>SUM(B4:B9)</f>
        <v>92429.25</v>
      </c>
      <c r="C10" s="68">
        <v>0</v>
      </c>
      <c r="D10" s="40">
        <v>0</v>
      </c>
      <c r="E10" s="40">
        <v>0</v>
      </c>
      <c r="F10" s="68">
        <v>0</v>
      </c>
      <c r="G10" s="68">
        <v>0</v>
      </c>
      <c r="H10" s="40">
        <v>0</v>
      </c>
      <c r="I10" s="40"/>
      <c r="J10" s="40"/>
      <c r="K10" s="40"/>
      <c r="L10" s="40"/>
      <c r="M10" s="40"/>
      <c r="N10" s="40"/>
      <c r="O10" s="68">
        <v>0</v>
      </c>
      <c r="P10" s="40"/>
      <c r="Q10" s="41"/>
      <c r="R10" s="41"/>
      <c r="S10" s="8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/>
      <c r="AI10" s="41"/>
    </row>
    <row r="11" spans="1:35" ht="16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/>
      <c r="J17" s="40"/>
      <c r="K17" s="40"/>
      <c r="L17" s="40"/>
      <c r="M17" s="40"/>
      <c r="N17" s="40"/>
      <c r="O17" s="40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8">
        <f>5931+N18/1.015</f>
        <v>15881.738916256159</v>
      </c>
      <c r="C18" s="40">
        <v>2488</v>
      </c>
      <c r="D18" s="40">
        <v>0</v>
      </c>
      <c r="E18" s="40">
        <v>0</v>
      </c>
      <c r="F18" s="40">
        <v>0</v>
      </c>
      <c r="G18" s="40">
        <v>3877</v>
      </c>
      <c r="H18" s="40">
        <v>0</v>
      </c>
      <c r="I18" s="40"/>
      <c r="J18" s="40"/>
      <c r="K18" s="40"/>
      <c r="L18" s="40"/>
      <c r="M18" s="40"/>
      <c r="N18" s="67">
        <v>10100</v>
      </c>
      <c r="O18" s="68">
        <f>SUM(C18:N18)</f>
        <v>16465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74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/>
      <c r="J19" s="40"/>
      <c r="K19" s="40"/>
      <c r="L19" s="40"/>
      <c r="M19" s="40"/>
      <c r="O19" s="75">
        <f>SUM(L19:N19)</f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/>
      <c r="L20" s="40"/>
      <c r="M20" s="40"/>
      <c r="N20" s="40"/>
      <c r="O20" s="40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0">
        <v>100783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/>
      <c r="J21" s="40"/>
      <c r="K21" s="40"/>
      <c r="L21" s="40"/>
      <c r="M21" s="40"/>
      <c r="N21" s="40"/>
      <c r="O21" s="40">
        <v>0</v>
      </c>
      <c r="P21" s="3"/>
      <c r="Q21" s="3"/>
      <c r="R21" s="3"/>
      <c r="S21" s="3" t="s">
        <v>26</v>
      </c>
      <c r="T21" s="12">
        <f>O42/1000</f>
        <v>2866.1842800000004</v>
      </c>
      <c r="U21" s="3"/>
    </row>
    <row r="22" spans="1:21" ht="16" x14ac:dyDescent="0.2">
      <c r="A22" s="8" t="s">
        <v>25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/>
      <c r="L22" s="40"/>
      <c r="M22" s="40"/>
      <c r="N22" s="40"/>
      <c r="O22" s="40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8">
        <f>SUM(B17:B22)</f>
        <v>116664.73891625616</v>
      </c>
      <c r="C23" s="40">
        <v>2488</v>
      </c>
      <c r="D23" s="40">
        <v>0</v>
      </c>
      <c r="E23" s="40">
        <v>0</v>
      </c>
      <c r="F23" s="40">
        <v>0</v>
      </c>
      <c r="G23" s="40">
        <v>3877</v>
      </c>
      <c r="H23" s="40">
        <v>0</v>
      </c>
      <c r="I23" s="40"/>
      <c r="J23" s="40"/>
      <c r="K23" s="40"/>
      <c r="L23" s="40"/>
      <c r="M23" s="40"/>
      <c r="N23" s="67">
        <f>SUM(N18:N22)</f>
        <v>10100</v>
      </c>
      <c r="O23" s="68">
        <f>SUM(O18:O22)</f>
        <v>16465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2">
        <f>N42/1000</f>
        <v>654.17528000000004</v>
      </c>
      <c r="U24" s="14">
        <f>N43</f>
        <v>0.22823908586924493</v>
      </c>
    </row>
    <row r="25" spans="1:21" ht="16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71</v>
      </c>
      <c r="T25" s="12">
        <f>G42/1000</f>
        <v>726.52800000000002</v>
      </c>
      <c r="U25" s="14">
        <f>G43</f>
        <v>0.25348265464633696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55" t="str">
        <f>J29</f>
        <v>Torv</v>
      </c>
      <c r="T26" s="12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2">
        <f>F42/1000</f>
        <v>15.912000000000001</v>
      </c>
      <c r="U27" s="14">
        <f>F43</f>
        <v>5.5516318720441795E-3</v>
      </c>
    </row>
    <row r="28" spans="1:21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22.2</v>
      </c>
      <c r="U28" s="14">
        <f>E43</f>
        <v>7.7454894142396169E-3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72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10" t="str">
        <f>D29</f>
        <v>Kol och koks</v>
      </c>
      <c r="T29" s="2">
        <f>D42/1000</f>
        <v>0</v>
      </c>
      <c r="U29" s="54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3"/>
      <c r="Q30" s="3"/>
      <c r="R30" s="3"/>
      <c r="S30" s="10" t="str">
        <f>L29</f>
        <v>Beckolja</v>
      </c>
      <c r="T30" s="2">
        <f>L42/1000</f>
        <v>91</v>
      </c>
      <c r="U30" s="54">
        <f>L43</f>
        <v>3.1749528679991222E-2</v>
      </c>
    </row>
    <row r="31" spans="1:21" ht="16" x14ac:dyDescent="0.2">
      <c r="A31" s="8" t="s">
        <v>33</v>
      </c>
      <c r="B31" s="40">
        <v>0</v>
      </c>
      <c r="C31" s="40">
        <v>15604</v>
      </c>
      <c r="D31" s="40">
        <v>0</v>
      </c>
      <c r="E31" s="40">
        <v>0</v>
      </c>
      <c r="F31" s="40">
        <v>1544</v>
      </c>
      <c r="G31" s="40">
        <v>0</v>
      </c>
      <c r="H31" s="40">
        <v>0</v>
      </c>
      <c r="I31" s="40"/>
      <c r="J31" s="40"/>
      <c r="K31" s="40"/>
      <c r="L31" s="40"/>
      <c r="M31" s="41"/>
      <c r="N31" s="40">
        <v>13041</v>
      </c>
      <c r="O31" s="40">
        <v>30188</v>
      </c>
      <c r="P31" s="16">
        <f>O31/O$39</f>
        <v>1.0396390811722974E-2</v>
      </c>
      <c r="Q31" s="17" t="s">
        <v>34</v>
      </c>
      <c r="R31" s="3"/>
      <c r="S31" s="55" t="str">
        <f>I29</f>
        <v>Avlutar</v>
      </c>
      <c r="T31" s="12">
        <f>I42/1000</f>
        <v>1112</v>
      </c>
      <c r="U31" s="14">
        <f>I43</f>
        <v>0.38797226255110151</v>
      </c>
    </row>
    <row r="32" spans="1:21" ht="16" x14ac:dyDescent="0.2">
      <c r="A32" s="8" t="s">
        <v>36</v>
      </c>
      <c r="B32" s="40">
        <v>24156</v>
      </c>
      <c r="C32" s="68">
        <f>37267+1430</f>
        <v>38697</v>
      </c>
      <c r="D32" s="40">
        <v>0</v>
      </c>
      <c r="E32" s="64">
        <f>O32-N32-I32-G32-C32-B32-L32</f>
        <v>22200</v>
      </c>
      <c r="F32" s="64">
        <v>0</v>
      </c>
      <c r="G32" s="77">
        <f>592000+69432</f>
        <v>661432</v>
      </c>
      <c r="H32" s="40">
        <v>0</v>
      </c>
      <c r="I32" s="77">
        <v>1112000</v>
      </c>
      <c r="J32" s="40"/>
      <c r="K32" s="40"/>
      <c r="L32" s="79">
        <v>91000</v>
      </c>
      <c r="M32" s="41"/>
      <c r="N32" s="64">
        <f>565846-161061-60</f>
        <v>404725</v>
      </c>
      <c r="O32" s="64">
        <f>2311286-161061+203985</f>
        <v>2354210</v>
      </c>
      <c r="P32" s="16">
        <f>O32/O$39</f>
        <v>0.81076213107414674</v>
      </c>
      <c r="Q32" s="17" t="s">
        <v>37</v>
      </c>
      <c r="R32" s="3"/>
      <c r="S32" s="55" t="str">
        <f>H29</f>
        <v>Biogas</v>
      </c>
      <c r="T32" s="12">
        <f>H42/1000</f>
        <v>0</v>
      </c>
      <c r="U32" s="14">
        <f>H43</f>
        <v>0</v>
      </c>
    </row>
    <row r="33" spans="1:48" ht="16" x14ac:dyDescent="0.2">
      <c r="A33" s="8" t="s">
        <v>38</v>
      </c>
      <c r="B33" s="40">
        <v>11374</v>
      </c>
      <c r="C33" s="40">
        <v>100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/>
      <c r="J33" s="40"/>
      <c r="K33" s="40"/>
      <c r="L33" s="79"/>
      <c r="M33" s="41"/>
      <c r="N33" s="40">
        <v>24278</v>
      </c>
      <c r="O33" s="40">
        <v>35751</v>
      </c>
      <c r="P33" s="16">
        <f>O33/O$39</f>
        <v>1.2312222337018288E-2</v>
      </c>
      <c r="Q33" s="17" t="s">
        <v>39</v>
      </c>
      <c r="R33" s="3"/>
      <c r="S33" s="3" t="s">
        <v>35</v>
      </c>
      <c r="T33" s="12">
        <f>C42/1000</f>
        <v>244.369</v>
      </c>
      <c r="U33" s="14">
        <f>C43</f>
        <v>8.5259346967041488E-2</v>
      </c>
    </row>
    <row r="34" spans="1:48" ht="16" x14ac:dyDescent="0.2">
      <c r="A34" s="8" t="s">
        <v>40</v>
      </c>
      <c r="B34" s="40">
        <v>0</v>
      </c>
      <c r="C34" s="40">
        <v>180967</v>
      </c>
      <c r="D34" s="40">
        <v>0</v>
      </c>
      <c r="E34" s="40">
        <v>0</v>
      </c>
      <c r="F34" s="40">
        <v>14368</v>
      </c>
      <c r="G34" s="40">
        <v>0</v>
      </c>
      <c r="H34" s="40">
        <v>0</v>
      </c>
      <c r="I34" s="40"/>
      <c r="J34" s="40"/>
      <c r="K34" s="40"/>
      <c r="L34" s="79"/>
      <c r="M34" s="41"/>
      <c r="N34" s="40">
        <v>4907</v>
      </c>
      <c r="O34" s="40">
        <v>200241</v>
      </c>
      <c r="P34" s="16">
        <f>O34/O$39</f>
        <v>6.8960636429383201E-2</v>
      </c>
      <c r="Q34" s="17" t="s">
        <v>41</v>
      </c>
      <c r="R34" s="3"/>
      <c r="S34" s="3"/>
      <c r="T34" s="13">
        <f>SUM(T24:T33)</f>
        <v>2866.1842800000004</v>
      </c>
      <c r="U34" s="14">
        <f>SUM(U24:U33)</f>
        <v>1</v>
      </c>
    </row>
    <row r="35" spans="1:48" ht="16" x14ac:dyDescent="0.2">
      <c r="A35" s="8" t="s">
        <v>42</v>
      </c>
      <c r="B35" s="40">
        <v>14940</v>
      </c>
      <c r="C35" s="40">
        <v>5187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/>
      <c r="J35" s="40"/>
      <c r="K35" s="40"/>
      <c r="L35" s="79"/>
      <c r="M35" s="41"/>
      <c r="N35" s="40">
        <v>50848</v>
      </c>
      <c r="O35" s="40">
        <v>70975</v>
      </c>
      <c r="P35" s="16">
        <f>O35/O$39</f>
        <v>2.4442952095602162E-2</v>
      </c>
      <c r="Q35" s="17" t="s">
        <v>43</v>
      </c>
      <c r="R35" s="17"/>
    </row>
    <row r="36" spans="1:48" ht="16" x14ac:dyDescent="0.2">
      <c r="A36" s="8" t="s">
        <v>44</v>
      </c>
      <c r="B36" s="40">
        <v>13717</v>
      </c>
      <c r="C36" s="40">
        <v>1309</v>
      </c>
      <c r="D36" s="40">
        <v>0</v>
      </c>
      <c r="E36" s="40">
        <v>0</v>
      </c>
      <c r="F36" s="40">
        <v>0</v>
      </c>
      <c r="G36" s="40">
        <v>61219</v>
      </c>
      <c r="H36" s="40">
        <v>0</v>
      </c>
      <c r="I36" s="40"/>
      <c r="J36" s="40"/>
      <c r="K36" s="40"/>
      <c r="L36" s="79"/>
      <c r="M36" s="41"/>
      <c r="N36" s="40">
        <v>78768</v>
      </c>
      <c r="O36" s="40">
        <v>155014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45</v>
      </c>
      <c r="B37" s="40">
        <v>37504</v>
      </c>
      <c r="C37" s="40">
        <v>18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/>
      <c r="J37" s="40"/>
      <c r="K37" s="40"/>
      <c r="L37" s="79"/>
      <c r="M37" s="41"/>
      <c r="N37" s="40">
        <v>11700</v>
      </c>
      <c r="O37" s="40">
        <v>49221</v>
      </c>
      <c r="P37" s="17"/>
      <c r="Q37" s="17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/>
      <c r="J38" s="40"/>
      <c r="K38" s="40"/>
      <c r="L38" s="79"/>
      <c r="M38" s="41"/>
      <c r="N38" s="40">
        <v>8099</v>
      </c>
      <c r="O38" s="40">
        <v>8099</v>
      </c>
      <c r="P38" s="17">
        <f>SUM(P31:P35)</f>
        <v>0.92687433274787345</v>
      </c>
      <c r="Q38" s="17"/>
      <c r="R38" s="3"/>
      <c r="S38" s="7" t="s">
        <v>47</v>
      </c>
      <c r="T38" s="19">
        <f>O45/1000</f>
        <v>62.68301891625616</v>
      </c>
      <c r="U38" s="7"/>
    </row>
    <row r="39" spans="1:48" ht="16" x14ac:dyDescent="0.2">
      <c r="A39" s="8" t="s">
        <v>16</v>
      </c>
      <c r="B39" s="40">
        <v>101691</v>
      </c>
      <c r="C39" s="68">
        <f>240451+1430</f>
        <v>241881</v>
      </c>
      <c r="D39" s="40">
        <v>0</v>
      </c>
      <c r="E39" s="64">
        <f>SUM(E31:E38)</f>
        <v>22200</v>
      </c>
      <c r="F39" s="64">
        <f>SUM(F31:F38)</f>
        <v>15912</v>
      </c>
      <c r="G39" s="78">
        <f>SUM(G31:G38)</f>
        <v>722651</v>
      </c>
      <c r="H39" s="40">
        <v>0</v>
      </c>
      <c r="I39" s="79">
        <f>SUM(I31:I38)</f>
        <v>1112000</v>
      </c>
      <c r="J39" s="40"/>
      <c r="K39" s="40"/>
      <c r="L39" s="79">
        <f>SUM(L32:L38)</f>
        <v>91000</v>
      </c>
      <c r="M39" s="41"/>
      <c r="N39" s="68">
        <f>757487-161061-60</f>
        <v>596366</v>
      </c>
      <c r="O39" s="68">
        <f>2860776-161061+203985</f>
        <v>2903700</v>
      </c>
      <c r="P39" s="3"/>
      <c r="Q39" s="3"/>
      <c r="R39" s="3"/>
      <c r="S39" s="7" t="s">
        <v>48</v>
      </c>
      <c r="T39" s="19">
        <f>O41/1000</f>
        <v>212.334</v>
      </c>
      <c r="U39" s="14">
        <f>P41</f>
        <v>7.3125322863932224E-2</v>
      </c>
    </row>
    <row r="40" spans="1:48" x14ac:dyDescent="0.2">
      <c r="G40" s="10"/>
      <c r="M40" s="10"/>
      <c r="N40" s="10"/>
      <c r="O40" s="10"/>
      <c r="S40" s="7" t="s">
        <v>49</v>
      </c>
      <c r="T40" s="19">
        <f>O35/1000</f>
        <v>70.974999999999994</v>
      </c>
      <c r="U40" s="14">
        <f>P35</f>
        <v>2.4442952095602162E-2</v>
      </c>
    </row>
    <row r="41" spans="1:48" ht="16" x14ac:dyDescent="0.2">
      <c r="A41" s="21" t="s">
        <v>50</v>
      </c>
      <c r="B41" s="22">
        <f>B38+B37+B36</f>
        <v>51221</v>
      </c>
      <c r="C41" s="22">
        <f t="shared" ref="C41:O41" si="0">C38+C37+C36</f>
        <v>1327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61219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98567</v>
      </c>
      <c r="O41" s="22">
        <f t="shared" si="0"/>
        <v>212334</v>
      </c>
      <c r="P41" s="16">
        <f>O41/O$39</f>
        <v>7.3125322863932224E-2</v>
      </c>
      <c r="Q41" s="16" t="s">
        <v>51</v>
      </c>
      <c r="R41" s="7"/>
      <c r="S41" s="7" t="s">
        <v>52</v>
      </c>
      <c r="T41" s="19">
        <f>O33/1000</f>
        <v>35.750999999999998</v>
      </c>
      <c r="U41" s="14">
        <f>P33</f>
        <v>1.2312222337018288E-2</v>
      </c>
    </row>
    <row r="42" spans="1:48" ht="16" x14ac:dyDescent="0.2">
      <c r="A42" s="23" t="s">
        <v>53</v>
      </c>
      <c r="B42" s="22"/>
      <c r="C42" s="24">
        <f>C39+C23+C10</f>
        <v>244369</v>
      </c>
      <c r="D42" s="24">
        <f t="shared" ref="D42:M42" si="1">D39+D23+D10</f>
        <v>0</v>
      </c>
      <c r="E42" s="24">
        <f t="shared" si="1"/>
        <v>22200</v>
      </c>
      <c r="F42" s="24">
        <f t="shared" si="1"/>
        <v>15912</v>
      </c>
      <c r="G42" s="24">
        <f t="shared" si="1"/>
        <v>726528</v>
      </c>
      <c r="H42" s="24">
        <f t="shared" si="1"/>
        <v>0</v>
      </c>
      <c r="I42" s="24">
        <f t="shared" si="1"/>
        <v>1112000</v>
      </c>
      <c r="J42" s="24">
        <f t="shared" si="1"/>
        <v>0</v>
      </c>
      <c r="K42" s="24">
        <f t="shared" si="1"/>
        <v>0</v>
      </c>
      <c r="L42" s="24">
        <f t="shared" si="1"/>
        <v>91000</v>
      </c>
      <c r="M42" s="24">
        <f t="shared" si="1"/>
        <v>0</v>
      </c>
      <c r="N42" s="24">
        <f>N39+N23-B6+N45</f>
        <v>654175.28</v>
      </c>
      <c r="O42" s="25">
        <f>SUM(C42:N42)</f>
        <v>2866184.2800000003</v>
      </c>
      <c r="P42" s="7"/>
      <c r="Q42" s="7"/>
      <c r="R42" s="7"/>
      <c r="S42" s="7" t="s">
        <v>34</v>
      </c>
      <c r="T42" s="19">
        <f>O31/1000</f>
        <v>30.187999999999999</v>
      </c>
      <c r="U42" s="14">
        <f>P31</f>
        <v>1.0396390811722974E-2</v>
      </c>
    </row>
    <row r="43" spans="1:48" ht="16" x14ac:dyDescent="0.2">
      <c r="A43" s="23" t="s">
        <v>54</v>
      </c>
      <c r="B43" s="22"/>
      <c r="C43" s="16">
        <f t="shared" ref="C43:N43" si="2">C42/$O42</f>
        <v>8.5259346967041488E-2</v>
      </c>
      <c r="D43" s="16">
        <f t="shared" si="2"/>
        <v>0</v>
      </c>
      <c r="E43" s="16">
        <f t="shared" si="2"/>
        <v>7.7454894142396169E-3</v>
      </c>
      <c r="F43" s="16">
        <f t="shared" si="2"/>
        <v>5.5516318720441795E-3</v>
      </c>
      <c r="G43" s="16">
        <f t="shared" si="2"/>
        <v>0.25348265464633696</v>
      </c>
      <c r="H43" s="16">
        <f t="shared" si="2"/>
        <v>0</v>
      </c>
      <c r="I43" s="16">
        <f t="shared" si="2"/>
        <v>0.38797226255110151</v>
      </c>
      <c r="J43" s="16">
        <f t="shared" si="2"/>
        <v>0</v>
      </c>
      <c r="K43" s="16">
        <f t="shared" si="2"/>
        <v>0</v>
      </c>
      <c r="L43" s="16">
        <f t="shared" si="2"/>
        <v>3.1749528679991222E-2</v>
      </c>
      <c r="M43" s="16">
        <f t="shared" si="2"/>
        <v>0</v>
      </c>
      <c r="N43" s="16">
        <f t="shared" si="2"/>
        <v>0.22823908586924493</v>
      </c>
      <c r="O43" s="16">
        <f>SUM(C43:N43)</f>
        <v>0.99999999999999989</v>
      </c>
      <c r="P43" s="7"/>
      <c r="Q43" s="7"/>
      <c r="R43" s="7"/>
      <c r="S43" s="7" t="s">
        <v>55</v>
      </c>
      <c r="T43" s="19">
        <f>O32/1000</f>
        <v>2354.21</v>
      </c>
      <c r="U43" s="14">
        <f>P32</f>
        <v>0.81076213107414674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19">
        <f>O34/1000</f>
        <v>200.24100000000001</v>
      </c>
      <c r="U44" s="14">
        <f>P34</f>
        <v>6.8960636429383201E-2</v>
      </c>
    </row>
    <row r="45" spans="1:48" ht="16" x14ac:dyDescent="0.2">
      <c r="A45" s="6" t="s">
        <v>57</v>
      </c>
      <c r="B45" s="6">
        <f>B23-B39</f>
        <v>14973.738916256159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47709.279999999999</v>
      </c>
      <c r="O45" s="25">
        <f>B45+N45</f>
        <v>62683.018916256158</v>
      </c>
      <c r="P45" s="7"/>
      <c r="Q45" s="7"/>
      <c r="R45" s="7"/>
      <c r="S45" s="7" t="s">
        <v>58</v>
      </c>
      <c r="T45" s="19">
        <f>SUM(T39:T44)</f>
        <v>2903.6990000000001</v>
      </c>
      <c r="U45" s="14">
        <f>SUM(U39:U44)</f>
        <v>0.99999965561180559</v>
      </c>
    </row>
    <row r="46" spans="1:48" ht="16" x14ac:dyDescent="0.2">
      <c r="A46" s="6"/>
      <c r="B46" s="5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6"/>
      <c r="D48" s="27"/>
      <c r="E48" s="27"/>
      <c r="F48" s="37"/>
      <c r="G48" s="37"/>
      <c r="H48" s="3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3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/>
      <c r="B50" s="40"/>
      <c r="C50" s="40"/>
      <c r="D50" s="40"/>
      <c r="E50" s="74"/>
      <c r="F50" s="40"/>
      <c r="G50" s="40"/>
      <c r="I50" s="40"/>
      <c r="J50" s="40"/>
      <c r="K50" s="40"/>
      <c r="L50" s="75"/>
      <c r="M50" s="40"/>
      <c r="N50" s="40"/>
      <c r="O50" s="40"/>
      <c r="P50" s="40"/>
      <c r="Q50" s="40"/>
      <c r="R50" s="40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3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4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27"/>
      <c r="N51" s="9"/>
      <c r="O51" s="40"/>
      <c r="P51" s="27"/>
      <c r="Q51" s="27"/>
      <c r="R51" s="4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3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27"/>
      <c r="N52" s="9"/>
      <c r="O52" s="9"/>
      <c r="P52" s="27"/>
      <c r="Q52" s="27"/>
      <c r="R52" s="4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3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27"/>
      <c r="N53" s="9"/>
      <c r="O53" s="9"/>
      <c r="P53" s="27"/>
      <c r="Q53" s="27"/>
      <c r="R53" s="4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3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27"/>
      <c r="N54" s="9"/>
      <c r="O54" s="9"/>
      <c r="P54" s="27"/>
      <c r="Q54" s="27"/>
      <c r="R54" s="4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3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27"/>
      <c r="N55" s="9"/>
      <c r="O55" s="9"/>
      <c r="P55" s="27"/>
      <c r="Q55" s="27"/>
      <c r="R55" s="4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3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/>
      <c r="B56" s="76"/>
      <c r="C56" s="6"/>
      <c r="D56" s="6"/>
      <c r="E56" s="9"/>
      <c r="F56" s="18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3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/>
      <c r="B57" s="76"/>
      <c r="C57" s="6"/>
      <c r="D57" s="31"/>
      <c r="E57" s="9"/>
      <c r="F57" s="18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0"/>
    </row>
    <row r="58" spans="1:48" ht="16" x14ac:dyDescent="0.2">
      <c r="A58" s="5"/>
      <c r="B58" s="76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7"/>
      <c r="T58" s="6"/>
      <c r="U58" s="30"/>
    </row>
    <row r="59" spans="1:48" ht="16" x14ac:dyDescent="0.2">
      <c r="A59" s="5"/>
      <c r="B59" s="76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7"/>
      <c r="T59" s="6"/>
      <c r="U59" s="30"/>
    </row>
    <row r="60" spans="1:48" ht="16" x14ac:dyDescent="0.2">
      <c r="A60" s="5"/>
      <c r="B60" s="76"/>
      <c r="C60" s="6"/>
      <c r="D60" s="10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7"/>
      <c r="T60" s="6"/>
      <c r="U60" s="30"/>
    </row>
    <row r="61" spans="1:48" ht="16" x14ac:dyDescent="0.2">
      <c r="C61" s="10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7"/>
      <c r="T61" s="31"/>
      <c r="U61" s="32"/>
    </row>
    <row r="62" spans="1:48" ht="16" x14ac:dyDescent="0.2">
      <c r="E62" s="7"/>
      <c r="F62" s="7"/>
      <c r="G62" s="7"/>
      <c r="H62" s="7"/>
      <c r="I62" s="6"/>
      <c r="J62" s="7"/>
      <c r="K62" s="7"/>
      <c r="L62" s="6"/>
      <c r="M62" s="29"/>
      <c r="N62" s="7"/>
      <c r="O62" s="6"/>
      <c r="P62" s="14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 enableFormatConditionsCalculation="0"/>
  <dimension ref="A1:AP70"/>
  <sheetViews>
    <sheetView workbookViewId="0">
      <selection activeCell="U35" sqref="U35"/>
    </sheetView>
  </sheetViews>
  <sheetFormatPr baseColWidth="10" defaultColWidth="8.6640625" defaultRowHeight="15" x14ac:dyDescent="0.2"/>
  <cols>
    <col min="1" max="1" width="22" style="2" customWidth="1"/>
    <col min="2" max="21" width="8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69</v>
      </c>
      <c r="Q2" s="41"/>
      <c r="R2" s="8"/>
      <c r="AH2" s="41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1"/>
      <c r="R3" s="41"/>
      <c r="AH3" s="41"/>
      <c r="AI3" s="41"/>
    </row>
    <row r="4" spans="1:35" ht="16" x14ac:dyDescent="0.2">
      <c r="A4" s="81" t="s">
        <v>73</v>
      </c>
      <c r="B4" s="67">
        <f>0.95*212</f>
        <v>201.39999999999998</v>
      </c>
      <c r="Q4" s="41"/>
      <c r="R4" s="41"/>
      <c r="AH4" s="41"/>
      <c r="AI4" s="41"/>
    </row>
    <row r="5" spans="1:35" ht="16" x14ac:dyDescent="0.2">
      <c r="A5" s="41"/>
      <c r="Q5" s="41"/>
      <c r="R5" s="41"/>
      <c r="AH5" s="41"/>
      <c r="AI5" s="41"/>
    </row>
    <row r="6" spans="1:35" ht="16" x14ac:dyDescent="0.2">
      <c r="A6" s="8" t="s">
        <v>12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/>
      <c r="J6" s="40"/>
      <c r="K6" s="40"/>
      <c r="L6" s="40"/>
      <c r="M6" s="40"/>
      <c r="N6" s="40"/>
      <c r="O6" s="40">
        <v>0</v>
      </c>
      <c r="Q6" s="41"/>
      <c r="R6" s="41"/>
      <c r="AH6" s="41"/>
      <c r="AI6" s="41"/>
    </row>
    <row r="7" spans="1:35" ht="16" x14ac:dyDescent="0.2">
      <c r="A7" s="8" t="s">
        <v>13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/>
      <c r="J7" s="40"/>
      <c r="K7" s="40"/>
      <c r="L7" s="40"/>
      <c r="M7" s="40"/>
      <c r="N7" s="40"/>
      <c r="O7" s="40">
        <v>0</v>
      </c>
      <c r="P7" s="40"/>
      <c r="Q7" s="41"/>
      <c r="R7" s="41"/>
      <c r="AH7" s="41"/>
      <c r="AI7" s="41"/>
    </row>
    <row r="8" spans="1:35" ht="16" x14ac:dyDescent="0.2">
      <c r="A8" s="8" t="s">
        <v>14</v>
      </c>
      <c r="B8" s="40">
        <v>6901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>
        <v>0</v>
      </c>
      <c r="P8" s="40"/>
      <c r="Q8" s="41"/>
      <c r="R8" s="41"/>
      <c r="AH8" s="41"/>
      <c r="AI8" s="41"/>
    </row>
    <row r="9" spans="1:35" ht="16" x14ac:dyDescent="0.2">
      <c r="A9" s="8" t="s">
        <v>15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>
        <v>0</v>
      </c>
      <c r="P9" s="40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</row>
    <row r="10" spans="1:35" ht="16" x14ac:dyDescent="0.2">
      <c r="A10" s="8" t="s">
        <v>16</v>
      </c>
      <c r="B10" s="68">
        <f>SUM(B4:B9)</f>
        <v>7102.4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/>
      <c r="J10" s="40"/>
      <c r="K10" s="40"/>
      <c r="L10" s="40"/>
      <c r="M10" s="40"/>
      <c r="N10" s="40"/>
      <c r="O10" s="40">
        <v>0</v>
      </c>
      <c r="P10" s="40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</row>
    <row r="11" spans="1:35" ht="16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8" t="s">
        <v>69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/>
      <c r="J17" s="40"/>
      <c r="K17" s="40"/>
      <c r="L17" s="40"/>
      <c r="M17" s="40"/>
      <c r="N17" s="40"/>
      <c r="O17" s="40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8">
        <f>12935+1908</f>
        <v>14843</v>
      </c>
      <c r="C18" s="40">
        <v>388</v>
      </c>
      <c r="D18" s="40">
        <v>0</v>
      </c>
      <c r="E18" s="40">
        <v>0</v>
      </c>
      <c r="F18" s="40">
        <v>0</v>
      </c>
      <c r="G18" s="40">
        <v>15200</v>
      </c>
      <c r="H18" s="40">
        <v>0</v>
      </c>
      <c r="I18" s="40"/>
      <c r="J18" s="40"/>
      <c r="K18" s="40"/>
      <c r="L18" s="40"/>
      <c r="M18" s="40"/>
      <c r="N18" s="40"/>
      <c r="O18" s="40">
        <v>15588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/>
      <c r="J19" s="40"/>
      <c r="K19" s="40"/>
      <c r="L19" s="40"/>
      <c r="M19" s="40"/>
      <c r="N19" s="40"/>
      <c r="O19" s="40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/>
      <c r="L20" s="40"/>
      <c r="M20" s="40"/>
      <c r="N20" s="40"/>
      <c r="O20" s="40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/>
      <c r="J21" s="40"/>
      <c r="K21" s="40"/>
      <c r="L21" s="40"/>
      <c r="M21" s="40"/>
      <c r="N21" s="40"/>
      <c r="O21" s="40">
        <v>0</v>
      </c>
      <c r="P21" s="3"/>
      <c r="Q21" s="3"/>
      <c r="R21" s="3"/>
      <c r="S21" s="3" t="s">
        <v>26</v>
      </c>
      <c r="T21" s="12">
        <f>O42/1000</f>
        <v>160.38964000000001</v>
      </c>
      <c r="U21" s="3"/>
    </row>
    <row r="22" spans="1:21" ht="16" x14ac:dyDescent="0.2">
      <c r="A22" s="8" t="s">
        <v>25</v>
      </c>
      <c r="B22" s="68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/>
      <c r="L22" s="40"/>
      <c r="M22" s="40"/>
      <c r="N22" s="40"/>
      <c r="O22" s="40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0">
        <v>14843</v>
      </c>
      <c r="C23" s="40">
        <v>388</v>
      </c>
      <c r="D23" s="40">
        <v>0</v>
      </c>
      <c r="E23" s="40">
        <v>0</v>
      </c>
      <c r="F23" s="40">
        <v>0</v>
      </c>
      <c r="G23" s="40">
        <v>15200</v>
      </c>
      <c r="H23" s="40">
        <v>0</v>
      </c>
      <c r="I23" s="40"/>
      <c r="J23" s="40"/>
      <c r="K23" s="40"/>
      <c r="L23" s="40"/>
      <c r="M23" s="40"/>
      <c r="N23" s="40"/>
      <c r="O23" s="40">
        <v>15588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2">
        <f>N42/1000</f>
        <v>63.242640000000002</v>
      </c>
      <c r="U24" s="14">
        <f>N43</f>
        <v>0.39430626566653554</v>
      </c>
    </row>
    <row r="25" spans="1:21" ht="16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71</v>
      </c>
      <c r="T25" s="12">
        <f>G42/1000</f>
        <v>41.573</v>
      </c>
      <c r="U25" s="14">
        <f>G43</f>
        <v>0.25920003311934608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55" t="str">
        <f>J29</f>
        <v>Torv</v>
      </c>
      <c r="T26" s="12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2">
        <f>F42/1000</f>
        <v>4.1120000000000001</v>
      </c>
      <c r="U27" s="14">
        <f>F43</f>
        <v>2.5637566117113299E-2</v>
      </c>
    </row>
    <row r="28" spans="1:21" ht="16" x14ac:dyDescent="0.2">
      <c r="A28" s="8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</v>
      </c>
      <c r="U28" s="14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10" t="str">
        <f>D29</f>
        <v>Kol och koks</v>
      </c>
      <c r="T29" s="2">
        <f>D42/1000</f>
        <v>0</v>
      </c>
      <c r="U29" s="54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10" t="str">
        <f>K29</f>
        <v>Avfall</v>
      </c>
      <c r="T30" s="2">
        <f>K42/1000</f>
        <v>0</v>
      </c>
      <c r="U30" s="54">
        <f>K43</f>
        <v>0</v>
      </c>
    </row>
    <row r="31" spans="1:21" ht="16" x14ac:dyDescent="0.2">
      <c r="A31" s="8" t="s">
        <v>33</v>
      </c>
      <c r="B31" s="40">
        <v>0</v>
      </c>
      <c r="C31" s="40">
        <v>8454</v>
      </c>
      <c r="D31" s="40">
        <v>0</v>
      </c>
      <c r="E31" s="40">
        <v>0</v>
      </c>
      <c r="F31" s="40">
        <v>802</v>
      </c>
      <c r="G31" s="40">
        <v>0</v>
      </c>
      <c r="H31" s="40">
        <v>0</v>
      </c>
      <c r="I31" s="40"/>
      <c r="J31" s="40"/>
      <c r="K31" s="40"/>
      <c r="L31" s="40"/>
      <c r="M31" s="41"/>
      <c r="N31" s="40">
        <v>7990</v>
      </c>
      <c r="O31" s="40">
        <v>17245</v>
      </c>
      <c r="P31" s="16">
        <f>O31/O$39</f>
        <v>0.11266013810584631</v>
      </c>
      <c r="Q31" s="17" t="s">
        <v>34</v>
      </c>
      <c r="R31" s="3"/>
      <c r="S31" s="55" t="str">
        <f>I29</f>
        <v>Avlutar</v>
      </c>
      <c r="T31" s="12">
        <f>I42/1000</f>
        <v>0</v>
      </c>
      <c r="U31" s="14">
        <f>I43</f>
        <v>0</v>
      </c>
    </row>
    <row r="32" spans="1:21" ht="16" x14ac:dyDescent="0.2">
      <c r="A32" s="8" t="s">
        <v>36</v>
      </c>
      <c r="B32" s="40">
        <v>596</v>
      </c>
      <c r="C32" s="40">
        <v>451</v>
      </c>
      <c r="D32" s="40">
        <v>0</v>
      </c>
      <c r="E32" s="40">
        <v>0</v>
      </c>
      <c r="F32" s="40">
        <v>0</v>
      </c>
      <c r="G32" s="40">
        <v>75</v>
      </c>
      <c r="H32" s="40">
        <v>0</v>
      </c>
      <c r="I32" s="40"/>
      <c r="J32" s="40"/>
      <c r="K32" s="40"/>
      <c r="L32" s="40"/>
      <c r="M32" s="41"/>
      <c r="N32" s="40">
        <v>7985</v>
      </c>
      <c r="O32" s="40">
        <v>9107</v>
      </c>
      <c r="P32" s="16">
        <f>O32/O$39</f>
        <v>5.9495266902287174E-2</v>
      </c>
      <c r="Q32" s="17" t="s">
        <v>37</v>
      </c>
      <c r="R32" s="3"/>
      <c r="S32" s="55" t="str">
        <f>H29</f>
        <v>Biogas</v>
      </c>
      <c r="T32" s="12">
        <f>H42/1000</f>
        <v>0</v>
      </c>
      <c r="U32" s="14">
        <f>H43</f>
        <v>0</v>
      </c>
    </row>
    <row r="33" spans="1:42" ht="16" x14ac:dyDescent="0.2">
      <c r="A33" s="8" t="s">
        <v>38</v>
      </c>
      <c r="B33" s="40">
        <v>3406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/>
      <c r="J33" s="40"/>
      <c r="K33" s="40"/>
      <c r="L33" s="40"/>
      <c r="M33" s="41"/>
      <c r="N33" s="40">
        <v>2168</v>
      </c>
      <c r="O33" s="40">
        <v>5574</v>
      </c>
      <c r="P33" s="16">
        <f>O33/O$39</f>
        <v>3.6414474328906196E-2</v>
      </c>
      <c r="Q33" s="17" t="s">
        <v>39</v>
      </c>
      <c r="R33" s="3"/>
      <c r="S33" s="3" t="s">
        <v>35</v>
      </c>
      <c r="T33" s="12">
        <f>C42/1000</f>
        <v>51.462000000000003</v>
      </c>
      <c r="U33" s="14">
        <f>C43</f>
        <v>0.320856135097005</v>
      </c>
    </row>
    <row r="34" spans="1:42" ht="16" x14ac:dyDescent="0.2">
      <c r="A34" s="8" t="s">
        <v>40</v>
      </c>
      <c r="B34" s="40">
        <v>0</v>
      </c>
      <c r="C34" s="40">
        <v>40123</v>
      </c>
      <c r="D34" s="40">
        <v>0</v>
      </c>
      <c r="E34" s="40">
        <v>0</v>
      </c>
      <c r="F34" s="40">
        <v>3310</v>
      </c>
      <c r="G34" s="40">
        <v>0</v>
      </c>
      <c r="H34" s="40">
        <v>0</v>
      </c>
      <c r="I34" s="40"/>
      <c r="J34" s="40"/>
      <c r="K34" s="40"/>
      <c r="L34" s="40"/>
      <c r="M34" s="41"/>
      <c r="N34" s="40">
        <v>26</v>
      </c>
      <c r="O34" s="40">
        <v>43459</v>
      </c>
      <c r="P34" s="16">
        <f>O34/O$39</f>
        <v>0.28391400069248912</v>
      </c>
      <c r="Q34" s="17" t="s">
        <v>41</v>
      </c>
      <c r="R34" s="3"/>
      <c r="S34" s="3"/>
      <c r="T34" s="13">
        <f>SUM(T24:T33)</f>
        <v>160.38963999999999</v>
      </c>
      <c r="U34" s="14">
        <f>SUM(U24:U33)</f>
        <v>1</v>
      </c>
    </row>
    <row r="35" spans="1:42" ht="16" x14ac:dyDescent="0.2">
      <c r="A35" s="8" t="s">
        <v>42</v>
      </c>
      <c r="B35" s="40">
        <v>1425</v>
      </c>
      <c r="C35" s="40">
        <v>1744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/>
      <c r="J35" s="40"/>
      <c r="K35" s="40"/>
      <c r="L35" s="40"/>
      <c r="M35" s="41"/>
      <c r="N35" s="40">
        <v>8438</v>
      </c>
      <c r="O35" s="40">
        <v>11607</v>
      </c>
      <c r="P35" s="16">
        <f>O35/O$39</f>
        <v>7.5827557146683572E-2</v>
      </c>
      <c r="Q35" s="17" t="s">
        <v>43</v>
      </c>
      <c r="R35" s="17"/>
    </row>
    <row r="36" spans="1:42" ht="16" x14ac:dyDescent="0.2">
      <c r="A36" s="8" t="s">
        <v>44</v>
      </c>
      <c r="B36" s="40">
        <v>2702</v>
      </c>
      <c r="C36" s="40">
        <v>301</v>
      </c>
      <c r="D36" s="40">
        <v>0</v>
      </c>
      <c r="E36" s="40">
        <v>0</v>
      </c>
      <c r="F36" s="40">
        <v>0</v>
      </c>
      <c r="G36" s="40">
        <v>26298</v>
      </c>
      <c r="H36" s="40">
        <v>0</v>
      </c>
      <c r="I36" s="40"/>
      <c r="J36" s="40"/>
      <c r="K36" s="40"/>
      <c r="L36" s="40"/>
      <c r="M36" s="41"/>
      <c r="N36" s="40">
        <v>26383</v>
      </c>
      <c r="O36" s="40">
        <v>55685</v>
      </c>
      <c r="P36" s="17"/>
      <c r="Q36" s="17"/>
      <c r="R36" s="3"/>
      <c r="S36" s="7"/>
      <c r="T36" s="7"/>
      <c r="U36" s="7"/>
    </row>
    <row r="37" spans="1:42" ht="16" x14ac:dyDescent="0.2">
      <c r="A37" s="8" t="s">
        <v>45</v>
      </c>
      <c r="B37" s="40">
        <v>4825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/>
      <c r="J37" s="40"/>
      <c r="K37" s="40"/>
      <c r="L37" s="40"/>
      <c r="M37" s="41"/>
      <c r="N37" s="40">
        <v>1370</v>
      </c>
      <c r="O37" s="40">
        <v>6195</v>
      </c>
      <c r="P37" s="17"/>
      <c r="Q37" s="17"/>
      <c r="R37" s="3"/>
      <c r="S37" s="7"/>
      <c r="T37" s="7" t="s">
        <v>27</v>
      </c>
      <c r="U37" s="7" t="s">
        <v>28</v>
      </c>
    </row>
    <row r="38" spans="1:42" ht="16" x14ac:dyDescent="0.2">
      <c r="A38" s="8" t="s">
        <v>46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/>
      <c r="J38" s="40"/>
      <c r="K38" s="40"/>
      <c r="L38" s="40"/>
      <c r="M38" s="41"/>
      <c r="N38" s="40">
        <v>4198</v>
      </c>
      <c r="O38" s="40">
        <v>4198</v>
      </c>
      <c r="P38" s="17">
        <f>SUM(P31:P35)</f>
        <v>0.56831143717621235</v>
      </c>
      <c r="Q38" s="17"/>
      <c r="R38" s="3"/>
      <c r="S38" s="7" t="s">
        <v>47</v>
      </c>
      <c r="T38" s="19">
        <f>O45/1000</f>
        <v>6.5736400000000001</v>
      </c>
      <c r="U38" s="7"/>
    </row>
    <row r="39" spans="1:42" ht="16" x14ac:dyDescent="0.2">
      <c r="A39" s="8" t="s">
        <v>16</v>
      </c>
      <c r="B39" s="40">
        <v>12954</v>
      </c>
      <c r="C39" s="40">
        <v>51074</v>
      </c>
      <c r="D39" s="40">
        <v>0</v>
      </c>
      <c r="E39" s="40">
        <v>0</v>
      </c>
      <c r="F39" s="40">
        <v>4112</v>
      </c>
      <c r="G39" s="40">
        <v>26373</v>
      </c>
      <c r="H39" s="40">
        <v>0</v>
      </c>
      <c r="I39" s="40"/>
      <c r="J39" s="40"/>
      <c r="K39" s="40"/>
      <c r="L39" s="40"/>
      <c r="M39" s="41"/>
      <c r="N39" s="40">
        <v>58558</v>
      </c>
      <c r="O39" s="40">
        <v>153071</v>
      </c>
      <c r="P39" s="3"/>
      <c r="Q39" s="3"/>
      <c r="R39" s="3"/>
      <c r="S39" s="7" t="s">
        <v>48</v>
      </c>
      <c r="T39" s="19">
        <f>O41/1000</f>
        <v>66.078000000000003</v>
      </c>
      <c r="U39" s="14">
        <f>P41</f>
        <v>0.43168202990768989</v>
      </c>
    </row>
    <row r="40" spans="1:42" x14ac:dyDescent="0.2">
      <c r="S40" s="7" t="s">
        <v>49</v>
      </c>
      <c r="T40" s="19">
        <f>O35/1000</f>
        <v>11.606999999999999</v>
      </c>
      <c r="U40" s="14">
        <f>P35</f>
        <v>7.5827557146683572E-2</v>
      </c>
    </row>
    <row r="41" spans="1:42" ht="16" x14ac:dyDescent="0.2">
      <c r="A41" s="21" t="s">
        <v>50</v>
      </c>
      <c r="B41" s="22">
        <f>B38+B37+B36</f>
        <v>7527</v>
      </c>
      <c r="C41" s="22">
        <f t="shared" ref="C41:O41" si="0">C38+C37+C36</f>
        <v>301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26298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31951</v>
      </c>
      <c r="O41" s="22">
        <f t="shared" si="0"/>
        <v>66078</v>
      </c>
      <c r="P41" s="16">
        <f>O41/O$39</f>
        <v>0.43168202990768989</v>
      </c>
      <c r="Q41" s="16" t="s">
        <v>51</v>
      </c>
      <c r="R41" s="7"/>
      <c r="S41" s="7" t="s">
        <v>52</v>
      </c>
      <c r="T41" s="19">
        <f>O33/1000</f>
        <v>5.5739999999999998</v>
      </c>
      <c r="U41" s="14">
        <f>P33</f>
        <v>3.6414474328906196E-2</v>
      </c>
    </row>
    <row r="42" spans="1:42" ht="16" x14ac:dyDescent="0.2">
      <c r="A42" s="23" t="s">
        <v>53</v>
      </c>
      <c r="B42" s="22"/>
      <c r="C42" s="24">
        <f>C39+C23+C10</f>
        <v>51462</v>
      </c>
      <c r="D42" s="24">
        <f t="shared" ref="D42:M42" si="1">D39+D23+D10</f>
        <v>0</v>
      </c>
      <c r="E42" s="24">
        <f t="shared" si="1"/>
        <v>0</v>
      </c>
      <c r="F42" s="24">
        <f t="shared" si="1"/>
        <v>4112</v>
      </c>
      <c r="G42" s="24">
        <f t="shared" si="1"/>
        <v>41573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63242.64</v>
      </c>
      <c r="O42" s="25">
        <f>SUM(C42:N42)</f>
        <v>160389.64000000001</v>
      </c>
      <c r="P42" s="7"/>
      <c r="Q42" s="7"/>
      <c r="R42" s="7"/>
      <c r="S42" s="7" t="s">
        <v>34</v>
      </c>
      <c r="T42" s="19">
        <f>O31/1000</f>
        <v>17.245000000000001</v>
      </c>
      <c r="U42" s="14">
        <f>P31</f>
        <v>0.11266013810584631</v>
      </c>
    </row>
    <row r="43" spans="1:42" ht="16" x14ac:dyDescent="0.2">
      <c r="A43" s="23" t="s">
        <v>54</v>
      </c>
      <c r="B43" s="22"/>
      <c r="C43" s="16">
        <f t="shared" ref="C43:N43" si="2">C42/$O42</f>
        <v>0.320856135097005</v>
      </c>
      <c r="D43" s="16">
        <f t="shared" si="2"/>
        <v>0</v>
      </c>
      <c r="E43" s="16">
        <f t="shared" si="2"/>
        <v>0</v>
      </c>
      <c r="F43" s="16">
        <f t="shared" si="2"/>
        <v>2.5637566117113299E-2</v>
      </c>
      <c r="G43" s="16">
        <f t="shared" si="2"/>
        <v>0.25920003311934608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0.39430626566653554</v>
      </c>
      <c r="O43" s="16">
        <f>SUM(C43:N43)</f>
        <v>1</v>
      </c>
      <c r="P43" s="7"/>
      <c r="Q43" s="7"/>
      <c r="R43" s="7"/>
      <c r="S43" s="7" t="s">
        <v>55</v>
      </c>
      <c r="T43" s="19">
        <f>O32/1000</f>
        <v>9.1069999999999993</v>
      </c>
      <c r="U43" s="14">
        <f>P32</f>
        <v>5.9495266902287174E-2</v>
      </c>
    </row>
    <row r="44" spans="1:42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19">
        <f>O34/1000</f>
        <v>43.459000000000003</v>
      </c>
      <c r="U44" s="14">
        <f>P34</f>
        <v>0.28391400069248912</v>
      </c>
    </row>
    <row r="45" spans="1:42" ht="16" x14ac:dyDescent="0.2">
      <c r="A45" s="6" t="s">
        <v>57</v>
      </c>
      <c r="B45" s="6">
        <f>B23-B39</f>
        <v>1889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4684.6400000000003</v>
      </c>
      <c r="O45" s="25">
        <f>B45+N45</f>
        <v>6573.64</v>
      </c>
      <c r="P45" s="7"/>
      <c r="Q45" s="7"/>
      <c r="R45" s="7"/>
      <c r="S45" s="7" t="s">
        <v>58</v>
      </c>
      <c r="T45" s="19">
        <f>SUM(T39:T44)</f>
        <v>153.07</v>
      </c>
      <c r="U45" s="14">
        <f>SUM(U39:U44)</f>
        <v>0.99999346708390213</v>
      </c>
    </row>
    <row r="46" spans="1:42" ht="16" x14ac:dyDescent="0.2">
      <c r="A46" s="6"/>
      <c r="B46" s="48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2" ht="16" x14ac:dyDescent="0.2">
      <c r="A47" s="8"/>
      <c r="B47" s="8"/>
      <c r="C47" s="38"/>
      <c r="D47" s="39"/>
      <c r="E47" s="38"/>
      <c r="F47" s="38"/>
      <c r="G47" s="39"/>
      <c r="H47" s="38"/>
      <c r="I47" s="38"/>
      <c r="J47" s="38"/>
      <c r="K47" s="38"/>
      <c r="L47" s="38"/>
      <c r="M47" s="38"/>
      <c r="N47" s="41"/>
      <c r="O47" s="38"/>
      <c r="P47" s="38"/>
      <c r="Q47" s="41"/>
      <c r="R47" s="8"/>
      <c r="S47" s="8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1"/>
      <c r="AH47" s="8"/>
      <c r="AI47" s="8"/>
      <c r="AJ47" s="38"/>
      <c r="AK47" s="38"/>
      <c r="AL47" s="38"/>
      <c r="AM47" s="38"/>
      <c r="AN47" s="38"/>
      <c r="AO47" s="38"/>
      <c r="AP47" s="38"/>
    </row>
    <row r="48" spans="1:42" ht="16" x14ac:dyDescent="0.2">
      <c r="A48" s="41"/>
      <c r="B48" s="8"/>
      <c r="C48" s="38"/>
      <c r="D48" s="39"/>
      <c r="E48" s="38"/>
      <c r="F48" s="38"/>
      <c r="G48" s="39"/>
      <c r="H48" s="39"/>
      <c r="I48" s="38"/>
      <c r="J48" s="38"/>
      <c r="K48" s="38"/>
      <c r="L48" s="38"/>
      <c r="M48" s="38"/>
      <c r="N48" s="41"/>
      <c r="O48" s="38"/>
      <c r="P48" s="38"/>
      <c r="Q48" s="41"/>
      <c r="R48" s="41"/>
      <c r="S48" s="8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1"/>
      <c r="AH48" s="41"/>
      <c r="AI48" s="8"/>
      <c r="AJ48" s="38"/>
      <c r="AK48" s="38"/>
      <c r="AL48" s="38"/>
      <c r="AM48" s="38"/>
      <c r="AN48" s="38"/>
      <c r="AO48" s="38"/>
      <c r="AP48" s="38"/>
    </row>
    <row r="49" spans="1:42" ht="16" x14ac:dyDescent="0.2">
      <c r="A49" s="41"/>
      <c r="B49" s="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41"/>
      <c r="O49" s="38"/>
      <c r="P49" s="38"/>
      <c r="Q49" s="41"/>
      <c r="R49" s="41"/>
      <c r="S49" s="8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1"/>
      <c r="AH49" s="41"/>
      <c r="AI49" s="8"/>
      <c r="AJ49" s="39"/>
      <c r="AK49" s="38"/>
      <c r="AL49" s="38"/>
      <c r="AM49" s="38"/>
      <c r="AN49" s="38"/>
      <c r="AO49" s="38"/>
      <c r="AP49" s="38"/>
    </row>
    <row r="50" spans="1:42" ht="16" x14ac:dyDescent="0.2">
      <c r="A50" s="41"/>
      <c r="B50" s="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41"/>
      <c r="O50" s="38"/>
      <c r="P50" s="38"/>
      <c r="Q50" s="41"/>
      <c r="R50" s="41"/>
      <c r="S50" s="8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1"/>
      <c r="AH50" s="41"/>
      <c r="AI50" s="8"/>
      <c r="AJ50" s="39"/>
      <c r="AK50" s="38"/>
      <c r="AL50" s="38"/>
      <c r="AM50" s="38"/>
      <c r="AN50" s="38"/>
      <c r="AO50" s="38"/>
      <c r="AP50" s="38"/>
    </row>
    <row r="51" spans="1:42" ht="16" x14ac:dyDescent="0.2">
      <c r="A51" s="41"/>
      <c r="B51" s="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41"/>
      <c r="O51" s="38"/>
      <c r="P51" s="38"/>
      <c r="Q51" s="41"/>
      <c r="R51" s="41"/>
      <c r="S51" s="8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1"/>
      <c r="AH51" s="41"/>
      <c r="AI51" s="8"/>
      <c r="AJ51" s="38"/>
      <c r="AK51" s="38"/>
      <c r="AL51" s="38"/>
      <c r="AM51" s="38"/>
      <c r="AN51" s="38"/>
      <c r="AO51" s="38"/>
      <c r="AP51" s="38"/>
    </row>
    <row r="52" spans="1:42" ht="16" x14ac:dyDescent="0.2">
      <c r="A52" s="41"/>
      <c r="B52" s="8"/>
      <c r="C52" s="38"/>
      <c r="D52" s="39"/>
      <c r="E52" s="38"/>
      <c r="F52" s="38"/>
      <c r="G52" s="38"/>
      <c r="H52" s="39"/>
      <c r="I52" s="38"/>
      <c r="J52" s="38"/>
      <c r="K52" s="38"/>
      <c r="L52" s="38"/>
      <c r="M52" s="38"/>
      <c r="N52" s="41"/>
      <c r="O52" s="38"/>
      <c r="P52" s="38"/>
      <c r="Q52" s="41"/>
      <c r="R52" s="41"/>
      <c r="S52" s="8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1"/>
      <c r="AH52" s="41"/>
      <c r="AI52" s="8"/>
      <c r="AJ52" s="38"/>
      <c r="AK52" s="38"/>
      <c r="AL52" s="38"/>
      <c r="AM52" s="38"/>
      <c r="AN52" s="38"/>
      <c r="AO52" s="38"/>
      <c r="AP52" s="38"/>
    </row>
    <row r="53" spans="1:42" ht="16" x14ac:dyDescent="0.2">
      <c r="A53" s="41"/>
      <c r="B53" s="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41"/>
      <c r="O53" s="38"/>
      <c r="P53" s="38"/>
      <c r="Q53" s="41"/>
      <c r="R53" s="41"/>
      <c r="S53" s="8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1"/>
      <c r="AH53" s="41"/>
      <c r="AI53" s="8"/>
      <c r="AJ53" s="38"/>
      <c r="AK53" s="38"/>
      <c r="AL53" s="38"/>
      <c r="AM53" s="38"/>
      <c r="AN53" s="38"/>
      <c r="AO53" s="38"/>
      <c r="AP53" s="38"/>
    </row>
    <row r="54" spans="1:42" ht="16" x14ac:dyDescent="0.2">
      <c r="A54" s="41"/>
      <c r="B54" s="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41"/>
      <c r="O54" s="38"/>
      <c r="P54" s="38"/>
      <c r="Q54" s="41"/>
      <c r="R54" s="41"/>
      <c r="S54" s="8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1"/>
      <c r="AH54" s="41"/>
      <c r="AI54" s="8"/>
      <c r="AJ54" s="38"/>
      <c r="AK54" s="38"/>
      <c r="AL54" s="38"/>
      <c r="AM54" s="38"/>
      <c r="AN54" s="38"/>
      <c r="AO54" s="38"/>
      <c r="AP54" s="38"/>
    </row>
    <row r="55" spans="1:42" ht="16" x14ac:dyDescent="0.2">
      <c r="A55" s="41"/>
      <c r="B55" s="8"/>
      <c r="C55" s="38"/>
      <c r="D55" s="39"/>
      <c r="E55" s="38"/>
      <c r="F55" s="38"/>
      <c r="G55" s="38"/>
      <c r="H55" s="39"/>
      <c r="I55" s="38"/>
      <c r="J55" s="38"/>
      <c r="K55" s="38"/>
      <c r="L55" s="38"/>
      <c r="M55" s="38"/>
      <c r="N55" s="41"/>
      <c r="O55" s="38"/>
      <c r="P55" s="38"/>
      <c r="Q55" s="41"/>
      <c r="R55" s="41"/>
      <c r="S55" s="8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1"/>
      <c r="AH55" s="41"/>
      <c r="AI55" s="8"/>
      <c r="AJ55" s="38"/>
      <c r="AK55" s="38"/>
      <c r="AL55" s="38"/>
      <c r="AM55" s="38"/>
      <c r="AN55" s="38"/>
      <c r="AO55" s="38"/>
      <c r="AP55" s="38"/>
    </row>
    <row r="56" spans="1:42" ht="16" x14ac:dyDescent="0.2">
      <c r="A56" s="41"/>
      <c r="B56" s="8"/>
      <c r="C56" s="38"/>
      <c r="D56" s="39"/>
      <c r="E56" s="38"/>
      <c r="F56" s="38"/>
      <c r="G56" s="38"/>
      <c r="H56" s="39"/>
      <c r="I56" s="38"/>
      <c r="J56" s="38"/>
      <c r="K56" s="38"/>
      <c r="L56" s="38"/>
      <c r="M56" s="38"/>
      <c r="N56" s="41"/>
      <c r="O56" s="38"/>
      <c r="P56" s="38"/>
      <c r="Q56" s="41"/>
      <c r="R56" s="41"/>
      <c r="S56" s="8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1"/>
      <c r="AH56" s="41"/>
      <c r="AI56" s="8"/>
      <c r="AJ56" s="38"/>
      <c r="AK56" s="38"/>
      <c r="AL56" s="38"/>
      <c r="AM56" s="38"/>
      <c r="AN56" s="38"/>
      <c r="AO56" s="38"/>
      <c r="AP56" s="38"/>
    </row>
    <row r="57" spans="1:42" ht="16" x14ac:dyDescent="0.2">
      <c r="A57" s="7"/>
      <c r="B57" s="7"/>
      <c r="C57" s="28"/>
      <c r="D57" s="28"/>
      <c r="E57" s="28"/>
      <c r="F57" s="28"/>
      <c r="G57" s="28"/>
      <c r="H57" s="28"/>
      <c r="I57" s="38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2" ht="16" x14ac:dyDescent="0.2">
      <c r="A58" s="7"/>
      <c r="B58" s="7"/>
      <c r="C58" s="28"/>
      <c r="D58" s="28"/>
      <c r="E58" s="28"/>
      <c r="F58" s="28"/>
      <c r="G58" s="28"/>
      <c r="H58" s="28"/>
      <c r="I58" s="3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2" ht="16" x14ac:dyDescent="0.2">
      <c r="A59" s="7"/>
      <c r="B59" s="7"/>
      <c r="C59" s="28"/>
      <c r="D59" s="28"/>
      <c r="E59" s="28"/>
      <c r="F59" s="28"/>
      <c r="G59" s="28"/>
      <c r="H59" s="28"/>
      <c r="I59" s="38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2" ht="16" x14ac:dyDescent="0.2">
      <c r="A60" s="23"/>
      <c r="B60" s="7"/>
      <c r="C60" s="28"/>
      <c r="D60" s="28"/>
      <c r="E60" s="28"/>
      <c r="F60" s="28"/>
      <c r="G60" s="28"/>
      <c r="H60" s="28"/>
      <c r="I60" s="38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2" ht="16" x14ac:dyDescent="0.2">
      <c r="A61" s="7"/>
      <c r="B61" s="7"/>
      <c r="C61" s="7"/>
      <c r="D61" s="7"/>
      <c r="E61" s="7"/>
      <c r="F61" s="7"/>
      <c r="G61" s="7"/>
      <c r="H61" s="7"/>
      <c r="I61" s="38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2" ht="16" x14ac:dyDescent="0.2">
      <c r="A62" s="7"/>
      <c r="B62" s="7"/>
      <c r="C62" s="7"/>
      <c r="D62" s="7"/>
      <c r="E62" s="7"/>
      <c r="F62" s="7"/>
      <c r="G62" s="7"/>
      <c r="H62" s="7"/>
      <c r="I62" s="38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2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2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 enableFormatConditionsCalculation="0"/>
  <dimension ref="A1:AV70"/>
  <sheetViews>
    <sheetView workbookViewId="0">
      <selection activeCell="U35" sqref="U35"/>
    </sheetView>
  </sheetViews>
  <sheetFormatPr baseColWidth="10" defaultColWidth="8.6640625" defaultRowHeight="15" x14ac:dyDescent="0.2"/>
  <cols>
    <col min="1" max="1" width="22" style="2" customWidth="1"/>
    <col min="2" max="21" width="8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1</v>
      </c>
      <c r="Q2" s="41"/>
      <c r="R2" s="8"/>
      <c r="AH2" s="41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1"/>
      <c r="R3" s="41"/>
      <c r="AH3" s="41"/>
      <c r="AI3" s="41"/>
    </row>
    <row r="4" spans="1:35" ht="16" x14ac:dyDescent="0.2">
      <c r="A4" s="81" t="s">
        <v>73</v>
      </c>
      <c r="B4" s="67">
        <f>0.95*95</f>
        <v>90.25</v>
      </c>
      <c r="Q4" s="41"/>
      <c r="R4" s="41"/>
      <c r="AH4" s="41"/>
      <c r="AI4" s="41"/>
    </row>
    <row r="5" spans="1:35" ht="16" x14ac:dyDescent="0.2">
      <c r="A5" s="41"/>
      <c r="Q5" s="41"/>
      <c r="R5" s="41"/>
      <c r="AH5" s="41"/>
      <c r="AI5" s="41"/>
    </row>
    <row r="6" spans="1:35" ht="16" x14ac:dyDescent="0.2">
      <c r="A6" s="8" t="s">
        <v>12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/>
      <c r="J6" s="40"/>
      <c r="K6" s="40"/>
      <c r="L6" s="40"/>
      <c r="M6" s="40"/>
      <c r="N6" s="40"/>
      <c r="O6" s="40">
        <v>0</v>
      </c>
      <c r="Q6" s="41"/>
      <c r="R6" s="41"/>
      <c r="AH6" s="41"/>
      <c r="AI6" s="41"/>
    </row>
    <row r="7" spans="1:35" ht="16" x14ac:dyDescent="0.2">
      <c r="A7" s="8" t="s">
        <v>13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/>
      <c r="J7" s="40"/>
      <c r="K7" s="40"/>
      <c r="L7" s="40"/>
      <c r="M7" s="40"/>
      <c r="N7" s="40"/>
      <c r="O7" s="40">
        <v>0</v>
      </c>
      <c r="P7" s="40"/>
      <c r="Q7" s="41"/>
      <c r="R7" s="41"/>
      <c r="AH7" s="41"/>
      <c r="AI7" s="41"/>
    </row>
    <row r="8" spans="1:35" ht="16" x14ac:dyDescent="0.2">
      <c r="A8" s="8" t="s">
        <v>14</v>
      </c>
      <c r="B8" s="40">
        <v>5737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>
        <v>0</v>
      </c>
      <c r="P8" s="40"/>
      <c r="Q8" s="41"/>
      <c r="R8" s="41"/>
      <c r="AH8" s="41"/>
      <c r="AI8" s="41"/>
    </row>
    <row r="9" spans="1:35" ht="16" x14ac:dyDescent="0.2">
      <c r="A9" s="8" t="s">
        <v>15</v>
      </c>
      <c r="B9" s="80">
        <v>42956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>
        <v>0</v>
      </c>
      <c r="P9" s="40"/>
      <c r="Q9" s="41"/>
      <c r="R9" s="41"/>
      <c r="S9" s="8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  <c r="AI9" s="41"/>
    </row>
    <row r="10" spans="1:35" ht="16" x14ac:dyDescent="0.2">
      <c r="A10" s="8" t="s">
        <v>16</v>
      </c>
      <c r="B10" s="64">
        <f>SUM(B4:B9)</f>
        <v>48783.25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/>
      <c r="J10" s="40"/>
      <c r="K10" s="40"/>
      <c r="L10" s="40"/>
      <c r="M10" s="40"/>
      <c r="N10" s="40"/>
      <c r="O10" s="40">
        <v>0</v>
      </c>
      <c r="P10" s="40"/>
      <c r="Q10" s="41"/>
      <c r="R10" s="41"/>
      <c r="S10" s="8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/>
      <c r="AI10" s="41"/>
    </row>
    <row r="11" spans="1:35" ht="16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/>
      <c r="J17" s="40"/>
      <c r="K17" s="40"/>
      <c r="L17" s="40"/>
      <c r="M17" s="40"/>
      <c r="N17" s="40"/>
      <c r="O17" s="40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0">
        <v>31182</v>
      </c>
      <c r="C18" s="40">
        <v>239</v>
      </c>
      <c r="D18" s="40">
        <v>0</v>
      </c>
      <c r="E18" s="40">
        <v>0</v>
      </c>
      <c r="F18" s="40">
        <v>0</v>
      </c>
      <c r="G18" s="40">
        <v>33828</v>
      </c>
      <c r="H18" s="40">
        <v>0</v>
      </c>
      <c r="I18" s="40"/>
      <c r="J18" s="40"/>
      <c r="K18" s="40"/>
      <c r="L18" s="40"/>
      <c r="M18" s="40"/>
      <c r="N18" s="40"/>
      <c r="O18" s="40">
        <v>34067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/>
      <c r="J19" s="40"/>
      <c r="K19" s="40"/>
      <c r="L19" s="40"/>
      <c r="M19" s="40"/>
      <c r="N19" s="40"/>
      <c r="O19" s="40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/>
      <c r="L20" s="40"/>
      <c r="M20" s="40"/>
      <c r="N20" s="40"/>
      <c r="O20" s="40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/>
      <c r="J21" s="40"/>
      <c r="K21" s="40"/>
      <c r="L21" s="40"/>
      <c r="M21" s="40"/>
      <c r="N21" s="40"/>
      <c r="O21" s="40">
        <v>0</v>
      </c>
      <c r="P21" s="3"/>
      <c r="Q21" s="3"/>
      <c r="R21" s="3"/>
      <c r="S21" s="3" t="s">
        <v>26</v>
      </c>
      <c r="T21" s="12">
        <f>O42/1000</f>
        <v>346.54048</v>
      </c>
      <c r="U21" s="3"/>
    </row>
    <row r="22" spans="1:21" ht="16" x14ac:dyDescent="0.2">
      <c r="A22" s="8" t="s">
        <v>25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/>
      <c r="L22" s="40"/>
      <c r="M22" s="40"/>
      <c r="N22" s="40"/>
      <c r="O22" s="40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0">
        <v>31182</v>
      </c>
      <c r="C23" s="40">
        <v>239</v>
      </c>
      <c r="D23" s="40">
        <v>0</v>
      </c>
      <c r="E23" s="40">
        <v>0</v>
      </c>
      <c r="F23" s="40">
        <v>0</v>
      </c>
      <c r="G23" s="40">
        <v>33828</v>
      </c>
      <c r="H23" s="40">
        <v>0</v>
      </c>
      <c r="I23" s="40"/>
      <c r="J23" s="40"/>
      <c r="K23" s="40"/>
      <c r="L23" s="40"/>
      <c r="M23" s="40"/>
      <c r="N23" s="40"/>
      <c r="O23" s="40">
        <v>34067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2">
        <f>N42/1000</f>
        <v>90.618479999999991</v>
      </c>
      <c r="U24" s="14">
        <f>N43</f>
        <v>0.26149464558945612</v>
      </c>
    </row>
    <row r="25" spans="1:21" ht="16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71</v>
      </c>
      <c r="T25" s="12">
        <f>G42/1000</f>
        <v>110.874</v>
      </c>
      <c r="U25" s="14">
        <f>G43</f>
        <v>0.31994530624531947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55" t="str">
        <f>J29</f>
        <v>Torv</v>
      </c>
      <c r="T26" s="12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2">
        <f>F42/1000</f>
        <v>11.404</v>
      </c>
      <c r="U27" s="14">
        <f>F43</f>
        <v>3.2908132406349759E-2</v>
      </c>
    </row>
    <row r="28" spans="1:21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</v>
      </c>
      <c r="U28" s="14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10" t="str">
        <f>D29</f>
        <v>Kol och koks</v>
      </c>
      <c r="T29" s="2">
        <f>D42/1000</f>
        <v>0</v>
      </c>
      <c r="U29" s="54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10" t="str">
        <f>K29</f>
        <v>Avfall</v>
      </c>
      <c r="T30" s="2">
        <f>K42/1000</f>
        <v>0</v>
      </c>
      <c r="U30" s="54">
        <f>K43</f>
        <v>0</v>
      </c>
    </row>
    <row r="31" spans="1:21" ht="16" x14ac:dyDescent="0.2">
      <c r="A31" s="8" t="s">
        <v>33</v>
      </c>
      <c r="B31" s="40">
        <v>0</v>
      </c>
      <c r="C31" s="40">
        <v>2212</v>
      </c>
      <c r="D31" s="40">
        <v>0</v>
      </c>
      <c r="E31" s="40">
        <v>0</v>
      </c>
      <c r="F31" s="40">
        <v>217</v>
      </c>
      <c r="G31" s="40">
        <v>0</v>
      </c>
      <c r="H31" s="40">
        <v>0</v>
      </c>
      <c r="I31" s="40"/>
      <c r="J31" s="40"/>
      <c r="K31" s="40"/>
      <c r="L31" s="40"/>
      <c r="M31" s="41"/>
      <c r="N31" s="40">
        <v>966</v>
      </c>
      <c r="O31" s="40">
        <v>3395</v>
      </c>
      <c r="P31" s="16">
        <f>O31/O$39</f>
        <v>1.0196021899673547E-2</v>
      </c>
      <c r="Q31" s="17" t="s">
        <v>34</v>
      </c>
      <c r="R31" s="3"/>
      <c r="S31" s="55" t="str">
        <f>I29</f>
        <v>Avlutar</v>
      </c>
      <c r="T31" s="12">
        <f>I42/1000</f>
        <v>0</v>
      </c>
      <c r="U31" s="14">
        <f>I43</f>
        <v>0</v>
      </c>
    </row>
    <row r="32" spans="1:21" ht="16" x14ac:dyDescent="0.2">
      <c r="A32" s="8" t="s">
        <v>36</v>
      </c>
      <c r="B32" s="40">
        <v>8699</v>
      </c>
      <c r="C32" s="40">
        <v>1593</v>
      </c>
      <c r="D32" s="40">
        <v>0</v>
      </c>
      <c r="E32" s="40">
        <v>0</v>
      </c>
      <c r="F32" s="40">
        <v>0</v>
      </c>
      <c r="G32" s="64">
        <f>O32-N32-C32-B32</f>
        <v>65358</v>
      </c>
      <c r="H32" s="40">
        <v>0</v>
      </c>
      <c r="I32" s="40"/>
      <c r="J32" s="40"/>
      <c r="K32" s="40"/>
      <c r="L32" s="40"/>
      <c r="M32" s="41"/>
      <c r="N32" s="64">
        <v>36885</v>
      </c>
      <c r="O32" s="40">
        <v>112535</v>
      </c>
      <c r="P32" s="16">
        <f>O32/O$39</f>
        <v>0.33797034594396541</v>
      </c>
      <c r="Q32" s="17" t="s">
        <v>37</v>
      </c>
      <c r="R32" s="3"/>
      <c r="S32" s="55" t="str">
        <f>H29</f>
        <v>Biogas</v>
      </c>
      <c r="T32" s="12">
        <f>H42/1000</f>
        <v>0</v>
      </c>
      <c r="U32" s="14">
        <f>H43</f>
        <v>0</v>
      </c>
    </row>
    <row r="33" spans="1:48" ht="16" x14ac:dyDescent="0.2">
      <c r="A33" s="8" t="s">
        <v>38</v>
      </c>
      <c r="B33" s="40">
        <v>4837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/>
      <c r="J33" s="40"/>
      <c r="K33" s="40"/>
      <c r="L33" s="40"/>
      <c r="M33" s="41"/>
      <c r="N33" s="40">
        <v>2263</v>
      </c>
      <c r="O33" s="40">
        <v>7100</v>
      </c>
      <c r="P33" s="16">
        <f>O33/O$39</f>
        <v>2.1323050217284884E-2</v>
      </c>
      <c r="Q33" s="17" t="s">
        <v>39</v>
      </c>
      <c r="R33" s="3"/>
      <c r="S33" s="3" t="s">
        <v>35</v>
      </c>
      <c r="T33" s="12">
        <f>C42/1000</f>
        <v>133.64400000000001</v>
      </c>
      <c r="U33" s="14">
        <f>C43</f>
        <v>0.3856519157588747</v>
      </c>
    </row>
    <row r="34" spans="1:48" ht="16" x14ac:dyDescent="0.2">
      <c r="A34" s="8" t="s">
        <v>40</v>
      </c>
      <c r="B34" s="40">
        <v>0</v>
      </c>
      <c r="C34" s="40">
        <v>127552</v>
      </c>
      <c r="D34" s="40">
        <v>0</v>
      </c>
      <c r="E34" s="40">
        <v>0</v>
      </c>
      <c r="F34" s="40">
        <v>11187</v>
      </c>
      <c r="G34" s="40">
        <v>0</v>
      </c>
      <c r="H34" s="40">
        <v>0</v>
      </c>
      <c r="I34" s="40"/>
      <c r="J34" s="40"/>
      <c r="K34" s="40"/>
      <c r="L34" s="40"/>
      <c r="M34" s="41"/>
      <c r="N34" s="40">
        <v>118</v>
      </c>
      <c r="O34" s="40">
        <v>138857</v>
      </c>
      <c r="P34" s="16">
        <f>O34/O$39</f>
        <v>0.4170218005664123</v>
      </c>
      <c r="Q34" s="17" t="s">
        <v>41</v>
      </c>
      <c r="R34" s="3"/>
      <c r="S34" s="3"/>
      <c r="T34" s="13">
        <f>SUM(T24:T33)</f>
        <v>346.54048</v>
      </c>
      <c r="U34" s="14">
        <f>SUM(U24:U33)</f>
        <v>1</v>
      </c>
    </row>
    <row r="35" spans="1:48" ht="16" x14ac:dyDescent="0.2">
      <c r="A35" s="8" t="s">
        <v>42</v>
      </c>
      <c r="B35" s="40">
        <v>2897</v>
      </c>
      <c r="C35" s="40">
        <v>1595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/>
      <c r="J35" s="40"/>
      <c r="K35" s="40"/>
      <c r="L35" s="40"/>
      <c r="M35" s="41"/>
      <c r="N35" s="40">
        <v>15602</v>
      </c>
      <c r="O35" s="40">
        <v>20094</v>
      </c>
      <c r="P35" s="16">
        <f>O35/O$39</f>
        <v>6.0347235361425701E-2</v>
      </c>
      <c r="Q35" s="17" t="s">
        <v>43</v>
      </c>
      <c r="R35" s="17"/>
    </row>
    <row r="36" spans="1:48" ht="16" x14ac:dyDescent="0.2">
      <c r="A36" s="8" t="s">
        <v>44</v>
      </c>
      <c r="B36" s="40">
        <v>1957</v>
      </c>
      <c r="C36" s="40">
        <v>296</v>
      </c>
      <c r="D36" s="40">
        <v>0</v>
      </c>
      <c r="E36" s="40">
        <v>0</v>
      </c>
      <c r="F36" s="40">
        <v>0</v>
      </c>
      <c r="G36" s="40">
        <v>11688</v>
      </c>
      <c r="H36" s="40">
        <v>0</v>
      </c>
      <c r="I36" s="40"/>
      <c r="J36" s="40"/>
      <c r="K36" s="40"/>
      <c r="L36" s="40"/>
      <c r="M36" s="41"/>
      <c r="N36" s="40">
        <v>25432</v>
      </c>
      <c r="O36" s="40">
        <v>39372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45</v>
      </c>
      <c r="B37" s="40">
        <v>8821</v>
      </c>
      <c r="C37" s="40">
        <v>158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/>
      <c r="J37" s="40"/>
      <c r="K37" s="40"/>
      <c r="L37" s="40"/>
      <c r="M37" s="41"/>
      <c r="N37" s="40">
        <v>2111</v>
      </c>
      <c r="O37" s="40">
        <v>11090</v>
      </c>
      <c r="P37" s="17"/>
      <c r="Q37" s="17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/>
      <c r="J38" s="40"/>
      <c r="K38" s="40"/>
      <c r="L38" s="40"/>
      <c r="M38" s="41"/>
      <c r="N38" s="40">
        <v>529</v>
      </c>
      <c r="O38" s="40">
        <v>529</v>
      </c>
      <c r="P38" s="17">
        <f>SUM(P31:P35)</f>
        <v>0.84685845398876192</v>
      </c>
      <c r="Q38" s="17"/>
      <c r="R38" s="3"/>
      <c r="S38" s="7" t="s">
        <v>47</v>
      </c>
      <c r="T38" s="19">
        <f>O45/1000</f>
        <v>10.683479999999999</v>
      </c>
      <c r="U38" s="7"/>
    </row>
    <row r="39" spans="1:48" ht="16" x14ac:dyDescent="0.2">
      <c r="A39" s="8" t="s">
        <v>16</v>
      </c>
      <c r="B39" s="40">
        <v>27211</v>
      </c>
      <c r="C39" s="40">
        <v>133405</v>
      </c>
      <c r="D39" s="40">
        <v>0</v>
      </c>
      <c r="E39" s="40">
        <v>0</v>
      </c>
      <c r="F39" s="40">
        <v>11404</v>
      </c>
      <c r="G39" s="64">
        <f>SUM(G31:G38)</f>
        <v>77046</v>
      </c>
      <c r="H39" s="40">
        <v>0</v>
      </c>
      <c r="I39" s="40"/>
      <c r="J39" s="40"/>
      <c r="K39" s="40"/>
      <c r="L39" s="40"/>
      <c r="M39" s="41"/>
      <c r="N39" s="64">
        <f>SUM(N31:N38)</f>
        <v>83906</v>
      </c>
      <c r="O39" s="40">
        <v>332973</v>
      </c>
      <c r="P39" s="3"/>
      <c r="Q39" s="3"/>
      <c r="R39" s="3"/>
      <c r="S39" s="7" t="s">
        <v>48</v>
      </c>
      <c r="T39" s="19">
        <f>O41/1000</f>
        <v>50.991</v>
      </c>
      <c r="U39" s="14">
        <f>P41</f>
        <v>0.15313854276472866</v>
      </c>
    </row>
    <row r="40" spans="1:48" x14ac:dyDescent="0.2">
      <c r="S40" s="7" t="s">
        <v>49</v>
      </c>
      <c r="T40" s="19">
        <f>O35/1000</f>
        <v>20.094000000000001</v>
      </c>
      <c r="U40" s="14">
        <f>P35</f>
        <v>6.0347235361425701E-2</v>
      </c>
    </row>
    <row r="41" spans="1:48" ht="16" x14ac:dyDescent="0.2">
      <c r="A41" s="21" t="s">
        <v>50</v>
      </c>
      <c r="B41" s="22">
        <f>B38+B37+B36</f>
        <v>10778</v>
      </c>
      <c r="C41" s="22">
        <f t="shared" ref="C41:O41" si="0">C38+C37+C36</f>
        <v>454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11688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28072</v>
      </c>
      <c r="O41" s="22">
        <f t="shared" si="0"/>
        <v>50991</v>
      </c>
      <c r="P41" s="16">
        <f>O41/O$39</f>
        <v>0.15313854276472866</v>
      </c>
      <c r="Q41" s="16" t="s">
        <v>51</v>
      </c>
      <c r="R41" s="7"/>
      <c r="S41" s="7" t="s">
        <v>52</v>
      </c>
      <c r="T41" s="19">
        <f>O33/1000</f>
        <v>7.1</v>
      </c>
      <c r="U41" s="14">
        <f>P33</f>
        <v>2.1323050217284884E-2</v>
      </c>
    </row>
    <row r="42" spans="1:48" ht="16" x14ac:dyDescent="0.2">
      <c r="A42" s="23" t="s">
        <v>53</v>
      </c>
      <c r="B42" s="22"/>
      <c r="C42" s="24">
        <f>C39+C23+C10</f>
        <v>133644</v>
      </c>
      <c r="D42" s="24">
        <f t="shared" ref="D42:M42" si="1">D39+D23+D10</f>
        <v>0</v>
      </c>
      <c r="E42" s="24">
        <f t="shared" si="1"/>
        <v>0</v>
      </c>
      <c r="F42" s="24">
        <f t="shared" si="1"/>
        <v>11404</v>
      </c>
      <c r="G42" s="24">
        <f t="shared" si="1"/>
        <v>110874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90618.48</v>
      </c>
      <c r="O42" s="25">
        <f>SUM(C42:N42)</f>
        <v>346540.48</v>
      </c>
      <c r="P42" s="7"/>
      <c r="Q42" s="7"/>
      <c r="R42" s="7"/>
      <c r="S42" s="7" t="s">
        <v>34</v>
      </c>
      <c r="T42" s="19">
        <f>O31/1000</f>
        <v>3.395</v>
      </c>
      <c r="U42" s="14">
        <f>P31</f>
        <v>1.0196021899673547E-2</v>
      </c>
    </row>
    <row r="43" spans="1:48" ht="16" x14ac:dyDescent="0.2">
      <c r="A43" s="23" t="s">
        <v>54</v>
      </c>
      <c r="B43" s="22"/>
      <c r="C43" s="16">
        <f t="shared" ref="C43:N43" si="2">C42/$O42</f>
        <v>0.3856519157588747</v>
      </c>
      <c r="D43" s="16">
        <f t="shared" si="2"/>
        <v>0</v>
      </c>
      <c r="E43" s="16">
        <f t="shared" si="2"/>
        <v>0</v>
      </c>
      <c r="F43" s="16">
        <f t="shared" si="2"/>
        <v>3.2908132406349759E-2</v>
      </c>
      <c r="G43" s="16">
        <f t="shared" si="2"/>
        <v>0.31994530624531947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0.26149464558945612</v>
      </c>
      <c r="O43" s="16">
        <f>SUM(C43:N43)</f>
        <v>1</v>
      </c>
      <c r="P43" s="7"/>
      <c r="Q43" s="7"/>
      <c r="R43" s="7"/>
      <c r="S43" s="7" t="s">
        <v>55</v>
      </c>
      <c r="T43" s="19">
        <f>O32/1000</f>
        <v>112.535</v>
      </c>
      <c r="U43" s="14">
        <f>P32</f>
        <v>0.33797034594396541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19">
        <f>O34/1000</f>
        <v>138.857</v>
      </c>
      <c r="U44" s="14">
        <f>P34</f>
        <v>0.4170218005664123</v>
      </c>
    </row>
    <row r="45" spans="1:48" ht="16" x14ac:dyDescent="0.2">
      <c r="A45" s="6" t="s">
        <v>57</v>
      </c>
      <c r="B45" s="6">
        <f>B23-B39</f>
        <v>3971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6712.4800000000005</v>
      </c>
      <c r="O45" s="25">
        <f>B45+N45</f>
        <v>10683.48</v>
      </c>
      <c r="P45" s="7"/>
      <c r="Q45" s="7"/>
      <c r="R45" s="7"/>
      <c r="S45" s="7" t="s">
        <v>58</v>
      </c>
      <c r="T45" s="19">
        <f>SUM(T39:T44)</f>
        <v>332.97199999999998</v>
      </c>
      <c r="U45" s="14">
        <f>SUM(U39:U44)</f>
        <v>0.99999699675349052</v>
      </c>
    </row>
    <row r="46" spans="1:48" ht="16" x14ac:dyDescent="0.2">
      <c r="A46" s="6"/>
      <c r="B46" s="4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7"/>
      <c r="O47" s="9"/>
      <c r="P47" s="9"/>
      <c r="Q47" s="27"/>
      <c r="R47" s="4"/>
      <c r="S47" s="4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27"/>
      <c r="AH47" s="4"/>
      <c r="AI47" s="4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 x14ac:dyDescent="0.2">
      <c r="A48" s="27"/>
      <c r="B48" s="4"/>
      <c r="C48" s="9"/>
      <c r="D48" s="9"/>
      <c r="E48" s="9"/>
      <c r="F48" s="9"/>
      <c r="G48" s="9"/>
      <c r="H48" s="18"/>
      <c r="I48" s="9"/>
      <c r="J48" s="9"/>
      <c r="K48" s="9"/>
      <c r="L48" s="9"/>
      <c r="M48" s="9"/>
      <c r="N48" s="27"/>
      <c r="O48" s="9"/>
      <c r="P48" s="18"/>
      <c r="Q48" s="27"/>
      <c r="R48" s="27"/>
      <c r="S48" s="4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27"/>
      <c r="AH48" s="27"/>
      <c r="AI48" s="4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7"/>
      <c r="Q49" s="27"/>
      <c r="R49" s="27"/>
      <c r="S49" s="4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27"/>
      <c r="AH49" s="27"/>
      <c r="AI49" s="4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 ht="16" x14ac:dyDescent="0.2">
      <c r="A50" s="4"/>
      <c r="B50" s="40"/>
      <c r="C50" s="40"/>
      <c r="D50" s="40"/>
      <c r="E50" s="74"/>
      <c r="F50" s="40"/>
      <c r="G50" s="40"/>
      <c r="I50" s="40"/>
      <c r="J50" s="40"/>
      <c r="K50" s="40"/>
      <c r="L50" s="75"/>
      <c r="M50" s="40"/>
      <c r="N50" s="40"/>
      <c r="O50" s="40"/>
      <c r="P50" s="40"/>
      <c r="Q50" s="40"/>
      <c r="R50" s="40"/>
      <c r="S50" s="4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27"/>
      <c r="AH50" s="27"/>
      <c r="AI50" s="4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 x14ac:dyDescent="0.2">
      <c r="A51" s="2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27"/>
      <c r="N51" s="9"/>
      <c r="O51" s="9"/>
      <c r="P51" s="27"/>
      <c r="Q51" s="27"/>
      <c r="R51" s="4"/>
      <c r="S51" s="4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27"/>
      <c r="AH51" s="27"/>
      <c r="AI51" s="4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 x14ac:dyDescent="0.2">
      <c r="A52" s="2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27"/>
      <c r="N52" s="9"/>
      <c r="O52" s="9"/>
      <c r="P52" s="27"/>
      <c r="Q52" s="27"/>
      <c r="R52" s="4"/>
      <c r="S52" s="4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27"/>
      <c r="AH52" s="27"/>
      <c r="AI52" s="4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 x14ac:dyDescent="0.2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27"/>
      <c r="N53" s="9"/>
      <c r="O53" s="9"/>
      <c r="P53" s="27"/>
      <c r="Q53" s="27"/>
      <c r="R53" s="4"/>
      <c r="S53" s="4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27"/>
      <c r="AH53" s="27"/>
      <c r="AI53" s="4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27"/>
      <c r="N54" s="9"/>
      <c r="O54" s="9"/>
      <c r="P54" s="27"/>
      <c r="Q54" s="27"/>
      <c r="R54" s="4"/>
      <c r="S54" s="4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27"/>
      <c r="AH54" s="27"/>
      <c r="AI54" s="4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27"/>
      <c r="N55" s="9"/>
      <c r="O55" s="9"/>
      <c r="P55" s="27"/>
      <c r="Q55" s="27"/>
      <c r="R55" s="4"/>
      <c r="S55" s="4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27"/>
      <c r="AH55" s="27"/>
      <c r="AI55" s="4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 x14ac:dyDescent="0.2">
      <c r="A56" s="5"/>
      <c r="B56" s="76"/>
      <c r="C56" s="6"/>
      <c r="D56" s="6"/>
      <c r="E56" s="9"/>
      <c r="F56" s="18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4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27"/>
      <c r="AH56" s="27"/>
      <c r="AI56" s="4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 ht="16" x14ac:dyDescent="0.2">
      <c r="A57" s="5"/>
      <c r="B57" s="76"/>
      <c r="C57" s="6"/>
      <c r="D57" s="31"/>
      <c r="E57" s="9"/>
      <c r="F57" s="18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0"/>
    </row>
    <row r="58" spans="1:48" ht="16" x14ac:dyDescent="0.2">
      <c r="A58" s="5"/>
      <c r="B58" s="76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7"/>
      <c r="T58" s="6"/>
      <c r="U58" s="30"/>
    </row>
    <row r="59" spans="1:48" ht="16" x14ac:dyDescent="0.2">
      <c r="A59" s="5"/>
      <c r="B59" s="76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7"/>
      <c r="T59" s="6"/>
      <c r="U59" s="30"/>
    </row>
    <row r="60" spans="1:48" ht="16" x14ac:dyDescent="0.2">
      <c r="A60" s="5"/>
      <c r="B60" s="76"/>
      <c r="C60" s="6"/>
      <c r="D60" s="10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7"/>
      <c r="T60" s="6"/>
      <c r="U60" s="30"/>
    </row>
    <row r="61" spans="1:48" ht="16" x14ac:dyDescent="0.2">
      <c r="C61" s="10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7"/>
      <c r="T61" s="31"/>
      <c r="U61" s="32"/>
    </row>
    <row r="62" spans="1:48" ht="16" x14ac:dyDescent="0.2">
      <c r="E62" s="7"/>
      <c r="F62" s="7"/>
      <c r="G62" s="7"/>
      <c r="H62" s="7"/>
      <c r="I62" s="6"/>
      <c r="J62" s="7"/>
      <c r="K62" s="7"/>
      <c r="L62" s="6"/>
      <c r="M62" s="29"/>
      <c r="N62" s="7"/>
      <c r="O62" s="6"/>
      <c r="P62" s="14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 enableFormatConditionsCalculation="0"/>
  <dimension ref="A1:AV70"/>
  <sheetViews>
    <sheetView workbookViewId="0">
      <selection activeCell="U35" sqref="U35"/>
    </sheetView>
  </sheetViews>
  <sheetFormatPr baseColWidth="10" defaultColWidth="8.6640625" defaultRowHeight="15" x14ac:dyDescent="0.2"/>
  <cols>
    <col min="1" max="1" width="22" style="2" customWidth="1"/>
    <col min="2" max="21" width="8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59</v>
      </c>
      <c r="Q2" s="41"/>
      <c r="R2" s="8"/>
      <c r="AH2" s="41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1"/>
      <c r="R3" s="41"/>
      <c r="AH3" s="41"/>
      <c r="AI3" s="41"/>
    </row>
    <row r="4" spans="1:35" ht="16" x14ac:dyDescent="0.2">
      <c r="A4" s="81" t="s">
        <v>73</v>
      </c>
      <c r="B4" s="67">
        <f>0.95*352</f>
        <v>334.4</v>
      </c>
      <c r="Q4" s="41"/>
      <c r="R4" s="41"/>
      <c r="AH4" s="41"/>
      <c r="AI4" s="41"/>
    </row>
    <row r="5" spans="1:35" ht="16" x14ac:dyDescent="0.2">
      <c r="A5" s="41"/>
      <c r="Q5" s="41"/>
      <c r="R5" s="41"/>
      <c r="AH5" s="41"/>
      <c r="AI5" s="41"/>
    </row>
    <row r="6" spans="1:35" ht="16" x14ac:dyDescent="0.2">
      <c r="A6" s="8" t="s">
        <v>12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/>
      <c r="J6" s="40"/>
      <c r="K6" s="40"/>
      <c r="L6" s="40"/>
      <c r="M6" s="40"/>
      <c r="N6" s="40"/>
      <c r="O6" s="40">
        <v>0</v>
      </c>
      <c r="Q6" s="41"/>
      <c r="R6" s="41"/>
      <c r="AH6" s="41"/>
      <c r="AI6" s="41"/>
    </row>
    <row r="7" spans="1:35" ht="16" x14ac:dyDescent="0.2">
      <c r="A7" s="8" t="s">
        <v>13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/>
      <c r="J7" s="40"/>
      <c r="K7" s="40"/>
      <c r="L7" s="40"/>
      <c r="M7" s="40"/>
      <c r="N7" s="40"/>
      <c r="O7" s="40">
        <v>0</v>
      </c>
      <c r="P7" s="40"/>
      <c r="Q7" s="41"/>
      <c r="R7" s="41"/>
      <c r="AH7" s="41"/>
      <c r="AI7" s="41"/>
    </row>
    <row r="8" spans="1:35" ht="16" x14ac:dyDescent="0.2">
      <c r="A8" s="8" t="s">
        <v>14</v>
      </c>
      <c r="B8" s="64">
        <v>72009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>
        <v>0</v>
      </c>
      <c r="P8" s="40"/>
      <c r="Q8" s="41"/>
      <c r="R8" s="41"/>
      <c r="AH8" s="41"/>
      <c r="AI8" s="41"/>
    </row>
    <row r="9" spans="1:35" ht="16" x14ac:dyDescent="0.2">
      <c r="A9" s="8" t="s">
        <v>15</v>
      </c>
      <c r="B9" s="80">
        <v>20196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>
        <v>0</v>
      </c>
      <c r="P9" s="40"/>
      <c r="Q9" s="41"/>
      <c r="R9" s="41"/>
      <c r="S9" s="8"/>
      <c r="T9" s="53"/>
      <c r="U9" s="40"/>
      <c r="V9" s="40"/>
      <c r="W9" s="40"/>
      <c r="X9" s="40"/>
      <c r="Y9" s="53"/>
      <c r="Z9" s="40"/>
      <c r="AA9" s="40"/>
      <c r="AB9" s="40"/>
      <c r="AC9" s="40"/>
      <c r="AD9" s="40"/>
      <c r="AE9" s="40"/>
      <c r="AF9" s="40"/>
      <c r="AG9" s="53"/>
      <c r="AH9" s="41"/>
      <c r="AI9" s="41"/>
    </row>
    <row r="10" spans="1:35" ht="16" x14ac:dyDescent="0.2">
      <c r="A10" s="8" t="s">
        <v>16</v>
      </c>
      <c r="B10" s="64">
        <f>SUM(B4:B9)</f>
        <v>92539.4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/>
      <c r="J10" s="40"/>
      <c r="K10" s="40"/>
      <c r="L10" s="40"/>
      <c r="M10" s="40"/>
      <c r="N10" s="40"/>
      <c r="O10" s="40">
        <v>0</v>
      </c>
      <c r="P10" s="40"/>
      <c r="Q10" s="41"/>
      <c r="R10" s="41"/>
      <c r="S10" s="8"/>
      <c r="T10" s="53"/>
      <c r="U10" s="40"/>
      <c r="V10" s="40"/>
      <c r="W10" s="40"/>
      <c r="X10" s="40"/>
      <c r="Y10" s="53"/>
      <c r="Z10" s="40"/>
      <c r="AA10" s="40"/>
      <c r="AB10" s="40"/>
      <c r="AC10" s="40"/>
      <c r="AD10" s="40"/>
      <c r="AE10" s="40"/>
      <c r="AF10" s="40"/>
      <c r="AG10" s="53"/>
      <c r="AH10" s="41"/>
      <c r="AI10" s="41"/>
    </row>
    <row r="11" spans="1:35" ht="16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6" x14ac:dyDescent="0.2">
      <c r="B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59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/>
      <c r="J17" s="40"/>
      <c r="K17" s="40"/>
      <c r="L17" s="40"/>
      <c r="M17" s="40"/>
      <c r="N17" s="40"/>
      <c r="O17" s="40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7">
        <v>1654</v>
      </c>
      <c r="C18" s="66">
        <f>163*10.65</f>
        <v>1735.95</v>
      </c>
      <c r="D18" s="40">
        <v>0</v>
      </c>
      <c r="E18" s="40">
        <v>0</v>
      </c>
      <c r="F18" s="40">
        <v>0</v>
      </c>
      <c r="G18" s="67">
        <v>0</v>
      </c>
      <c r="H18" s="40">
        <v>0</v>
      </c>
      <c r="I18" s="40"/>
      <c r="J18" s="40"/>
      <c r="K18" s="40"/>
      <c r="L18" s="40"/>
      <c r="M18" s="40"/>
      <c r="N18" s="40"/>
      <c r="O18" s="66">
        <f>SUM(C18:N18)</f>
        <v>1735.95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/>
      <c r="J19" s="40"/>
      <c r="K19" s="40"/>
      <c r="L19" s="40"/>
      <c r="M19" s="40"/>
      <c r="N19" s="40"/>
      <c r="O19" s="40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/>
      <c r="L20" s="40"/>
      <c r="M20" s="40"/>
      <c r="N20" s="40"/>
      <c r="O20" s="40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/>
      <c r="J21" s="40"/>
      <c r="K21" s="40"/>
      <c r="L21" s="40"/>
      <c r="M21" s="40"/>
      <c r="N21" s="40"/>
      <c r="O21" s="40">
        <v>0</v>
      </c>
      <c r="P21" s="3"/>
      <c r="Q21" s="3"/>
      <c r="R21" s="3"/>
      <c r="S21" s="3" t="s">
        <v>26</v>
      </c>
      <c r="T21" s="12">
        <f>O42/1000</f>
        <v>547.63531</v>
      </c>
      <c r="U21" s="3"/>
    </row>
    <row r="22" spans="1:21" ht="16" x14ac:dyDescent="0.2">
      <c r="A22" s="8" t="s">
        <v>25</v>
      </c>
      <c r="B22" s="66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/>
      <c r="L22" s="40"/>
      <c r="M22" s="40"/>
      <c r="N22" s="40"/>
      <c r="O22" s="40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6">
        <f>SUM(B17:B22)</f>
        <v>1654</v>
      </c>
      <c r="C23" s="67">
        <f>SUM(C17:C22)</f>
        <v>1735.95</v>
      </c>
      <c r="D23" s="40">
        <v>0</v>
      </c>
      <c r="E23" s="40">
        <v>0</v>
      </c>
      <c r="F23" s="40">
        <v>0</v>
      </c>
      <c r="G23" s="66">
        <f>SUM(G17:G22)</f>
        <v>0</v>
      </c>
      <c r="H23" s="40">
        <v>0</v>
      </c>
      <c r="I23" s="40"/>
      <c r="J23" s="40"/>
      <c r="K23" s="40"/>
      <c r="L23" s="40"/>
      <c r="M23" s="40"/>
      <c r="N23" s="40"/>
      <c r="O23" s="66">
        <f>SUM(O18:O21)</f>
        <v>1735.95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2">
        <f>N42/1000</f>
        <v>285.75935999999996</v>
      </c>
      <c r="U24" s="14">
        <f>N43</f>
        <v>0.52180594417843507</v>
      </c>
    </row>
    <row r="25" spans="1:21" ht="16" x14ac:dyDescent="0.2">
      <c r="A25" s="8"/>
      <c r="B25" s="7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71</v>
      </c>
      <c r="T25" s="12">
        <f>G42/1000</f>
        <v>80.325000000000003</v>
      </c>
      <c r="U25" s="14">
        <f>G43</f>
        <v>0.14667607901323965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55" t="str">
        <f>J29</f>
        <v>Torv</v>
      </c>
      <c r="T26" s="12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2">
        <f>F42/1000</f>
        <v>12.010999999999999</v>
      </c>
      <c r="U27" s="14">
        <f>F43</f>
        <v>2.1932479116439731E-2</v>
      </c>
    </row>
    <row r="28" spans="1:21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4</v>
      </c>
      <c r="U28" s="14">
        <f>E43</f>
        <v>7.3041309188043397E-3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10" t="str">
        <f>D29</f>
        <v>Kol och koks</v>
      </c>
      <c r="T29" s="2">
        <f>D42/1000</f>
        <v>0</v>
      </c>
      <c r="U29" s="54">
        <f>D43</f>
        <v>0</v>
      </c>
    </row>
    <row r="30" spans="1:21" ht="16" x14ac:dyDescent="0.2">
      <c r="B30" s="10"/>
      <c r="C30" s="10"/>
      <c r="D30" s="10"/>
      <c r="E30" s="10"/>
      <c r="F30" s="10"/>
      <c r="G30" s="46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10" t="str">
        <f>K29</f>
        <v>Avfall</v>
      </c>
      <c r="T30" s="2">
        <f>K42/1000</f>
        <v>0</v>
      </c>
      <c r="U30" s="54">
        <f>K43</f>
        <v>0</v>
      </c>
    </row>
    <row r="31" spans="1:21" ht="16" x14ac:dyDescent="0.2">
      <c r="A31" s="8" t="s">
        <v>33</v>
      </c>
      <c r="B31" s="40">
        <v>0</v>
      </c>
      <c r="C31" s="40">
        <v>7646</v>
      </c>
      <c r="D31" s="40">
        <v>0</v>
      </c>
      <c r="E31" s="40">
        <v>0</v>
      </c>
      <c r="F31" s="40">
        <v>698</v>
      </c>
      <c r="G31" s="40">
        <v>0</v>
      </c>
      <c r="H31" s="40">
        <v>0</v>
      </c>
      <c r="I31" s="40"/>
      <c r="J31" s="40"/>
      <c r="K31" s="40"/>
      <c r="L31" s="40"/>
      <c r="M31" s="41"/>
      <c r="N31" s="40">
        <v>7163</v>
      </c>
      <c r="O31" s="40">
        <v>15508</v>
      </c>
      <c r="P31" s="16">
        <f>O31/O$39</f>
        <v>2.7258378066743302E-2</v>
      </c>
      <c r="Q31" s="17" t="s">
        <v>34</v>
      </c>
      <c r="R31" s="3"/>
      <c r="S31" s="55" t="str">
        <f>I29</f>
        <v>Avlutar</v>
      </c>
      <c r="T31" s="12">
        <f>I42/1000</f>
        <v>0</v>
      </c>
      <c r="U31" s="14">
        <f>I43</f>
        <v>0</v>
      </c>
    </row>
    <row r="32" spans="1:21" ht="16" x14ac:dyDescent="0.2">
      <c r="A32" s="8" t="s">
        <v>36</v>
      </c>
      <c r="B32" s="64">
        <f>B39-SUM(B33:B38)</f>
        <v>6175</v>
      </c>
      <c r="C32" s="64">
        <f>C39-SUM(C33:C38)-C31</f>
        <v>3471</v>
      </c>
      <c r="D32" s="40">
        <v>0</v>
      </c>
      <c r="E32" s="78">
        <v>4000</v>
      </c>
      <c r="F32" s="40">
        <v>0</v>
      </c>
      <c r="G32" s="78">
        <f>O32-N32-E32-C32-B32</f>
        <v>34425</v>
      </c>
      <c r="H32" s="40">
        <v>0</v>
      </c>
      <c r="I32" s="40"/>
      <c r="J32" s="40"/>
      <c r="K32" s="40"/>
      <c r="L32" s="40"/>
      <c r="M32" s="41"/>
      <c r="N32" s="40">
        <v>49017</v>
      </c>
      <c r="O32" s="40">
        <v>97088</v>
      </c>
      <c r="P32" s="16">
        <f>O32/O$39</f>
        <v>0.1706513676646875</v>
      </c>
      <c r="Q32" s="17" t="s">
        <v>37</v>
      </c>
      <c r="R32" s="3"/>
      <c r="S32" s="55" t="str">
        <f>H29</f>
        <v>Biogas</v>
      </c>
      <c r="T32" s="12">
        <f>H42/1000</f>
        <v>0</v>
      </c>
      <c r="U32" s="14">
        <f>H43</f>
        <v>0</v>
      </c>
    </row>
    <row r="33" spans="1:48" ht="16" x14ac:dyDescent="0.2">
      <c r="A33" s="8" t="s">
        <v>38</v>
      </c>
      <c r="B33" s="64">
        <f>O33-N33-C33</f>
        <v>14022</v>
      </c>
      <c r="C33" s="40">
        <v>28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/>
      <c r="J33" s="40"/>
      <c r="K33" s="40"/>
      <c r="L33" s="40"/>
      <c r="M33" s="41"/>
      <c r="N33" s="64">
        <f>N39-SUM(N34:N38)-N32-N31</f>
        <v>15198</v>
      </c>
      <c r="O33" s="40">
        <v>29248</v>
      </c>
      <c r="P33" s="16">
        <f>O33/O$39</f>
        <v>5.1409146356468149E-2</v>
      </c>
      <c r="Q33" s="17" t="s">
        <v>39</v>
      </c>
      <c r="R33" s="3"/>
      <c r="S33" s="3" t="s">
        <v>35</v>
      </c>
      <c r="T33" s="12">
        <f>C42/1000</f>
        <v>165.53995</v>
      </c>
      <c r="U33" s="14">
        <f>C43</f>
        <v>0.30228136677308115</v>
      </c>
    </row>
    <row r="34" spans="1:48" ht="16" x14ac:dyDescent="0.2">
      <c r="A34" s="8" t="s">
        <v>40</v>
      </c>
      <c r="B34" s="40">
        <v>0</v>
      </c>
      <c r="C34" s="40">
        <v>143496</v>
      </c>
      <c r="D34" s="40">
        <v>0</v>
      </c>
      <c r="E34" s="40">
        <v>0</v>
      </c>
      <c r="F34" s="40">
        <v>11313</v>
      </c>
      <c r="G34" s="40">
        <v>0</v>
      </c>
      <c r="H34" s="40">
        <v>0</v>
      </c>
      <c r="I34" s="40"/>
      <c r="J34" s="40"/>
      <c r="K34" s="40"/>
      <c r="L34" s="40"/>
      <c r="M34" s="41"/>
      <c r="N34" s="40">
        <v>87264</v>
      </c>
      <c r="O34" s="40">
        <v>242074</v>
      </c>
      <c r="P34" s="16">
        <f>O34/O$39</f>
        <v>0.42549294635857737</v>
      </c>
      <c r="Q34" s="17" t="s">
        <v>41</v>
      </c>
      <c r="R34" s="3"/>
      <c r="S34" s="3"/>
      <c r="T34" s="13">
        <f>SUM(T24:T33)</f>
        <v>547.63531</v>
      </c>
      <c r="U34" s="14">
        <f>SUM(U24:U33)</f>
        <v>0.99999999999999989</v>
      </c>
    </row>
    <row r="35" spans="1:48" ht="16" x14ac:dyDescent="0.2">
      <c r="A35" s="8" t="s">
        <v>42</v>
      </c>
      <c r="B35" s="64">
        <f>O35-N35-C35</f>
        <v>985</v>
      </c>
      <c r="C35" s="64">
        <v>8000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/>
      <c r="J35" s="40"/>
      <c r="K35" s="40"/>
      <c r="L35" s="40"/>
      <c r="M35" s="41"/>
      <c r="N35" s="40">
        <v>40779</v>
      </c>
      <c r="O35" s="40">
        <v>49764</v>
      </c>
      <c r="P35" s="16">
        <f>O35/O$39</f>
        <v>8.747007519431349E-2</v>
      </c>
      <c r="Q35" s="17" t="s">
        <v>43</v>
      </c>
      <c r="R35" s="17"/>
    </row>
    <row r="36" spans="1:48" ht="16" x14ac:dyDescent="0.2">
      <c r="A36" s="8" t="s">
        <v>44</v>
      </c>
      <c r="B36" s="40">
        <v>6117</v>
      </c>
      <c r="C36" s="40">
        <v>1099</v>
      </c>
      <c r="D36" s="40">
        <v>0</v>
      </c>
      <c r="E36" s="40">
        <v>0</v>
      </c>
      <c r="F36" s="40">
        <v>0</v>
      </c>
      <c r="G36" s="64">
        <v>45900</v>
      </c>
      <c r="H36" s="40">
        <v>0</v>
      </c>
      <c r="I36" s="40"/>
      <c r="J36" s="40"/>
      <c r="K36" s="40"/>
      <c r="L36" s="40"/>
      <c r="M36" s="41"/>
      <c r="N36" s="64">
        <f>O36-G36-C36-B36</f>
        <v>56744</v>
      </c>
      <c r="O36" s="40">
        <v>109860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45</v>
      </c>
      <c r="B37" s="70">
        <f>501700-Kumla!B37-Örebro!B37</f>
        <v>16893</v>
      </c>
      <c r="C37" s="40">
        <v>64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/>
      <c r="J37" s="40"/>
      <c r="K37" s="40"/>
      <c r="L37" s="40"/>
      <c r="M37" s="41"/>
      <c r="N37" s="40">
        <v>5249</v>
      </c>
      <c r="O37" s="68">
        <f>SUM(B37:N37)</f>
        <v>22206</v>
      </c>
      <c r="P37" s="17"/>
      <c r="Q37" s="17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/>
      <c r="J38" s="40"/>
      <c r="K38" s="40"/>
      <c r="L38" s="40"/>
      <c r="M38" s="41"/>
      <c r="N38" s="40">
        <v>3178</v>
      </c>
      <c r="O38" s="40">
        <v>3178</v>
      </c>
      <c r="P38" s="17">
        <f>SUM(P31:P35)</f>
        <v>0.76228191364078979</v>
      </c>
      <c r="Q38" s="17"/>
      <c r="R38" s="3"/>
      <c r="S38" s="7" t="s">
        <v>47</v>
      </c>
      <c r="T38" s="19">
        <f>O45/1000</f>
        <v>-21.370639999999998</v>
      </c>
      <c r="U38" s="7"/>
    </row>
    <row r="39" spans="1:48" ht="16" x14ac:dyDescent="0.2">
      <c r="A39" s="8" t="s">
        <v>16</v>
      </c>
      <c r="B39" s="67">
        <v>44192</v>
      </c>
      <c r="C39" s="40">
        <v>163804</v>
      </c>
      <c r="D39" s="40">
        <v>0</v>
      </c>
      <c r="E39" s="78">
        <f>SUM(E31:E38)</f>
        <v>4000</v>
      </c>
      <c r="F39" s="40">
        <v>12011</v>
      </c>
      <c r="G39" s="64">
        <f>SUM(G31:G38)</f>
        <v>80325</v>
      </c>
      <c r="H39" s="40">
        <v>0</v>
      </c>
      <c r="I39" s="40"/>
      <c r="J39" s="40"/>
      <c r="K39" s="40"/>
      <c r="L39" s="40"/>
      <c r="M39" s="41"/>
      <c r="N39" s="40">
        <v>264592</v>
      </c>
      <c r="O39" s="68">
        <f>SUM(O31:O38)</f>
        <v>568926</v>
      </c>
      <c r="P39" s="3"/>
      <c r="Q39" s="3"/>
      <c r="R39" s="3"/>
      <c r="S39" s="7" t="s">
        <v>48</v>
      </c>
      <c r="T39" s="19">
        <f>O41/1000</f>
        <v>135.244</v>
      </c>
      <c r="U39" s="14">
        <f>P41</f>
        <v>0.23771808635921016</v>
      </c>
    </row>
    <row r="40" spans="1:48" x14ac:dyDescent="0.2">
      <c r="C40" s="10"/>
      <c r="S40" s="7" t="s">
        <v>49</v>
      </c>
      <c r="T40" s="19">
        <f>O35/1000</f>
        <v>49.764000000000003</v>
      </c>
      <c r="U40" s="14">
        <f>P35</f>
        <v>8.747007519431349E-2</v>
      </c>
    </row>
    <row r="41" spans="1:48" ht="16" x14ac:dyDescent="0.2">
      <c r="A41" s="21" t="s">
        <v>50</v>
      </c>
      <c r="B41" s="22">
        <f>B38+B37+B36</f>
        <v>23010</v>
      </c>
      <c r="C41" s="22">
        <f t="shared" ref="C41:O41" si="0">C38+C37+C36</f>
        <v>1163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45900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65171</v>
      </c>
      <c r="O41" s="22">
        <f t="shared" si="0"/>
        <v>135244</v>
      </c>
      <c r="P41" s="16">
        <f>O41/O$39</f>
        <v>0.23771808635921016</v>
      </c>
      <c r="Q41" s="16" t="s">
        <v>51</v>
      </c>
      <c r="R41" s="7"/>
      <c r="S41" s="7" t="s">
        <v>52</v>
      </c>
      <c r="T41" s="19">
        <f>O33/1000</f>
        <v>29.248000000000001</v>
      </c>
      <c r="U41" s="14">
        <f>P33</f>
        <v>5.1409146356468149E-2</v>
      </c>
    </row>
    <row r="42" spans="1:48" ht="16" x14ac:dyDescent="0.2">
      <c r="A42" s="23" t="s">
        <v>53</v>
      </c>
      <c r="B42" s="22"/>
      <c r="C42" s="24">
        <f>C39+C23+C10</f>
        <v>165539.95000000001</v>
      </c>
      <c r="D42" s="24">
        <f t="shared" ref="D42:M42" si="1">D39+D23+D10</f>
        <v>0</v>
      </c>
      <c r="E42" s="24">
        <f t="shared" si="1"/>
        <v>4000</v>
      </c>
      <c r="F42" s="24">
        <f t="shared" si="1"/>
        <v>12011</v>
      </c>
      <c r="G42" s="24">
        <f t="shared" si="1"/>
        <v>80325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285759.35999999999</v>
      </c>
      <c r="O42" s="25">
        <f>SUM(C42:N42)</f>
        <v>547635.31000000006</v>
      </c>
      <c r="P42" s="7"/>
      <c r="Q42" s="7"/>
      <c r="R42" s="7"/>
      <c r="S42" s="7" t="s">
        <v>34</v>
      </c>
      <c r="T42" s="19">
        <f>O31/1000</f>
        <v>15.507999999999999</v>
      </c>
      <c r="U42" s="14">
        <f>P31</f>
        <v>2.7258378066743302E-2</v>
      </c>
    </row>
    <row r="43" spans="1:48" ht="16" x14ac:dyDescent="0.2">
      <c r="A43" s="23" t="s">
        <v>54</v>
      </c>
      <c r="B43" s="22"/>
      <c r="C43" s="16">
        <f t="shared" ref="C43:N43" si="2">C42/$O42</f>
        <v>0.30228136677308115</v>
      </c>
      <c r="D43" s="16">
        <f t="shared" si="2"/>
        <v>0</v>
      </c>
      <c r="E43" s="16">
        <f t="shared" si="2"/>
        <v>7.3041309188043397E-3</v>
      </c>
      <c r="F43" s="16">
        <f t="shared" si="2"/>
        <v>2.1932479116439731E-2</v>
      </c>
      <c r="G43" s="16">
        <f t="shared" si="2"/>
        <v>0.14667607901323965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0.52180594417843507</v>
      </c>
      <c r="O43" s="16">
        <f>SUM(C43:N43)</f>
        <v>1</v>
      </c>
      <c r="P43" s="7"/>
      <c r="Q43" s="7"/>
      <c r="R43" s="7"/>
      <c r="S43" s="7" t="s">
        <v>55</v>
      </c>
      <c r="T43" s="19">
        <f>O32/1000</f>
        <v>97.087999999999994</v>
      </c>
      <c r="U43" s="14">
        <f>P32</f>
        <v>0.1706513676646875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19">
        <f>O34/1000</f>
        <v>242.07400000000001</v>
      </c>
      <c r="U44" s="14">
        <f>P34</f>
        <v>0.42549294635857737</v>
      </c>
    </row>
    <row r="45" spans="1:48" ht="16" x14ac:dyDescent="0.2">
      <c r="A45" s="6" t="s">
        <v>57</v>
      </c>
      <c r="B45" s="6">
        <f>B23+B25-B39</f>
        <v>-42538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21167.360000000001</v>
      </c>
      <c r="O45" s="25">
        <f>B45+N45</f>
        <v>-21370.639999999999</v>
      </c>
      <c r="P45" s="7"/>
      <c r="Q45" s="7"/>
      <c r="R45" s="7"/>
      <c r="S45" s="7" t="s">
        <v>58</v>
      </c>
      <c r="T45" s="19">
        <f>SUM(T39:T44)</f>
        <v>568.92599999999993</v>
      </c>
      <c r="U45" s="14">
        <f>SUM(U39:U44)</f>
        <v>1</v>
      </c>
    </row>
    <row r="46" spans="1:48" ht="16" x14ac:dyDescent="0.2">
      <c r="A46" s="6"/>
      <c r="B46" s="4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3"/>
      <c r="C48" s="37"/>
      <c r="D48" s="27"/>
      <c r="E48" s="27"/>
      <c r="F48" s="37"/>
      <c r="G48" s="27"/>
      <c r="H48" s="3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37"/>
      <c r="U48" s="37"/>
      <c r="V48" s="27"/>
      <c r="W48" s="27"/>
      <c r="X48" s="27"/>
      <c r="Y48" s="3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3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4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27"/>
      <c r="Q51" s="27"/>
      <c r="R51" s="4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3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27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27"/>
      <c r="Q52" s="27"/>
      <c r="R52" s="4"/>
      <c r="S52" s="4"/>
      <c r="T52" s="3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3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27"/>
      <c r="N53" s="9"/>
      <c r="O53" s="9"/>
      <c r="P53" s="27"/>
      <c r="Q53" s="27"/>
      <c r="R53" s="4"/>
      <c r="S53" s="4"/>
      <c r="T53" s="27"/>
      <c r="U53" s="37"/>
      <c r="V53" s="27"/>
      <c r="W53" s="27"/>
      <c r="X53" s="27"/>
      <c r="Y53" s="3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3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27"/>
      <c r="N54" s="9"/>
      <c r="O54" s="9"/>
      <c r="P54" s="27"/>
      <c r="Q54" s="27"/>
      <c r="R54" s="4"/>
      <c r="S54" s="4"/>
      <c r="T54" s="27"/>
      <c r="U54" s="37"/>
      <c r="V54" s="27"/>
      <c r="W54" s="27"/>
      <c r="X54" s="27"/>
      <c r="Y54" s="3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3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27"/>
      <c r="N55" s="9"/>
      <c r="O55" s="9"/>
      <c r="P55" s="27"/>
      <c r="Q55" s="27"/>
      <c r="R55" s="4"/>
      <c r="S55" s="4"/>
      <c r="T55" s="27"/>
      <c r="U55" s="37"/>
      <c r="V55" s="27"/>
      <c r="W55" s="27"/>
      <c r="X55" s="27"/>
      <c r="Y55" s="3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3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/>
      <c r="B56" s="76"/>
      <c r="C56" s="6"/>
      <c r="D56" s="6"/>
      <c r="E56" s="9"/>
      <c r="F56" s="18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4"/>
      <c r="T56" s="27"/>
      <c r="U56" s="37"/>
      <c r="V56" s="27"/>
      <c r="W56" s="27"/>
      <c r="X56" s="27"/>
      <c r="Y56" s="3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3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/>
      <c r="B57" s="76"/>
      <c r="C57" s="6"/>
      <c r="D57" s="31"/>
      <c r="E57" s="9"/>
      <c r="F57" s="18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0"/>
    </row>
    <row r="58" spans="1:48" ht="16" x14ac:dyDescent="0.2">
      <c r="A58" s="5"/>
      <c r="B58" s="76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7"/>
      <c r="T58" s="6"/>
      <c r="U58" s="30"/>
    </row>
    <row r="59" spans="1:48" ht="16" x14ac:dyDescent="0.2">
      <c r="A59" s="5"/>
      <c r="B59" s="76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7"/>
      <c r="T59" s="6"/>
      <c r="U59" s="30"/>
    </row>
    <row r="60" spans="1:48" ht="16" x14ac:dyDescent="0.2">
      <c r="A60" s="5"/>
      <c r="B60" s="76"/>
      <c r="C60" s="6"/>
      <c r="D60" s="10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7"/>
      <c r="T60" s="6"/>
      <c r="U60" s="30"/>
    </row>
    <row r="61" spans="1:48" ht="16" x14ac:dyDescent="0.2">
      <c r="C61" s="10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7"/>
      <c r="T61" s="31"/>
      <c r="U61" s="32"/>
    </row>
    <row r="62" spans="1:48" ht="16" x14ac:dyDescent="0.2">
      <c r="E62" s="7"/>
      <c r="F62" s="7"/>
      <c r="G62" s="7"/>
      <c r="H62" s="7"/>
      <c r="I62" s="6"/>
      <c r="J62" s="7"/>
      <c r="K62" s="7"/>
      <c r="L62" s="6"/>
      <c r="M62" s="29"/>
      <c r="N62" s="7"/>
      <c r="O62" s="6"/>
      <c r="P62" s="14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 enableFormatConditionsCalculation="0"/>
  <dimension ref="A1:AV70"/>
  <sheetViews>
    <sheetView workbookViewId="0">
      <selection activeCell="U35" sqref="U35"/>
    </sheetView>
  </sheetViews>
  <sheetFormatPr baseColWidth="10" defaultColWidth="8.6640625" defaultRowHeight="15" x14ac:dyDescent="0.2"/>
  <cols>
    <col min="1" max="1" width="22" style="2" customWidth="1"/>
    <col min="2" max="21" width="8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60</v>
      </c>
      <c r="Q2" s="41"/>
      <c r="R2" s="8"/>
      <c r="AH2" s="41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1"/>
      <c r="R3" s="41"/>
      <c r="AH3" s="41"/>
      <c r="AI3" s="41"/>
    </row>
    <row r="4" spans="1:35" ht="16" x14ac:dyDescent="0.2">
      <c r="A4" s="81" t="s">
        <v>73</v>
      </c>
      <c r="B4" s="67">
        <f>0.95*104</f>
        <v>98.8</v>
      </c>
      <c r="Q4" s="41"/>
      <c r="R4" s="41"/>
      <c r="AH4" s="41"/>
      <c r="AI4" s="41"/>
    </row>
    <row r="5" spans="1:35" ht="16" x14ac:dyDescent="0.2">
      <c r="A5" s="41"/>
      <c r="Q5" s="41"/>
      <c r="R5" s="41"/>
      <c r="AH5" s="41"/>
      <c r="AI5" s="41"/>
    </row>
    <row r="6" spans="1:35" ht="16" x14ac:dyDescent="0.2">
      <c r="A6" s="8" t="s">
        <v>12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/>
      <c r="J6" s="40"/>
      <c r="K6" s="40"/>
      <c r="L6" s="40"/>
      <c r="M6" s="40"/>
      <c r="N6" s="40"/>
      <c r="O6" s="40">
        <v>0</v>
      </c>
      <c r="Q6" s="41"/>
      <c r="R6" s="41"/>
      <c r="AH6" s="41"/>
      <c r="AI6" s="41"/>
    </row>
    <row r="7" spans="1:35" ht="16" x14ac:dyDescent="0.2">
      <c r="A7" s="8" t="s">
        <v>13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/>
      <c r="J7" s="40"/>
      <c r="K7" s="40"/>
      <c r="L7" s="40"/>
      <c r="M7" s="40"/>
      <c r="N7" s="40"/>
      <c r="O7" s="40">
        <v>0</v>
      </c>
      <c r="P7" s="40"/>
      <c r="Q7" s="41"/>
      <c r="R7" s="41"/>
      <c r="AH7" s="41"/>
      <c r="AI7" s="41"/>
    </row>
    <row r="8" spans="1:35" ht="16" x14ac:dyDescent="0.2">
      <c r="A8" s="8" t="s">
        <v>14</v>
      </c>
      <c r="B8" s="40">
        <v>86381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>
        <v>0</v>
      </c>
      <c r="P8" s="40"/>
      <c r="Q8" s="41"/>
      <c r="R8" s="41"/>
      <c r="AH8" s="41"/>
      <c r="AI8" s="41"/>
    </row>
    <row r="9" spans="1:35" ht="16" x14ac:dyDescent="0.2">
      <c r="A9" s="8" t="s">
        <v>15</v>
      </c>
      <c r="B9" s="80">
        <v>16028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>
        <v>0</v>
      </c>
      <c r="P9" s="40"/>
      <c r="Q9" s="41"/>
      <c r="R9" s="41"/>
      <c r="S9" s="8"/>
      <c r="T9" s="53"/>
      <c r="U9" s="53"/>
      <c r="V9" s="40"/>
      <c r="W9" s="40"/>
      <c r="X9" s="40"/>
      <c r="Y9" s="53"/>
      <c r="Z9" s="40"/>
      <c r="AA9" s="40"/>
      <c r="AB9" s="40"/>
      <c r="AC9" s="40"/>
      <c r="AD9" s="40"/>
      <c r="AE9" s="40"/>
      <c r="AF9" s="40"/>
      <c r="AG9" s="53"/>
      <c r="AH9" s="41"/>
      <c r="AI9" s="41"/>
    </row>
    <row r="10" spans="1:35" ht="16" x14ac:dyDescent="0.2">
      <c r="A10" s="8" t="s">
        <v>16</v>
      </c>
      <c r="B10" s="64">
        <f>SUM(B4:B9)</f>
        <v>102507.8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/>
      <c r="J10" s="40"/>
      <c r="K10" s="40"/>
      <c r="L10" s="40"/>
      <c r="M10" s="40"/>
      <c r="N10" s="40"/>
      <c r="O10" s="40">
        <v>0</v>
      </c>
      <c r="P10" s="40"/>
      <c r="Q10" s="41"/>
      <c r="R10" s="41"/>
      <c r="S10" s="8"/>
      <c r="T10" s="53"/>
      <c r="U10" s="53"/>
      <c r="V10" s="40"/>
      <c r="W10" s="40"/>
      <c r="X10" s="40"/>
      <c r="Y10" s="53"/>
      <c r="Z10" s="40"/>
      <c r="AA10" s="40"/>
      <c r="AB10" s="40"/>
      <c r="AC10" s="40"/>
      <c r="AD10" s="40"/>
      <c r="AE10" s="40"/>
      <c r="AF10" s="40"/>
      <c r="AG10" s="53"/>
      <c r="AH10" s="41"/>
      <c r="AI10" s="41"/>
    </row>
    <row r="11" spans="1:35" ht="16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/>
      <c r="J17" s="40"/>
      <c r="K17" s="40"/>
      <c r="L17" s="40"/>
      <c r="M17" s="40"/>
      <c r="N17" s="40"/>
      <c r="O17" s="40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6">
        <v>42200</v>
      </c>
      <c r="C18" s="66">
        <v>197</v>
      </c>
      <c r="D18" s="40">
        <v>0</v>
      </c>
      <c r="E18" s="40">
        <v>0</v>
      </c>
      <c r="F18" s="40">
        <v>0</v>
      </c>
      <c r="G18" s="66">
        <v>46100</v>
      </c>
      <c r="H18" s="40">
        <v>0</v>
      </c>
      <c r="I18" s="40"/>
      <c r="J18" s="40"/>
      <c r="K18" s="40"/>
      <c r="L18" s="40"/>
      <c r="M18" s="40"/>
      <c r="N18" s="40"/>
      <c r="O18" s="66">
        <f>SUM(C18:N18)</f>
        <v>46297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/>
      <c r="J19" s="40"/>
      <c r="K19" s="40"/>
      <c r="L19" s="40"/>
      <c r="M19" s="40"/>
      <c r="N19" s="40"/>
      <c r="O19" s="40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/>
      <c r="L20" s="40"/>
      <c r="M20" s="40"/>
      <c r="N20" s="40"/>
      <c r="O20" s="40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/>
      <c r="J21" s="40"/>
      <c r="K21" s="40"/>
      <c r="L21" s="40"/>
      <c r="M21" s="40"/>
      <c r="N21" s="40"/>
      <c r="O21" s="40">
        <v>0</v>
      </c>
      <c r="P21" s="3"/>
      <c r="Q21" s="3"/>
      <c r="R21" s="3"/>
      <c r="S21" s="3" t="s">
        <v>26</v>
      </c>
      <c r="T21" s="12">
        <f>O42/1000</f>
        <v>440.63112000000001</v>
      </c>
      <c r="U21" s="3"/>
    </row>
    <row r="22" spans="1:21" ht="16" x14ac:dyDescent="0.2">
      <c r="A22" s="8" t="s">
        <v>25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/>
      <c r="L22" s="40"/>
      <c r="M22" s="40"/>
      <c r="N22" s="40"/>
      <c r="O22" s="40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6">
        <f>SUM(B17:B22)</f>
        <v>42200</v>
      </c>
      <c r="C23" s="66">
        <f>SUM(C17:C22)</f>
        <v>197</v>
      </c>
      <c r="D23" s="40">
        <v>0</v>
      </c>
      <c r="E23" s="40">
        <v>0</v>
      </c>
      <c r="F23" s="40">
        <v>0</v>
      </c>
      <c r="G23" s="66">
        <f>SUM(G17:G22)</f>
        <v>46100</v>
      </c>
      <c r="H23" s="40">
        <v>0</v>
      </c>
      <c r="I23" s="40"/>
      <c r="J23" s="40"/>
      <c r="K23" s="40"/>
      <c r="L23" s="40"/>
      <c r="M23" s="40"/>
      <c r="N23" s="40"/>
      <c r="O23" s="66">
        <f>SUM(O18:O22)</f>
        <v>46297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2">
        <f>N42/1000</f>
        <v>157.91111999999998</v>
      </c>
      <c r="U24" s="14">
        <f>N43</f>
        <v>0.35837486921032724</v>
      </c>
    </row>
    <row r="25" spans="1:21" ht="16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71</v>
      </c>
      <c r="T25" s="12">
        <f>G42/1000</f>
        <v>72.372</v>
      </c>
      <c r="U25" s="14">
        <f>G43</f>
        <v>0.16424622936301003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55" t="str">
        <f>J29</f>
        <v>Torv</v>
      </c>
      <c r="T26" s="12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2">
        <f>F42/1000</f>
        <v>4.2080000000000002</v>
      </c>
      <c r="U27" s="14">
        <f>F43</f>
        <v>9.5499382794388202E-3</v>
      </c>
    </row>
    <row r="28" spans="1:21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124.255</v>
      </c>
      <c r="U28" s="14">
        <f>E43</f>
        <v>0.28199324641437035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10" t="str">
        <f>D29</f>
        <v>Kol och koks</v>
      </c>
      <c r="T29" s="2">
        <f>D42/1000</f>
        <v>0</v>
      </c>
      <c r="U29" s="54">
        <f>D43</f>
        <v>0</v>
      </c>
    </row>
    <row r="30" spans="1:21" ht="16" x14ac:dyDescent="0.2">
      <c r="B30" s="10"/>
      <c r="C30" s="10"/>
      <c r="D30" s="10"/>
      <c r="E30" s="46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10" t="str">
        <f>K29</f>
        <v>Avfall</v>
      </c>
      <c r="T30" s="2">
        <f>K42/1000</f>
        <v>0</v>
      </c>
      <c r="U30" s="54">
        <f>K43</f>
        <v>0</v>
      </c>
    </row>
    <row r="31" spans="1:21" ht="16" x14ac:dyDescent="0.2">
      <c r="A31" s="8" t="s">
        <v>33</v>
      </c>
      <c r="B31" s="40">
        <v>0</v>
      </c>
      <c r="C31" s="40">
        <v>1713</v>
      </c>
      <c r="D31" s="40">
        <v>0</v>
      </c>
      <c r="E31" s="40">
        <v>0</v>
      </c>
      <c r="F31" s="40">
        <v>157</v>
      </c>
      <c r="G31" s="40">
        <v>0</v>
      </c>
      <c r="H31" s="40">
        <v>0</v>
      </c>
      <c r="I31" s="40"/>
      <c r="J31" s="40"/>
      <c r="K31" s="40"/>
      <c r="L31" s="40"/>
      <c r="M31" s="41"/>
      <c r="N31" s="64">
        <v>2334</v>
      </c>
      <c r="O31" s="64">
        <f>SUM(C31:N31)</f>
        <v>4204</v>
      </c>
      <c r="P31" s="16">
        <f>O31/O$39</f>
        <v>1.0041393279145478E-2</v>
      </c>
      <c r="Q31" s="17" t="s">
        <v>34</v>
      </c>
      <c r="R31" s="3"/>
      <c r="S31" s="55" t="str">
        <f>I29</f>
        <v>Avlutar</v>
      </c>
      <c r="T31" s="12">
        <f>I42/1000</f>
        <v>0</v>
      </c>
      <c r="U31" s="14">
        <f>I43</f>
        <v>0</v>
      </c>
    </row>
    <row r="32" spans="1:21" ht="16" x14ac:dyDescent="0.2">
      <c r="A32" s="8" t="s">
        <v>36</v>
      </c>
      <c r="B32" s="64">
        <f>(B39-B37-B36)*3900/(5049+8956+3900)</f>
        <v>3360.9047752024576</v>
      </c>
      <c r="C32" s="64">
        <f>O32-B32-E32-N32</f>
        <v>22394.000000000029</v>
      </c>
      <c r="D32" s="40">
        <v>0</v>
      </c>
      <c r="E32" s="77">
        <v>124255</v>
      </c>
      <c r="F32" s="40">
        <v>0</v>
      </c>
      <c r="G32" s="40">
        <v>0</v>
      </c>
      <c r="H32" s="40">
        <v>0</v>
      </c>
      <c r="I32" s="40"/>
      <c r="J32" s="40"/>
      <c r="K32" s="40"/>
      <c r="L32" s="40"/>
      <c r="M32" s="41"/>
      <c r="N32" s="64">
        <f>N39-N38-N37-N36-N35-N34-N33-N31</f>
        <v>78867.095224797522</v>
      </c>
      <c r="O32" s="40">
        <v>228877</v>
      </c>
      <c r="P32" s="16">
        <f>O32/O$39</f>
        <v>0.54668029722906275</v>
      </c>
      <c r="Q32" s="17" t="s">
        <v>37</v>
      </c>
      <c r="R32" s="3"/>
      <c r="S32" s="55" t="str">
        <f>H29</f>
        <v>Biogas</v>
      </c>
      <c r="T32" s="12">
        <f>H42/1000</f>
        <v>0</v>
      </c>
      <c r="U32" s="14">
        <f>H43</f>
        <v>0</v>
      </c>
    </row>
    <row r="33" spans="1:48" ht="16" x14ac:dyDescent="0.2">
      <c r="A33" s="8" t="s">
        <v>38</v>
      </c>
      <c r="B33" s="64">
        <f>(B39-B37-B36)*8956/(5049+8956+3900)</f>
        <v>7718.0161965931302</v>
      </c>
      <c r="C33" s="40">
        <v>30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/>
      <c r="J33" s="40"/>
      <c r="K33" s="40"/>
      <c r="L33" s="40"/>
      <c r="M33" s="41"/>
      <c r="N33" s="64">
        <v>4000</v>
      </c>
      <c r="O33" s="64">
        <f>SUM(B33:N33)</f>
        <v>11748.016196593129</v>
      </c>
      <c r="P33" s="16">
        <f>O33/O$39</f>
        <v>2.8060525899087172E-2</v>
      </c>
      <c r="Q33" s="17" t="s">
        <v>39</v>
      </c>
      <c r="R33" s="3"/>
      <c r="S33" s="3" t="s">
        <v>35</v>
      </c>
      <c r="T33" s="12">
        <f>C42/1000</f>
        <v>81.885000000000034</v>
      </c>
      <c r="U33" s="14">
        <f>C43</f>
        <v>0.18583571673285362</v>
      </c>
    </row>
    <row r="34" spans="1:48" ht="16" x14ac:dyDescent="0.2">
      <c r="A34" s="8" t="s">
        <v>40</v>
      </c>
      <c r="B34" s="40">
        <v>0</v>
      </c>
      <c r="C34" s="64">
        <f>O34-N34-F34</f>
        <v>56228</v>
      </c>
      <c r="D34" s="40">
        <v>0</v>
      </c>
      <c r="E34" s="40">
        <v>0</v>
      </c>
      <c r="F34" s="40">
        <v>4051</v>
      </c>
      <c r="G34" s="40">
        <v>0</v>
      </c>
      <c r="H34" s="40">
        <v>0</v>
      </c>
      <c r="I34" s="40"/>
      <c r="J34" s="40"/>
      <c r="K34" s="40"/>
      <c r="L34" s="40"/>
      <c r="M34" s="41"/>
      <c r="N34" s="64">
        <v>42</v>
      </c>
      <c r="O34" s="40">
        <v>60321</v>
      </c>
      <c r="P34" s="16">
        <f>O34/O$39</f>
        <v>0.14407870694370467</v>
      </c>
      <c r="Q34" s="17" t="s">
        <v>41</v>
      </c>
      <c r="R34" s="3"/>
      <c r="S34" s="3"/>
      <c r="T34" s="13">
        <f>SUM(T24:T33)</f>
        <v>440.63112000000007</v>
      </c>
      <c r="U34" s="14">
        <f>SUM(U24:U33)</f>
        <v>1.0000000000000002</v>
      </c>
    </row>
    <row r="35" spans="1:48" ht="16" x14ac:dyDescent="0.2">
      <c r="A35" s="8" t="s">
        <v>42</v>
      </c>
      <c r="B35" s="64">
        <f>(B39-B37-B36)*5049/(5049+8956+3900)</f>
        <v>4351.0790282044118</v>
      </c>
      <c r="C35" s="40">
        <v>326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/>
      <c r="J35" s="40"/>
      <c r="K35" s="40"/>
      <c r="L35" s="40"/>
      <c r="M35" s="41"/>
      <c r="N35" s="64">
        <f>O35-C35-B35</f>
        <v>16189.904775202471</v>
      </c>
      <c r="O35" s="64">
        <v>20866.983803406882</v>
      </c>
      <c r="P35" s="16">
        <f>O35/O$39</f>
        <v>4.9841482140715369E-2</v>
      </c>
      <c r="Q35" s="17" t="s">
        <v>43</v>
      </c>
      <c r="R35" s="17"/>
    </row>
    <row r="36" spans="1:48" ht="16" x14ac:dyDescent="0.2">
      <c r="A36" s="8" t="s">
        <v>44</v>
      </c>
      <c r="B36" s="66">
        <v>5000</v>
      </c>
      <c r="C36" s="64">
        <f>O36-N36-G36-B36</f>
        <v>997</v>
      </c>
      <c r="D36" s="40">
        <v>0</v>
      </c>
      <c r="E36" s="40">
        <v>0</v>
      </c>
      <c r="F36" s="40">
        <v>0</v>
      </c>
      <c r="G36" s="40">
        <v>26272</v>
      </c>
      <c r="H36" s="40">
        <v>0</v>
      </c>
      <c r="I36" s="40"/>
      <c r="J36" s="40"/>
      <c r="K36" s="40"/>
      <c r="L36" s="40"/>
      <c r="M36" s="41"/>
      <c r="N36" s="64">
        <v>40602</v>
      </c>
      <c r="O36" s="40">
        <v>72871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45</v>
      </c>
      <c r="B37" s="66">
        <v>15600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/>
      <c r="J37" s="40"/>
      <c r="K37" s="40"/>
      <c r="L37" s="40"/>
      <c r="M37" s="41"/>
      <c r="N37" s="64">
        <v>2688</v>
      </c>
      <c r="O37" s="64">
        <f>SUM(B37:N37)</f>
        <v>18288</v>
      </c>
      <c r="P37" s="17"/>
      <c r="Q37" s="17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/>
      <c r="J38" s="40"/>
      <c r="K38" s="40"/>
      <c r="L38" s="40"/>
      <c r="M38" s="41"/>
      <c r="N38" s="64">
        <v>1491</v>
      </c>
      <c r="O38" s="64">
        <f>SUM(N38)</f>
        <v>1491</v>
      </c>
      <c r="P38" s="17">
        <f>SUM(P31:P35)</f>
        <v>0.77870240549171532</v>
      </c>
      <c r="Q38" s="17"/>
      <c r="R38" s="3"/>
      <c r="S38" s="7" t="s">
        <v>47</v>
      </c>
      <c r="T38" s="19">
        <f>O45/1000</f>
        <v>17.867120000000003</v>
      </c>
      <c r="U38" s="7"/>
    </row>
    <row r="39" spans="1:48" ht="16" x14ac:dyDescent="0.2">
      <c r="A39" s="8" t="s">
        <v>16</v>
      </c>
      <c r="B39" s="40">
        <v>36030</v>
      </c>
      <c r="C39" s="64">
        <f>SUM(C31:C38)</f>
        <v>81688.000000000029</v>
      </c>
      <c r="D39" s="40">
        <v>0</v>
      </c>
      <c r="E39" s="77">
        <f>SUM(E31:E38)</f>
        <v>124255</v>
      </c>
      <c r="F39" s="40">
        <v>4208</v>
      </c>
      <c r="G39" s="40">
        <v>26272</v>
      </c>
      <c r="H39" s="40">
        <v>0</v>
      </c>
      <c r="I39" s="40"/>
      <c r="J39" s="40"/>
      <c r="K39" s="40"/>
      <c r="L39" s="40"/>
      <c r="M39" s="41"/>
      <c r="N39" s="40">
        <v>146214</v>
      </c>
      <c r="O39" s="40">
        <v>418667</v>
      </c>
      <c r="P39" s="3"/>
      <c r="Q39" s="3"/>
      <c r="R39" s="3"/>
      <c r="S39" s="7" t="s">
        <v>48</v>
      </c>
      <c r="T39" s="19">
        <f>O41/1000</f>
        <v>92.65</v>
      </c>
      <c r="U39" s="14">
        <f>P41</f>
        <v>0.22129759450828462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19">
        <f>O35/1000</f>
        <v>20.866983803406882</v>
      </c>
      <c r="U40" s="14">
        <f>P35</f>
        <v>4.9841482140715369E-2</v>
      </c>
    </row>
    <row r="41" spans="1:48" ht="16" x14ac:dyDescent="0.2">
      <c r="A41" s="21" t="s">
        <v>50</v>
      </c>
      <c r="B41" s="22">
        <f>B38+B37+B36</f>
        <v>20600</v>
      </c>
      <c r="C41" s="22">
        <f t="shared" ref="C41:O41" si="0">C38+C37+C36</f>
        <v>997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26272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44781</v>
      </c>
      <c r="O41" s="22">
        <f t="shared" si="0"/>
        <v>92650</v>
      </c>
      <c r="P41" s="16">
        <f>O41/O$39</f>
        <v>0.22129759450828462</v>
      </c>
      <c r="Q41" s="16" t="s">
        <v>51</v>
      </c>
      <c r="R41" s="7"/>
      <c r="S41" s="7" t="s">
        <v>52</v>
      </c>
      <c r="T41" s="19">
        <f>O33/1000</f>
        <v>11.748016196593129</v>
      </c>
      <c r="U41" s="14">
        <f>P33</f>
        <v>2.8060525899087172E-2</v>
      </c>
    </row>
    <row r="42" spans="1:48" ht="16" x14ac:dyDescent="0.2">
      <c r="A42" s="23" t="s">
        <v>53</v>
      </c>
      <c r="B42" s="22"/>
      <c r="C42" s="24">
        <f>C39+C23+C10</f>
        <v>81885.000000000029</v>
      </c>
      <c r="D42" s="24">
        <f t="shared" ref="D42:M42" si="1">D39+D23+D10</f>
        <v>0</v>
      </c>
      <c r="E42" s="24">
        <f t="shared" si="1"/>
        <v>124255</v>
      </c>
      <c r="F42" s="24">
        <f t="shared" si="1"/>
        <v>4208</v>
      </c>
      <c r="G42" s="24">
        <f t="shared" si="1"/>
        <v>72372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157911.12</v>
      </c>
      <c r="O42" s="25">
        <f>SUM(C42:N42)</f>
        <v>440631.12</v>
      </c>
      <c r="P42" s="7"/>
      <c r="Q42" s="7"/>
      <c r="R42" s="7"/>
      <c r="S42" s="7" t="s">
        <v>34</v>
      </c>
      <c r="T42" s="19">
        <f>O31/1000</f>
        <v>4.2039999999999997</v>
      </c>
      <c r="U42" s="14">
        <f>P31</f>
        <v>1.0041393279145478E-2</v>
      </c>
    </row>
    <row r="43" spans="1:48" ht="16" x14ac:dyDescent="0.2">
      <c r="A43" s="23" t="s">
        <v>54</v>
      </c>
      <c r="B43" s="22"/>
      <c r="C43" s="16">
        <f t="shared" ref="C43:N43" si="2">C42/$O42</f>
        <v>0.18583571673285362</v>
      </c>
      <c r="D43" s="16">
        <f t="shared" si="2"/>
        <v>0</v>
      </c>
      <c r="E43" s="16">
        <f t="shared" si="2"/>
        <v>0.28199324641437035</v>
      </c>
      <c r="F43" s="16">
        <f t="shared" si="2"/>
        <v>9.5499382794388202E-3</v>
      </c>
      <c r="G43" s="16">
        <f t="shared" si="2"/>
        <v>0.16424622936301003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0.35837486921032724</v>
      </c>
      <c r="O43" s="16">
        <f>SUM(C43:N43)</f>
        <v>1</v>
      </c>
      <c r="P43" s="7"/>
      <c r="Q43" s="7"/>
      <c r="R43" s="7"/>
      <c r="S43" s="7" t="s">
        <v>55</v>
      </c>
      <c r="T43" s="19">
        <f>O32/1000</f>
        <v>228.87700000000001</v>
      </c>
      <c r="U43" s="14">
        <f>P32</f>
        <v>0.54668029722906275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19">
        <f>O34/1000</f>
        <v>60.320999999999998</v>
      </c>
      <c r="U44" s="14">
        <f>P34</f>
        <v>0.14407870694370467</v>
      </c>
    </row>
    <row r="45" spans="1:48" ht="16" x14ac:dyDescent="0.2">
      <c r="A45" s="6" t="s">
        <v>57</v>
      </c>
      <c r="B45" s="6">
        <f>B23-B39</f>
        <v>6170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11697.12</v>
      </c>
      <c r="O45" s="25">
        <f>B45+N45</f>
        <v>17867.120000000003</v>
      </c>
      <c r="P45" s="7"/>
      <c r="Q45" s="7"/>
      <c r="R45" s="7"/>
      <c r="S45" s="7" t="s">
        <v>58</v>
      </c>
      <c r="T45" s="19">
        <f>SUM(T39:T44)</f>
        <v>418.66700000000003</v>
      </c>
      <c r="U45" s="14">
        <f>SUM(U39:U44)</f>
        <v>1</v>
      </c>
    </row>
    <row r="46" spans="1:48" ht="16" x14ac:dyDescent="0.2">
      <c r="A46" s="6"/>
      <c r="B46" s="48"/>
      <c r="C46" s="6"/>
      <c r="D46" s="6"/>
      <c r="E46"/>
      <c r="F46"/>
      <c r="G46"/>
      <c r="H46"/>
      <c r="I46"/>
      <c r="J46" s="6"/>
      <c r="K46" s="6"/>
      <c r="L46" s="6"/>
      <c r="M46" s="6"/>
      <c r="N46"/>
      <c r="O46" s="6"/>
      <c r="P46" s="7"/>
      <c r="Q46" s="7"/>
      <c r="R46" s="7"/>
    </row>
    <row r="47" spans="1:48" ht="17" x14ac:dyDescent="0.2">
      <c r="A47" s="4"/>
      <c r="B47" s="4"/>
      <c r="C47" s="27"/>
      <c r="D47" s="27"/>
      <c r="E47" s="65"/>
      <c r="F47" s="65"/>
      <c r="G47" s="65"/>
      <c r="H47"/>
      <c r="I4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ht="16" x14ac:dyDescent="0.2">
      <c r="A48" s="27"/>
      <c r="B48" s="4"/>
      <c r="C48" s="27"/>
      <c r="D48" s="37"/>
      <c r="E48"/>
      <c r="F48"/>
      <c r="G48"/>
      <c r="H48"/>
      <c r="I48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/>
      <c r="B50" s="40"/>
      <c r="C50" s="40"/>
      <c r="D50" s="40"/>
      <c r="E50" s="74"/>
      <c r="F50" s="40"/>
      <c r="G50" s="40"/>
      <c r="I50" s="40"/>
      <c r="J50" s="40"/>
      <c r="K50" s="40"/>
      <c r="L50" s="75"/>
      <c r="M50" s="40"/>
      <c r="N50" s="40"/>
      <c r="O50" s="40"/>
      <c r="P50" s="40"/>
      <c r="Q50" s="40"/>
      <c r="R50" s="40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3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27"/>
      <c r="N51" s="9"/>
      <c r="O51" s="9"/>
      <c r="P51" s="27"/>
      <c r="Q51" s="27"/>
      <c r="R51" s="4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3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27"/>
      <c r="N52" s="9"/>
      <c r="O52" s="9"/>
      <c r="P52" s="27"/>
      <c r="Q52" s="27"/>
      <c r="R52" s="4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3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27"/>
      <c r="N53" s="9"/>
      <c r="O53" s="9"/>
      <c r="P53" s="27"/>
      <c r="Q53" s="27"/>
      <c r="R53" s="4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3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27"/>
      <c r="N54" s="9"/>
      <c r="O54" s="9"/>
      <c r="P54" s="27"/>
      <c r="Q54" s="27"/>
      <c r="R54" s="4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3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27"/>
      <c r="N55" s="9"/>
      <c r="O55" s="9"/>
      <c r="P55" s="27"/>
      <c r="Q55" s="27"/>
      <c r="R55" s="4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3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/>
      <c r="B56" s="76"/>
      <c r="C56" s="6"/>
      <c r="D56" s="6"/>
      <c r="E56" s="9"/>
      <c r="F56" s="18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3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/>
      <c r="B57" s="76"/>
      <c r="C57" s="6"/>
      <c r="D57" s="31"/>
      <c r="E57" s="9"/>
      <c r="F57" s="18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0"/>
    </row>
    <row r="58" spans="1:48" ht="16" x14ac:dyDescent="0.2">
      <c r="A58" s="5"/>
      <c r="B58" s="76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7"/>
      <c r="T58" s="6"/>
      <c r="U58" s="30"/>
    </row>
    <row r="59" spans="1:48" ht="16" x14ac:dyDescent="0.2">
      <c r="A59" s="5"/>
      <c r="B59" s="76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7"/>
      <c r="T59" s="6"/>
      <c r="U59" s="30"/>
    </row>
    <row r="60" spans="1:48" ht="16" x14ac:dyDescent="0.2">
      <c r="A60" s="5"/>
      <c r="B60" s="76"/>
      <c r="C60" s="6"/>
      <c r="D60" s="10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7"/>
      <c r="T60" s="6"/>
      <c r="U60" s="30"/>
    </row>
    <row r="61" spans="1:48" ht="16" x14ac:dyDescent="0.2">
      <c r="C61" s="10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7"/>
      <c r="T61" s="31"/>
      <c r="U61" s="32"/>
    </row>
    <row r="62" spans="1:48" ht="16" x14ac:dyDescent="0.2">
      <c r="E62" s="7"/>
      <c r="F62" s="7"/>
      <c r="G62" s="7"/>
      <c r="H62" s="7"/>
      <c r="I62" s="6"/>
      <c r="J62" s="7"/>
      <c r="K62" s="7"/>
      <c r="L62" s="6"/>
      <c r="M62" s="29"/>
      <c r="N62" s="7"/>
      <c r="O62" s="6"/>
      <c r="P62" s="14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 enableFormatConditionsCalculation="0"/>
  <dimension ref="A1:AV70"/>
  <sheetViews>
    <sheetView workbookViewId="0">
      <selection activeCell="U35" sqref="U35"/>
    </sheetView>
  </sheetViews>
  <sheetFormatPr baseColWidth="10" defaultColWidth="8.6640625" defaultRowHeight="15" x14ac:dyDescent="0.2"/>
  <cols>
    <col min="1" max="1" width="22" style="2" customWidth="1"/>
    <col min="2" max="21" width="8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61</v>
      </c>
      <c r="Q2" s="41"/>
      <c r="R2" s="8"/>
      <c r="AH2" s="41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1"/>
      <c r="R3" s="41"/>
      <c r="AH3" s="41"/>
      <c r="AI3" s="41"/>
    </row>
    <row r="4" spans="1:35" ht="16" x14ac:dyDescent="0.2">
      <c r="A4" s="81" t="s">
        <v>73</v>
      </c>
      <c r="B4" s="67">
        <f>0.95*26</f>
        <v>24.7</v>
      </c>
      <c r="Q4" s="41"/>
      <c r="R4" s="41"/>
      <c r="AH4" s="41"/>
      <c r="AI4" s="41"/>
    </row>
    <row r="5" spans="1:35" ht="16" x14ac:dyDescent="0.2">
      <c r="A5" s="41"/>
      <c r="Q5" s="41"/>
      <c r="R5" s="41"/>
      <c r="AH5" s="41"/>
      <c r="AI5" s="41"/>
    </row>
    <row r="6" spans="1:35" ht="16" x14ac:dyDescent="0.2">
      <c r="A6" s="8" t="s">
        <v>12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/>
      <c r="J6" s="40"/>
      <c r="K6" s="40"/>
      <c r="L6" s="40"/>
      <c r="M6" s="40"/>
      <c r="N6" s="40"/>
      <c r="O6" s="40">
        <v>0</v>
      </c>
      <c r="Q6" s="41"/>
      <c r="R6" s="41"/>
      <c r="AH6" s="41"/>
      <c r="AI6" s="41"/>
    </row>
    <row r="7" spans="1:35" ht="16" x14ac:dyDescent="0.2">
      <c r="A7" s="8" t="s">
        <v>13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/>
      <c r="J7" s="40"/>
      <c r="K7" s="40"/>
      <c r="L7" s="40"/>
      <c r="M7" s="40"/>
      <c r="N7" s="40"/>
      <c r="O7" s="40">
        <v>0</v>
      </c>
      <c r="P7" s="40"/>
      <c r="Q7" s="41"/>
      <c r="R7" s="41"/>
      <c r="AH7" s="41"/>
      <c r="AI7" s="41"/>
    </row>
    <row r="8" spans="1:35" ht="16" x14ac:dyDescent="0.2">
      <c r="A8" s="8" t="s">
        <v>14</v>
      </c>
      <c r="B8" s="64">
        <v>485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>
        <v>0</v>
      </c>
      <c r="P8" s="40"/>
      <c r="Q8" s="41"/>
      <c r="R8" s="41"/>
      <c r="AH8" s="41"/>
      <c r="AI8" s="41"/>
    </row>
    <row r="9" spans="1:35" ht="16" x14ac:dyDescent="0.2">
      <c r="A9" s="8" t="s">
        <v>15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>
        <v>0</v>
      </c>
      <c r="P9" s="40"/>
      <c r="Q9" s="41"/>
      <c r="R9" s="41"/>
      <c r="S9" s="8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  <c r="AI9" s="41"/>
    </row>
    <row r="10" spans="1:35" ht="16" x14ac:dyDescent="0.2">
      <c r="A10" s="8" t="s">
        <v>16</v>
      </c>
      <c r="B10" s="64">
        <f>SUM(B4:B9)</f>
        <v>509.7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/>
      <c r="J10" s="40"/>
      <c r="K10" s="40"/>
      <c r="L10" s="40"/>
      <c r="M10" s="40"/>
      <c r="N10" s="40"/>
      <c r="O10" s="40">
        <v>0</v>
      </c>
      <c r="P10" s="40"/>
      <c r="Q10" s="41"/>
      <c r="R10" s="41"/>
      <c r="S10" s="8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/>
      <c r="AI10" s="41"/>
    </row>
    <row r="11" spans="1:35" ht="16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/>
      <c r="J17" s="40"/>
      <c r="K17" s="40"/>
      <c r="L17" s="40"/>
      <c r="M17" s="40"/>
      <c r="N17" s="40"/>
      <c r="O17" s="40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8">
        <f>31446+6659</f>
        <v>38105</v>
      </c>
      <c r="C18" s="40">
        <v>736</v>
      </c>
      <c r="D18" s="40">
        <v>0</v>
      </c>
      <c r="E18" s="40">
        <v>0</v>
      </c>
      <c r="F18" s="40">
        <v>0</v>
      </c>
      <c r="G18" s="40">
        <v>38568</v>
      </c>
      <c r="H18" s="40">
        <v>0</v>
      </c>
      <c r="I18" s="40"/>
      <c r="J18" s="40"/>
      <c r="K18" s="40"/>
      <c r="L18" s="40"/>
      <c r="M18" s="40"/>
      <c r="N18" s="40"/>
      <c r="O18" s="40">
        <v>39305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/>
      <c r="J19" s="40"/>
      <c r="K19" s="40"/>
      <c r="L19" s="40"/>
      <c r="M19" s="40"/>
      <c r="N19" s="40"/>
      <c r="O19" s="40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/>
      <c r="L20" s="40"/>
      <c r="M20" s="40"/>
      <c r="N20" s="40"/>
      <c r="O20" s="40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0">
        <v>6390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/>
      <c r="J21" s="40"/>
      <c r="K21" s="40"/>
      <c r="L21" s="40"/>
      <c r="M21" s="40"/>
      <c r="N21" s="40"/>
      <c r="O21" s="40">
        <v>0</v>
      </c>
      <c r="P21" s="3"/>
      <c r="Q21" s="3"/>
      <c r="R21" s="3"/>
      <c r="S21" s="3" t="s">
        <v>26</v>
      </c>
      <c r="T21" s="12">
        <f>O42/1000</f>
        <v>358.82747999999998</v>
      </c>
      <c r="U21" s="3"/>
    </row>
    <row r="22" spans="1:21" ht="16" x14ac:dyDescent="0.2">
      <c r="A22" s="8" t="s">
        <v>25</v>
      </c>
      <c r="B22" s="68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/>
      <c r="L22" s="40"/>
      <c r="M22" s="40"/>
      <c r="N22" s="40"/>
      <c r="O22" s="40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0">
        <v>44495</v>
      </c>
      <c r="C23" s="40">
        <v>736</v>
      </c>
      <c r="D23" s="40">
        <v>0</v>
      </c>
      <c r="E23" s="40">
        <v>0</v>
      </c>
      <c r="F23" s="40">
        <v>0</v>
      </c>
      <c r="G23" s="40">
        <v>38568</v>
      </c>
      <c r="H23" s="40">
        <v>0</v>
      </c>
      <c r="I23" s="40"/>
      <c r="J23" s="40"/>
      <c r="K23" s="40"/>
      <c r="L23" s="40"/>
      <c r="M23" s="40"/>
      <c r="N23" s="40"/>
      <c r="O23" s="40">
        <v>39305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2">
        <f>N42/1000</f>
        <v>140.37948</v>
      </c>
      <c r="U24" s="14">
        <f>N43</f>
        <v>0.3912171944021679</v>
      </c>
    </row>
    <row r="25" spans="1:21" ht="16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71</v>
      </c>
      <c r="T25" s="12">
        <f>G42/1000</f>
        <v>61.218000000000004</v>
      </c>
      <c r="U25" s="14">
        <f>G43</f>
        <v>0.17060566264322902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55" t="str">
        <f>J29</f>
        <v>Torv</v>
      </c>
      <c r="T26" s="12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2">
        <f>F42/1000</f>
        <v>6.3159999999999998</v>
      </c>
      <c r="U27" s="14">
        <f>F43</f>
        <v>1.7601773420474934E-2</v>
      </c>
    </row>
    <row r="28" spans="1:21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66.56</v>
      </c>
      <c r="U28" s="14">
        <f>E43</f>
        <v>0.18549303971925452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10" t="str">
        <f>D29</f>
        <v>Kol och koks</v>
      </c>
      <c r="T29" s="2">
        <f>D42/1000</f>
        <v>0</v>
      </c>
      <c r="U29" s="54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10" t="str">
        <f>K29</f>
        <v>Avfall</v>
      </c>
      <c r="T30" s="2">
        <f>K42/1000</f>
        <v>0</v>
      </c>
      <c r="U30" s="54">
        <f>K43</f>
        <v>0</v>
      </c>
    </row>
    <row r="31" spans="1:21" ht="16" x14ac:dyDescent="0.2">
      <c r="A31" s="8" t="s">
        <v>33</v>
      </c>
      <c r="B31" s="40">
        <v>0</v>
      </c>
      <c r="C31" s="64">
        <v>1902</v>
      </c>
      <c r="D31" s="40">
        <v>0</v>
      </c>
      <c r="E31" s="40">
        <v>0</v>
      </c>
      <c r="F31" s="40">
        <v>183</v>
      </c>
      <c r="G31" s="40">
        <v>0</v>
      </c>
      <c r="H31" s="40">
        <v>0</v>
      </c>
      <c r="I31" s="40"/>
      <c r="J31" s="40"/>
      <c r="K31" s="40"/>
      <c r="L31" s="40"/>
      <c r="M31" s="41"/>
      <c r="N31" s="40">
        <v>1348</v>
      </c>
      <c r="O31" s="64">
        <f>N31+F31+C31</f>
        <v>3433</v>
      </c>
      <c r="P31" s="16">
        <f>O31/O$39</f>
        <v>9.771551208848761E-3</v>
      </c>
      <c r="Q31" s="17" t="s">
        <v>34</v>
      </c>
      <c r="R31" s="3"/>
      <c r="S31" s="55" t="str">
        <f>I29</f>
        <v>Avlutar</v>
      </c>
      <c r="T31" s="12">
        <f>I42/1000</f>
        <v>0</v>
      </c>
      <c r="U31" s="14">
        <f>I43</f>
        <v>0</v>
      </c>
    </row>
    <row r="32" spans="1:21" ht="16" x14ac:dyDescent="0.2">
      <c r="A32" s="8" t="s">
        <v>36</v>
      </c>
      <c r="B32" s="68">
        <f>(B39-B37-B36)*15212/(6830+5069+15212)</f>
        <v>12905.315185717975</v>
      </c>
      <c r="C32" s="64">
        <f>C39-SUM(C33:C38)-C31</f>
        <v>4414</v>
      </c>
      <c r="D32" s="40">
        <v>0</v>
      </c>
      <c r="E32" s="77">
        <v>66560</v>
      </c>
      <c r="F32" s="40">
        <v>0</v>
      </c>
      <c r="G32" s="40">
        <v>0</v>
      </c>
      <c r="H32" s="40">
        <v>0</v>
      </c>
      <c r="I32" s="40"/>
      <c r="J32" s="40"/>
      <c r="K32" s="40"/>
      <c r="L32" s="40"/>
      <c r="M32" s="41"/>
      <c r="N32" s="40">
        <v>76872</v>
      </c>
      <c r="O32" s="64">
        <f>SUM(B32:N32)</f>
        <v>160751.31518571798</v>
      </c>
      <c r="P32" s="16">
        <f>O32/O$39</f>
        <v>0.45755598841451522</v>
      </c>
      <c r="Q32" s="17" t="s">
        <v>37</v>
      </c>
      <c r="R32" s="3"/>
      <c r="S32" s="55" t="str">
        <f>H29</f>
        <v>Biogas</v>
      </c>
      <c r="T32" s="12">
        <f>H42/1000</f>
        <v>0</v>
      </c>
      <c r="U32" s="14">
        <f>H43</f>
        <v>0</v>
      </c>
    </row>
    <row r="33" spans="1:48" ht="16" x14ac:dyDescent="0.2">
      <c r="A33" s="8" t="s">
        <v>38</v>
      </c>
      <c r="B33" s="68">
        <f>(B39-B37-B36)*5069/(6830+5069+15212)</f>
        <v>4300.3577883515918</v>
      </c>
      <c r="C33" s="40">
        <v>100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/>
      <c r="J33" s="40"/>
      <c r="K33" s="40"/>
      <c r="L33" s="40"/>
      <c r="M33" s="41"/>
      <c r="N33" s="40">
        <v>4611</v>
      </c>
      <c r="O33" s="68">
        <f>SUM(B33:N33)</f>
        <v>9011.3577883515918</v>
      </c>
      <c r="P33" s="16">
        <f>O33/O$39</f>
        <v>2.5649561342888347E-2</v>
      </c>
      <c r="Q33" s="17" t="s">
        <v>39</v>
      </c>
      <c r="R33" s="3"/>
      <c r="S33" s="3" t="s">
        <v>35</v>
      </c>
      <c r="T33" s="12">
        <f>C42/1000</f>
        <v>84.353999999999999</v>
      </c>
      <c r="U33" s="14">
        <f>C43</f>
        <v>0.23508232981487373</v>
      </c>
    </row>
    <row r="34" spans="1:48" ht="16" x14ac:dyDescent="0.2">
      <c r="A34" s="8" t="s">
        <v>40</v>
      </c>
      <c r="B34" s="40">
        <v>0</v>
      </c>
      <c r="C34" s="40">
        <v>72920</v>
      </c>
      <c r="D34" s="40">
        <v>0</v>
      </c>
      <c r="E34" s="40">
        <v>0</v>
      </c>
      <c r="F34" s="40">
        <v>6134</v>
      </c>
      <c r="G34" s="40">
        <v>0</v>
      </c>
      <c r="H34" s="40">
        <v>0</v>
      </c>
      <c r="I34" s="40"/>
      <c r="J34" s="40"/>
      <c r="K34" s="40"/>
      <c r="L34" s="40"/>
      <c r="M34" s="41"/>
      <c r="N34" s="40">
        <v>136</v>
      </c>
      <c r="O34" s="40">
        <v>79190</v>
      </c>
      <c r="P34" s="16">
        <f>O34/O$39</f>
        <v>0.22540318678378485</v>
      </c>
      <c r="Q34" s="17" t="s">
        <v>41</v>
      </c>
      <c r="R34" s="3"/>
      <c r="S34" s="3"/>
      <c r="T34" s="13">
        <f>SUM(T24:T33)</f>
        <v>358.82747999999998</v>
      </c>
      <c r="U34" s="14">
        <f>SUM(U24:U33)</f>
        <v>1</v>
      </c>
    </row>
    <row r="35" spans="1:48" ht="16" x14ac:dyDescent="0.2">
      <c r="A35" s="8" t="s">
        <v>42</v>
      </c>
      <c r="B35" s="68">
        <f>(B39-B37-B36)*6830/(6830+5069+15212)</f>
        <v>5794.3270259304345</v>
      </c>
      <c r="C35" s="40">
        <v>3671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/>
      <c r="J35" s="40"/>
      <c r="K35" s="40"/>
      <c r="L35" s="40"/>
      <c r="M35" s="41"/>
      <c r="N35" s="40">
        <v>16911</v>
      </c>
      <c r="O35" s="68">
        <f>SUM(B35:N35)</f>
        <v>26376.327025930434</v>
      </c>
      <c r="P35" s="16">
        <f>O35/O$39</f>
        <v>7.5076501670614859E-2</v>
      </c>
      <c r="Q35" s="17" t="s">
        <v>43</v>
      </c>
      <c r="R35" s="17"/>
    </row>
    <row r="36" spans="1:48" ht="16" x14ac:dyDescent="0.2">
      <c r="A36" s="8" t="s">
        <v>44</v>
      </c>
      <c r="B36" s="67">
        <v>3900</v>
      </c>
      <c r="C36" s="40">
        <v>611</v>
      </c>
      <c r="D36" s="40">
        <v>0</v>
      </c>
      <c r="E36" s="40">
        <v>0</v>
      </c>
      <c r="F36" s="40">
        <v>0</v>
      </c>
      <c r="G36" s="40">
        <v>22650</v>
      </c>
      <c r="H36" s="40">
        <v>0</v>
      </c>
      <c r="I36" s="40"/>
      <c r="J36" s="40"/>
      <c r="K36" s="40"/>
      <c r="L36" s="40"/>
      <c r="M36" s="41"/>
      <c r="N36" s="40">
        <v>23828</v>
      </c>
      <c r="O36" s="68">
        <f>SUM(B36:N36)</f>
        <v>50989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45</v>
      </c>
      <c r="B37" s="67">
        <v>15300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/>
      <c r="J37" s="40"/>
      <c r="K37" s="40"/>
      <c r="L37" s="40"/>
      <c r="M37" s="41"/>
      <c r="N37" s="40">
        <v>3359</v>
      </c>
      <c r="O37" s="68">
        <f>SUM(B37:N37)</f>
        <v>18659</v>
      </c>
      <c r="P37" s="17"/>
      <c r="Q37" s="17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/>
      <c r="J38" s="40"/>
      <c r="K38" s="40"/>
      <c r="L38" s="40"/>
      <c r="M38" s="41"/>
      <c r="N38" s="40">
        <v>2916</v>
      </c>
      <c r="O38" s="40">
        <v>2916</v>
      </c>
      <c r="P38" s="17">
        <f>SUM(P31:P35)</f>
        <v>0.79345678942065201</v>
      </c>
      <c r="Q38" s="17"/>
      <c r="R38" s="3"/>
      <c r="S38" s="7" t="s">
        <v>47</v>
      </c>
      <c r="T38" s="19">
        <f>O45/1000</f>
        <v>12.693479999999999</v>
      </c>
      <c r="U38" s="7"/>
    </row>
    <row r="39" spans="1:48" ht="16" x14ac:dyDescent="0.2">
      <c r="A39" s="8" t="s">
        <v>16</v>
      </c>
      <c r="B39" s="67">
        <v>42200</v>
      </c>
      <c r="C39" s="40">
        <v>83618</v>
      </c>
      <c r="D39" s="40">
        <v>0</v>
      </c>
      <c r="E39" s="77">
        <f>SUM(E31:E38)</f>
        <v>66560</v>
      </c>
      <c r="F39" s="40">
        <v>6316</v>
      </c>
      <c r="G39" s="40">
        <v>22650</v>
      </c>
      <c r="H39" s="40">
        <v>0</v>
      </c>
      <c r="I39" s="40"/>
      <c r="J39" s="40"/>
      <c r="K39" s="40"/>
      <c r="L39" s="40"/>
      <c r="M39" s="41"/>
      <c r="N39" s="40">
        <v>129981</v>
      </c>
      <c r="O39" s="64">
        <f>SUM(O31:O38)</f>
        <v>351326</v>
      </c>
      <c r="P39" s="3"/>
      <c r="Q39" s="3"/>
      <c r="R39" s="3"/>
      <c r="S39" s="7" t="s">
        <v>48</v>
      </c>
      <c r="T39" s="19">
        <f>O41/1000</f>
        <v>72.563999999999993</v>
      </c>
      <c r="U39" s="14">
        <f>P41</f>
        <v>0.20654321057934796</v>
      </c>
    </row>
    <row r="40" spans="1:48" x14ac:dyDescent="0.2">
      <c r="S40" s="7" t="s">
        <v>49</v>
      </c>
      <c r="T40" s="19">
        <f>O35/1000</f>
        <v>26.376327025930433</v>
      </c>
      <c r="U40" s="14">
        <f>P35</f>
        <v>7.5076501670614859E-2</v>
      </c>
    </row>
    <row r="41" spans="1:48" ht="16" x14ac:dyDescent="0.2">
      <c r="A41" s="21" t="s">
        <v>50</v>
      </c>
      <c r="B41" s="22">
        <f>B38+B37+B36</f>
        <v>19200</v>
      </c>
      <c r="C41" s="22">
        <f t="shared" ref="C41:O41" si="0">C38+C37+C36</f>
        <v>611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22650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30103</v>
      </c>
      <c r="O41" s="22">
        <f t="shared" si="0"/>
        <v>72564</v>
      </c>
      <c r="P41" s="16">
        <f>O41/O$39</f>
        <v>0.20654321057934796</v>
      </c>
      <c r="Q41" s="16" t="s">
        <v>51</v>
      </c>
      <c r="R41" s="7"/>
      <c r="S41" s="7" t="s">
        <v>52</v>
      </c>
      <c r="T41" s="19">
        <f>O33/1000</f>
        <v>9.0113577883515923</v>
      </c>
      <c r="U41" s="14">
        <f>P33</f>
        <v>2.5649561342888347E-2</v>
      </c>
    </row>
    <row r="42" spans="1:48" ht="16" x14ac:dyDescent="0.2">
      <c r="A42" s="23" t="s">
        <v>53</v>
      </c>
      <c r="B42" s="22"/>
      <c r="C42" s="24">
        <f>C39+C23+C10</f>
        <v>84354</v>
      </c>
      <c r="D42" s="24">
        <f t="shared" ref="D42:M42" si="1">D39+D23+D10</f>
        <v>0</v>
      </c>
      <c r="E42" s="24">
        <f t="shared" si="1"/>
        <v>66560</v>
      </c>
      <c r="F42" s="24">
        <f t="shared" si="1"/>
        <v>6316</v>
      </c>
      <c r="G42" s="24">
        <f t="shared" si="1"/>
        <v>61218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140379.48000000001</v>
      </c>
      <c r="O42" s="25">
        <f>SUM(C42:N42)</f>
        <v>358827.48</v>
      </c>
      <c r="P42" s="7"/>
      <c r="Q42" s="7"/>
      <c r="R42" s="7"/>
      <c r="S42" s="7" t="s">
        <v>34</v>
      </c>
      <c r="T42" s="19">
        <f>O31/1000</f>
        <v>3.4329999999999998</v>
      </c>
      <c r="U42" s="14">
        <f>P31</f>
        <v>9.771551208848761E-3</v>
      </c>
    </row>
    <row r="43" spans="1:48" ht="16" x14ac:dyDescent="0.2">
      <c r="A43" s="23" t="s">
        <v>54</v>
      </c>
      <c r="B43" s="22"/>
      <c r="C43" s="16">
        <f t="shared" ref="C43:N43" si="2">C42/$O42</f>
        <v>0.23508232981487373</v>
      </c>
      <c r="D43" s="16">
        <f t="shared" si="2"/>
        <v>0</v>
      </c>
      <c r="E43" s="16">
        <f t="shared" si="2"/>
        <v>0.18549303971925452</v>
      </c>
      <c r="F43" s="16">
        <f t="shared" si="2"/>
        <v>1.7601773420474934E-2</v>
      </c>
      <c r="G43" s="16">
        <f t="shared" si="2"/>
        <v>0.17060566264322902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0.3912171944021679</v>
      </c>
      <c r="O43" s="16">
        <f>SUM(C43:N43)</f>
        <v>1</v>
      </c>
      <c r="P43" s="7"/>
      <c r="Q43" s="7"/>
      <c r="R43" s="7"/>
      <c r="S43" s="7" t="s">
        <v>55</v>
      </c>
      <c r="T43" s="19">
        <f>O32/1000</f>
        <v>160.75131518571797</v>
      </c>
      <c r="U43" s="14">
        <f>P32</f>
        <v>0.45755598841451522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19">
        <f>O34/1000</f>
        <v>79.19</v>
      </c>
      <c r="U44" s="14">
        <f>P34</f>
        <v>0.22540318678378485</v>
      </c>
    </row>
    <row r="45" spans="1:48" ht="16" x14ac:dyDescent="0.2">
      <c r="A45" s="6" t="s">
        <v>57</v>
      </c>
      <c r="B45" s="6">
        <f>B23-B39</f>
        <v>2295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10398.48</v>
      </c>
      <c r="O45" s="25">
        <f>B45+N45</f>
        <v>12693.48</v>
      </c>
      <c r="P45" s="7"/>
      <c r="Q45" s="7"/>
      <c r="R45" s="7"/>
      <c r="S45" s="7" t="s">
        <v>58</v>
      </c>
      <c r="T45" s="19">
        <f>SUM(T39:T44)</f>
        <v>351.32599999999996</v>
      </c>
      <c r="U45" s="14">
        <f>SUM(U39:U44)</f>
        <v>1</v>
      </c>
    </row>
    <row r="46" spans="1:48" ht="16" x14ac:dyDescent="0.2">
      <c r="A46" s="6"/>
      <c r="B46" s="4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9"/>
      <c r="C47" s="50"/>
      <c r="D47" s="50"/>
      <c r="E47" s="50"/>
      <c r="F47" s="50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9"/>
      <c r="C48" s="50"/>
      <c r="D48" s="51"/>
      <c r="E48" s="50"/>
      <c r="F48" s="51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/>
      <c r="B50" s="40"/>
      <c r="C50" s="40"/>
      <c r="D50" s="40"/>
      <c r="E50" s="74"/>
      <c r="F50" s="40"/>
      <c r="G50" s="40"/>
      <c r="I50" s="40"/>
      <c r="J50" s="40"/>
      <c r="K50" s="40"/>
      <c r="L50" s="75"/>
      <c r="M50" s="40"/>
      <c r="N50" s="40"/>
      <c r="O50" s="40"/>
      <c r="P50" s="40"/>
      <c r="Q50" s="40"/>
      <c r="R50" s="40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27"/>
      <c r="N51" s="9"/>
      <c r="O51" s="9"/>
      <c r="P51" s="27"/>
      <c r="Q51" s="27"/>
      <c r="R51" s="4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27"/>
      <c r="N52" s="9"/>
      <c r="O52" s="9"/>
      <c r="P52" s="27"/>
      <c r="Q52" s="27"/>
      <c r="R52" s="4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27"/>
      <c r="N53" s="9"/>
      <c r="O53" s="9"/>
      <c r="P53" s="27"/>
      <c r="Q53" s="27"/>
      <c r="R53" s="4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/>
      <c r="B54" s="7"/>
      <c r="C54" s="28"/>
      <c r="D54" s="28"/>
      <c r="E54" s="9"/>
      <c r="F54" s="43"/>
      <c r="G54" s="9"/>
      <c r="H54" s="9"/>
      <c r="I54" s="9"/>
      <c r="J54" s="9"/>
      <c r="K54" s="9"/>
      <c r="L54" s="9"/>
      <c r="M54" s="27"/>
      <c r="N54" s="9"/>
      <c r="O54" s="9"/>
      <c r="P54" s="27"/>
      <c r="Q54" s="27"/>
      <c r="R54" s="4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/>
      <c r="C55" s="6"/>
      <c r="D55" s="6"/>
      <c r="E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10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/>
      <c r="B56" s="76"/>
      <c r="C56" s="6"/>
      <c r="D56" s="6"/>
      <c r="E56" s="9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/>
      <c r="B57" s="76"/>
      <c r="C57" s="6"/>
      <c r="D57" s="31"/>
      <c r="E57" s="9"/>
      <c r="F57" s="8"/>
      <c r="G57" s="75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U57" s="30"/>
    </row>
    <row r="58" spans="1:48" ht="16" x14ac:dyDescent="0.2">
      <c r="A58" s="5"/>
      <c r="B58" s="76"/>
      <c r="C58" s="6"/>
      <c r="E58" s="28"/>
      <c r="F58" s="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U58" s="30"/>
    </row>
    <row r="59" spans="1:48" ht="16" x14ac:dyDescent="0.2">
      <c r="A59" s="5"/>
      <c r="B59" s="76"/>
      <c r="C59" s="6"/>
      <c r="E59" s="28"/>
      <c r="F59" s="8"/>
      <c r="G59" s="75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U59" s="30"/>
    </row>
    <row r="60" spans="1:48" ht="16" x14ac:dyDescent="0.2">
      <c r="A60" s="5"/>
      <c r="B60" s="76"/>
      <c r="C60" s="6"/>
      <c r="D60" s="10"/>
      <c r="E60" s="28"/>
      <c r="F60" s="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U60" s="30"/>
    </row>
    <row r="61" spans="1:48" ht="16" x14ac:dyDescent="0.2">
      <c r="C61" s="10"/>
      <c r="E61" s="28"/>
      <c r="U61" s="32"/>
    </row>
    <row r="62" spans="1:48" x14ac:dyDescent="0.2">
      <c r="E62" s="7"/>
      <c r="U62" s="6"/>
    </row>
    <row r="63" spans="1:48" x14ac:dyDescent="0.2">
      <c r="A63" s="7"/>
      <c r="B63" s="33"/>
      <c r="C63" s="33"/>
      <c r="D63" s="33"/>
      <c r="E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/>
  <dimension ref="A1:AV70"/>
  <sheetViews>
    <sheetView workbookViewId="0">
      <selection activeCell="U35" sqref="U35"/>
    </sheetView>
  </sheetViews>
  <sheetFormatPr baseColWidth="10" defaultColWidth="8.6640625" defaultRowHeight="15" x14ac:dyDescent="0.2"/>
  <cols>
    <col min="1" max="1" width="22" style="2" customWidth="1"/>
    <col min="2" max="21" width="8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62</v>
      </c>
      <c r="Q2" s="41"/>
      <c r="R2" s="8"/>
      <c r="AH2" s="41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1"/>
      <c r="R3" s="41"/>
      <c r="AH3" s="41"/>
      <c r="AI3" s="41"/>
    </row>
    <row r="4" spans="1:35" ht="16" x14ac:dyDescent="0.2">
      <c r="A4" s="81" t="s">
        <v>73</v>
      </c>
      <c r="B4" s="67">
        <f>0.95*(215/2+44)</f>
        <v>143.92499999999998</v>
      </c>
      <c r="Q4" s="41"/>
      <c r="R4" s="41"/>
      <c r="AH4" s="41"/>
      <c r="AI4" s="41"/>
    </row>
    <row r="5" spans="1:35" ht="16" x14ac:dyDescent="0.2">
      <c r="A5" s="41"/>
      <c r="Q5" s="41"/>
      <c r="R5" s="41"/>
      <c r="AH5" s="41"/>
      <c r="AI5" s="41"/>
    </row>
    <row r="6" spans="1:35" ht="16" x14ac:dyDescent="0.2">
      <c r="A6" s="8" t="s">
        <v>12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/>
      <c r="J6" s="40"/>
      <c r="K6" s="40"/>
      <c r="L6" s="40"/>
      <c r="M6" s="40"/>
      <c r="N6" s="40"/>
      <c r="O6" s="40">
        <v>0</v>
      </c>
      <c r="Q6" s="41"/>
      <c r="R6" s="41"/>
      <c r="AH6" s="41"/>
      <c r="AI6" s="41"/>
    </row>
    <row r="7" spans="1:35" ht="16" x14ac:dyDescent="0.2">
      <c r="A7" s="8" t="s">
        <v>13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/>
      <c r="J7" s="40"/>
      <c r="K7" s="40"/>
      <c r="L7" s="40"/>
      <c r="M7" s="40"/>
      <c r="N7" s="40"/>
      <c r="O7" s="40">
        <v>0</v>
      </c>
      <c r="P7" s="40"/>
      <c r="Q7" s="41"/>
      <c r="R7" s="41"/>
      <c r="AH7" s="41"/>
      <c r="AI7" s="41"/>
    </row>
    <row r="8" spans="1:35" ht="16" x14ac:dyDescent="0.2">
      <c r="A8" s="8" t="s">
        <v>14</v>
      </c>
      <c r="B8" s="40">
        <v>32371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>
        <v>0</v>
      </c>
      <c r="P8" s="40"/>
      <c r="Q8" s="41"/>
      <c r="R8" s="41"/>
      <c r="AH8" s="41"/>
      <c r="AI8" s="41"/>
    </row>
    <row r="9" spans="1:35" ht="16" x14ac:dyDescent="0.2">
      <c r="A9" s="8" t="s">
        <v>15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>
        <v>0</v>
      </c>
      <c r="P9" s="40"/>
      <c r="Q9" s="41"/>
      <c r="R9" s="41"/>
      <c r="S9" s="8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  <c r="AI9" s="41"/>
    </row>
    <row r="10" spans="1:35" ht="16" x14ac:dyDescent="0.2">
      <c r="A10" s="8" t="s">
        <v>16</v>
      </c>
      <c r="B10" s="68">
        <f>SUM(B4:B9)</f>
        <v>32514.924999999999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/>
      <c r="J10" s="40"/>
      <c r="K10" s="40"/>
      <c r="L10" s="40"/>
      <c r="M10" s="40"/>
      <c r="N10" s="40"/>
      <c r="O10" s="40">
        <v>0</v>
      </c>
      <c r="P10" s="40"/>
      <c r="Q10" s="41"/>
      <c r="R10" s="41"/>
      <c r="S10" s="8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/>
      <c r="AI10" s="41"/>
    </row>
    <row r="11" spans="1:35" ht="16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/>
      <c r="J17" s="40"/>
      <c r="K17" s="40"/>
      <c r="L17" s="40"/>
      <c r="M17" s="40"/>
      <c r="N17" s="40"/>
      <c r="O17" s="40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7">
        <v>15500</v>
      </c>
      <c r="C18" s="40">
        <v>308</v>
      </c>
      <c r="D18" s="40">
        <v>0</v>
      </c>
      <c r="E18" s="40">
        <v>0</v>
      </c>
      <c r="F18" s="40">
        <v>0</v>
      </c>
      <c r="G18" s="67">
        <v>18200</v>
      </c>
      <c r="H18" s="40">
        <v>0</v>
      </c>
      <c r="I18" s="40"/>
      <c r="J18" s="40"/>
      <c r="K18" s="40"/>
      <c r="L18" s="40"/>
      <c r="M18" s="40"/>
      <c r="N18" s="40"/>
      <c r="O18" s="40">
        <f>SUM(C18:N18)</f>
        <v>18508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/>
      <c r="J19" s="40"/>
      <c r="K19" s="40"/>
      <c r="L19" s="40"/>
      <c r="M19" s="40"/>
      <c r="N19" s="40"/>
      <c r="O19" s="40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/>
      <c r="L20" s="40"/>
      <c r="M20" s="40"/>
      <c r="N20" s="40"/>
      <c r="O20" s="40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/>
      <c r="J21" s="40"/>
      <c r="K21" s="40"/>
      <c r="L21" s="40"/>
      <c r="M21" s="40"/>
      <c r="N21" s="40"/>
      <c r="O21" s="40">
        <v>0</v>
      </c>
      <c r="P21" s="3"/>
      <c r="Q21" s="3"/>
      <c r="R21" s="3"/>
      <c r="S21" s="3" t="s">
        <v>26</v>
      </c>
      <c r="T21" s="12">
        <f>O42/1000</f>
        <v>242.66656</v>
      </c>
      <c r="U21" s="3"/>
    </row>
    <row r="22" spans="1:21" ht="16" x14ac:dyDescent="0.2">
      <c r="A22" s="8" t="s">
        <v>25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/>
      <c r="L22" s="40"/>
      <c r="M22" s="40"/>
      <c r="N22" s="40"/>
      <c r="O22" s="40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0">
        <f>SUM(B17:B22)</f>
        <v>15500</v>
      </c>
      <c r="C23" s="40">
        <f>SUM(C17:C22)</f>
        <v>308</v>
      </c>
      <c r="D23" s="40">
        <v>0</v>
      </c>
      <c r="E23" s="40">
        <v>0</v>
      </c>
      <c r="F23" s="40">
        <v>0</v>
      </c>
      <c r="G23" s="40">
        <f>SUM(G17:G22)</f>
        <v>18200</v>
      </c>
      <c r="H23" s="40">
        <v>0</v>
      </c>
      <c r="I23" s="40"/>
      <c r="J23" s="40"/>
      <c r="K23" s="40"/>
      <c r="L23" s="40"/>
      <c r="M23" s="40"/>
      <c r="N23" s="40"/>
      <c r="O23" s="40">
        <f>SUM(O18:O21)</f>
        <v>18508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2">
        <f>N42/1000</f>
        <v>98.773560000000003</v>
      </c>
      <c r="U24" s="14">
        <f>N43</f>
        <v>0.4070340800149802</v>
      </c>
    </row>
    <row r="25" spans="1:21" ht="16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71</v>
      </c>
      <c r="T25" s="12">
        <f>G42/1000</f>
        <v>36.262999999999998</v>
      </c>
      <c r="U25" s="14">
        <f>G43</f>
        <v>0.14943550524637594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55" t="str">
        <f>J29</f>
        <v>Torv</v>
      </c>
      <c r="T26" s="12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2">
        <f>F42/1000</f>
        <v>1.8660000000000001</v>
      </c>
      <c r="U27" s="14">
        <f>F43</f>
        <v>7.6895638195884925E-3</v>
      </c>
    </row>
    <row r="28" spans="1:21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65.421000000000006</v>
      </c>
      <c r="U28" s="14">
        <f>E43</f>
        <v>0.26959215146907756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10" t="str">
        <f>D29</f>
        <v>Kol och koks</v>
      </c>
      <c r="T29" s="2">
        <f>D42/1000</f>
        <v>0</v>
      </c>
      <c r="U29" s="54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10" t="str">
        <f>K29</f>
        <v>Avfall</v>
      </c>
      <c r="T30" s="2">
        <f>K42/1000</f>
        <v>0</v>
      </c>
      <c r="U30" s="54">
        <f>K43</f>
        <v>0</v>
      </c>
    </row>
    <row r="31" spans="1:21" ht="16" x14ac:dyDescent="0.2">
      <c r="A31" s="8" t="s">
        <v>33</v>
      </c>
      <c r="B31" s="40">
        <v>0</v>
      </c>
      <c r="C31" s="40">
        <v>146</v>
      </c>
      <c r="D31" s="40">
        <v>0</v>
      </c>
      <c r="E31" s="40">
        <v>0</v>
      </c>
      <c r="F31" s="40">
        <v>15</v>
      </c>
      <c r="G31" s="40">
        <v>0</v>
      </c>
      <c r="H31" s="40">
        <v>0</v>
      </c>
      <c r="I31" s="40"/>
      <c r="J31" s="40"/>
      <c r="K31" s="40"/>
      <c r="L31" s="40"/>
      <c r="M31" s="41"/>
      <c r="N31" s="40">
        <v>1074</v>
      </c>
      <c r="O31" s="40">
        <v>1235</v>
      </c>
      <c r="P31" s="16">
        <f>O31/O$39</f>
        <v>5.3522750419297662E-3</v>
      </c>
      <c r="Q31" s="17" t="s">
        <v>34</v>
      </c>
      <c r="R31" s="3"/>
      <c r="S31" s="55" t="str">
        <f>I29</f>
        <v>Avlutar</v>
      </c>
      <c r="T31" s="12">
        <f>I42/1000</f>
        <v>0</v>
      </c>
      <c r="U31" s="14">
        <f>I43</f>
        <v>0</v>
      </c>
    </row>
    <row r="32" spans="1:21" ht="16" x14ac:dyDescent="0.2">
      <c r="A32" s="8" t="s">
        <v>36</v>
      </c>
      <c r="B32" s="68">
        <f>B39-B37-B36-B35-B33</f>
        <v>52</v>
      </c>
      <c r="C32" s="64">
        <f>O32-N32-E32-B32</f>
        <v>12100</v>
      </c>
      <c r="D32" s="40">
        <v>0</v>
      </c>
      <c r="E32" s="77">
        <v>65421</v>
      </c>
      <c r="F32" s="40">
        <v>0</v>
      </c>
      <c r="G32" s="40">
        <v>0</v>
      </c>
      <c r="H32" s="40">
        <v>0</v>
      </c>
      <c r="I32" s="40"/>
      <c r="J32" s="40"/>
      <c r="K32" s="40"/>
      <c r="L32" s="40"/>
      <c r="M32" s="41"/>
      <c r="N32" s="64">
        <f>N39-N38-N37-N36-N35-N34-N33-N31</f>
        <v>49020</v>
      </c>
      <c r="O32" s="64">
        <f>O39-O38-O37-O36-O35-O34-O33-O31</f>
        <v>126593</v>
      </c>
      <c r="P32" s="16">
        <f>O32/O$39</f>
        <v>0.54863202784049792</v>
      </c>
      <c r="Q32" s="17" t="s">
        <v>37</v>
      </c>
      <c r="R32" s="3"/>
      <c r="S32" s="55" t="str">
        <f>H29</f>
        <v>Biogas</v>
      </c>
      <c r="T32" s="12">
        <f>H42/1000</f>
        <v>0</v>
      </c>
      <c r="U32" s="14">
        <f>H43</f>
        <v>0</v>
      </c>
    </row>
    <row r="33" spans="1:48" ht="16" x14ac:dyDescent="0.2">
      <c r="A33" s="8" t="s">
        <v>38</v>
      </c>
      <c r="B33" s="40">
        <v>3335</v>
      </c>
      <c r="C33" s="40">
        <v>27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/>
      <c r="J33" s="40"/>
      <c r="K33" s="40"/>
      <c r="L33" s="40"/>
      <c r="M33" s="41"/>
      <c r="N33" s="64">
        <v>4755</v>
      </c>
      <c r="O33" s="64">
        <f>SUM(B33:N33)</f>
        <v>8117</v>
      </c>
      <c r="P33" s="16">
        <f>O33/O$39</f>
        <v>3.5177665194610457E-2</v>
      </c>
      <c r="Q33" s="17" t="s">
        <v>39</v>
      </c>
      <c r="R33" s="3"/>
      <c r="S33" s="3" t="s">
        <v>35</v>
      </c>
      <c r="T33" s="12">
        <f>C42/1000</f>
        <v>40.343000000000004</v>
      </c>
      <c r="U33" s="14">
        <f>C43</f>
        <v>0.16624869944997778</v>
      </c>
    </row>
    <row r="34" spans="1:48" ht="16" x14ac:dyDescent="0.2">
      <c r="A34" s="8" t="s">
        <v>40</v>
      </c>
      <c r="B34" s="40">
        <v>0</v>
      </c>
      <c r="C34" s="40">
        <v>25945</v>
      </c>
      <c r="D34" s="40">
        <v>0</v>
      </c>
      <c r="E34" s="40">
        <v>0</v>
      </c>
      <c r="F34" s="40">
        <v>1851</v>
      </c>
      <c r="G34" s="40">
        <v>0</v>
      </c>
      <c r="H34" s="40">
        <v>0</v>
      </c>
      <c r="I34" s="40"/>
      <c r="J34" s="40"/>
      <c r="K34" s="40"/>
      <c r="L34" s="40"/>
      <c r="M34" s="41"/>
      <c r="N34" s="40">
        <v>200</v>
      </c>
      <c r="O34" s="40">
        <v>27996</v>
      </c>
      <c r="P34" s="16">
        <f>O34/O$39</f>
        <v>0.12132979115292772</v>
      </c>
      <c r="Q34" s="17" t="s">
        <v>41</v>
      </c>
      <c r="R34" s="3"/>
      <c r="S34" s="3"/>
      <c r="T34" s="13">
        <f>SUM(T24:T33)</f>
        <v>242.66656000000006</v>
      </c>
      <c r="U34" s="14">
        <f>SUM(U24:U33)</f>
        <v>1</v>
      </c>
    </row>
    <row r="35" spans="1:48" ht="16" x14ac:dyDescent="0.2">
      <c r="A35" s="8" t="s">
        <v>42</v>
      </c>
      <c r="B35" s="40">
        <v>523</v>
      </c>
      <c r="C35" s="40">
        <v>886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/>
      <c r="J35" s="40"/>
      <c r="K35" s="40"/>
      <c r="L35" s="40"/>
      <c r="M35" s="41"/>
      <c r="N35" s="40">
        <v>10841</v>
      </c>
      <c r="O35" s="40">
        <v>12250</v>
      </c>
      <c r="P35" s="16">
        <f>O35/O$39</f>
        <v>5.3089367824809421E-2</v>
      </c>
      <c r="Q35" s="17" t="s">
        <v>43</v>
      </c>
      <c r="R35" s="17"/>
    </row>
    <row r="36" spans="1:48" ht="16" x14ac:dyDescent="0.2">
      <c r="A36" s="8" t="s">
        <v>44</v>
      </c>
      <c r="B36" s="40">
        <v>190</v>
      </c>
      <c r="C36" s="40">
        <v>931</v>
      </c>
      <c r="D36" s="40">
        <v>0</v>
      </c>
      <c r="E36" s="40">
        <v>0</v>
      </c>
      <c r="F36" s="40">
        <v>0</v>
      </c>
      <c r="G36" s="40">
        <v>18063</v>
      </c>
      <c r="H36" s="40">
        <v>0</v>
      </c>
      <c r="I36" s="40"/>
      <c r="J36" s="40"/>
      <c r="K36" s="40"/>
      <c r="L36" s="40"/>
      <c r="M36" s="41"/>
      <c r="N36" s="40">
        <v>19845</v>
      </c>
      <c r="O36" s="40">
        <v>39030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45</v>
      </c>
      <c r="B37" s="67">
        <v>9800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/>
      <c r="J37" s="40"/>
      <c r="K37" s="40"/>
      <c r="L37" s="40"/>
      <c r="M37" s="41"/>
      <c r="N37" s="40">
        <v>3358</v>
      </c>
      <c r="O37" s="40">
        <f>SUM(B37:N37)</f>
        <v>13158</v>
      </c>
      <c r="P37" s="17"/>
      <c r="Q37" s="17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/>
      <c r="J38" s="40"/>
      <c r="K38" s="40"/>
      <c r="L38" s="40"/>
      <c r="M38" s="41"/>
      <c r="N38" s="64">
        <v>2364</v>
      </c>
      <c r="O38" s="64">
        <f>SUM(B38:N38)</f>
        <v>2364</v>
      </c>
      <c r="P38" s="17">
        <f>SUM(P31:P35)</f>
        <v>0.76358112705477532</v>
      </c>
      <c r="Q38" s="17"/>
      <c r="R38" s="3"/>
      <c r="S38" s="7" t="s">
        <v>47</v>
      </c>
      <c r="T38" s="19">
        <f>O45/1000</f>
        <v>8.9165600000000005</v>
      </c>
      <c r="U38" s="7"/>
    </row>
    <row r="39" spans="1:48" ht="16" x14ac:dyDescent="0.2">
      <c r="A39" s="8" t="s">
        <v>16</v>
      </c>
      <c r="B39" s="67">
        <v>13900</v>
      </c>
      <c r="C39" s="64">
        <f>SUM(C31:C38)</f>
        <v>40035</v>
      </c>
      <c r="D39" s="40">
        <v>0</v>
      </c>
      <c r="E39" s="77">
        <f>SUM(E31:E38)</f>
        <v>65421</v>
      </c>
      <c r="F39" s="40">
        <v>1866</v>
      </c>
      <c r="G39" s="40">
        <v>18063</v>
      </c>
      <c r="H39" s="40">
        <v>0</v>
      </c>
      <c r="I39" s="40"/>
      <c r="J39" s="40"/>
      <c r="K39" s="40"/>
      <c r="L39" s="40"/>
      <c r="M39" s="41"/>
      <c r="N39" s="40">
        <v>91457</v>
      </c>
      <c r="O39" s="68">
        <f>228147-10562+13158</f>
        <v>230743</v>
      </c>
      <c r="P39" s="3"/>
      <c r="Q39" s="3"/>
      <c r="R39" s="3"/>
      <c r="S39" s="7" t="s">
        <v>48</v>
      </c>
      <c r="T39" s="19">
        <f>O41/1000</f>
        <v>54.552</v>
      </c>
      <c r="U39" s="14">
        <f>P41</f>
        <v>0.23641887294522476</v>
      </c>
    </row>
    <row r="40" spans="1:48" x14ac:dyDescent="0.2">
      <c r="O40" s="10"/>
      <c r="S40" s="7" t="s">
        <v>49</v>
      </c>
      <c r="T40" s="19">
        <f>O35/1000</f>
        <v>12.25</v>
      </c>
      <c r="U40" s="14">
        <f>P35</f>
        <v>5.3089367824809421E-2</v>
      </c>
    </row>
    <row r="41" spans="1:48" ht="16" x14ac:dyDescent="0.2">
      <c r="A41" s="21" t="s">
        <v>50</v>
      </c>
      <c r="B41" s="22">
        <f>B38+B37+B36</f>
        <v>9990</v>
      </c>
      <c r="C41" s="22">
        <f t="shared" ref="C41:O41" si="0">C38+C37+C36</f>
        <v>931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18063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25567</v>
      </c>
      <c r="O41" s="22">
        <f t="shared" si="0"/>
        <v>54552</v>
      </c>
      <c r="P41" s="16">
        <f>O41/O$39</f>
        <v>0.23641887294522476</v>
      </c>
      <c r="Q41" s="16" t="s">
        <v>51</v>
      </c>
      <c r="R41" s="7"/>
      <c r="S41" s="7" t="s">
        <v>52</v>
      </c>
      <c r="T41" s="19">
        <f>O33/1000</f>
        <v>8.1170000000000009</v>
      </c>
      <c r="U41" s="14">
        <f>P33</f>
        <v>3.5177665194610457E-2</v>
      </c>
    </row>
    <row r="42" spans="1:48" ht="16" x14ac:dyDescent="0.2">
      <c r="A42" s="23" t="s">
        <v>53</v>
      </c>
      <c r="B42" s="22"/>
      <c r="C42" s="24">
        <f>C39+C23+C10</f>
        <v>40343</v>
      </c>
      <c r="D42" s="24">
        <f t="shared" ref="D42:M42" si="1">D39+D23+D10</f>
        <v>0</v>
      </c>
      <c r="E42" s="24">
        <f t="shared" si="1"/>
        <v>65421</v>
      </c>
      <c r="F42" s="24">
        <f t="shared" si="1"/>
        <v>1866</v>
      </c>
      <c r="G42" s="24">
        <f t="shared" si="1"/>
        <v>36263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98773.56</v>
      </c>
      <c r="O42" s="25">
        <f>SUM(C42:N42)</f>
        <v>242666.56</v>
      </c>
      <c r="P42" s="7"/>
      <c r="Q42" s="7"/>
      <c r="R42" s="7"/>
      <c r="S42" s="7" t="s">
        <v>34</v>
      </c>
      <c r="T42" s="19">
        <f>O31/1000</f>
        <v>1.2350000000000001</v>
      </c>
      <c r="U42" s="14">
        <f>P31</f>
        <v>5.3522750419297662E-3</v>
      </c>
    </row>
    <row r="43" spans="1:48" ht="16" x14ac:dyDescent="0.2">
      <c r="A43" s="23" t="s">
        <v>54</v>
      </c>
      <c r="B43" s="22"/>
      <c r="C43" s="16">
        <f t="shared" ref="C43:N43" si="2">C42/$O42</f>
        <v>0.16624869944997778</v>
      </c>
      <c r="D43" s="16">
        <f t="shared" si="2"/>
        <v>0</v>
      </c>
      <c r="E43" s="16">
        <f t="shared" si="2"/>
        <v>0.26959215146907756</v>
      </c>
      <c r="F43" s="16">
        <f t="shared" si="2"/>
        <v>7.6895638195884925E-3</v>
      </c>
      <c r="G43" s="16">
        <f t="shared" si="2"/>
        <v>0.14943550524637594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0.4070340800149802</v>
      </c>
      <c r="O43" s="16">
        <f>SUM(C43:N43)</f>
        <v>1</v>
      </c>
      <c r="P43" s="7"/>
      <c r="Q43" s="7"/>
      <c r="R43" s="7"/>
      <c r="S43" s="7" t="s">
        <v>55</v>
      </c>
      <c r="T43" s="19">
        <f>O32/1000</f>
        <v>126.593</v>
      </c>
      <c r="U43" s="14">
        <f>P32</f>
        <v>0.54863202784049792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19">
        <f>O34/1000</f>
        <v>27.995999999999999</v>
      </c>
      <c r="U44" s="14">
        <f>P34</f>
        <v>0.12132979115292772</v>
      </c>
    </row>
    <row r="45" spans="1:48" ht="16" x14ac:dyDescent="0.2">
      <c r="A45" s="6" t="s">
        <v>57</v>
      </c>
      <c r="B45" s="6">
        <f>B23-B39</f>
        <v>1600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7316.56</v>
      </c>
      <c r="O45" s="25">
        <f>B45+N45</f>
        <v>8916.5600000000013</v>
      </c>
      <c r="P45" s="7"/>
      <c r="Q45" s="7"/>
      <c r="R45" s="7"/>
      <c r="S45" s="7" t="s">
        <v>58</v>
      </c>
      <c r="T45" s="19">
        <f>SUM(T39:T44)</f>
        <v>230.74300000000002</v>
      </c>
      <c r="U45" s="14">
        <f>SUM(U39:U44)</f>
        <v>1</v>
      </c>
    </row>
    <row r="46" spans="1:48" ht="16" x14ac:dyDescent="0.2">
      <c r="A46" s="6"/>
      <c r="B46" s="4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37"/>
      <c r="E47" s="27"/>
      <c r="F47" s="27"/>
      <c r="G47" s="3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37"/>
      <c r="E48" s="27"/>
      <c r="F48" s="37"/>
      <c r="G48" s="3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/>
      <c r="B50" s="40"/>
      <c r="C50" s="40"/>
      <c r="D50" s="40"/>
      <c r="E50" s="74"/>
      <c r="F50" s="40"/>
      <c r="G50" s="40"/>
      <c r="I50" s="40"/>
      <c r="J50" s="40"/>
      <c r="K50" s="40"/>
      <c r="L50" s="75"/>
      <c r="M50" s="40"/>
      <c r="N50" s="40"/>
      <c r="O50" s="40"/>
      <c r="P50" s="40"/>
      <c r="Q50" s="40"/>
      <c r="R50" s="40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27"/>
      <c r="N51" s="9"/>
      <c r="O51" s="9"/>
      <c r="P51" s="27"/>
      <c r="Q51" s="27"/>
      <c r="R51" s="4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27"/>
      <c r="N52" s="9"/>
      <c r="O52" s="9"/>
      <c r="P52" s="27"/>
      <c r="Q52" s="27"/>
      <c r="R52" s="4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27"/>
      <c r="N53" s="9"/>
      <c r="O53" s="9"/>
      <c r="P53" s="27"/>
      <c r="Q53" s="27"/>
      <c r="R53" s="4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27"/>
      <c r="N54" s="9"/>
      <c r="O54" s="9"/>
      <c r="P54" s="27"/>
      <c r="Q54" s="27"/>
      <c r="R54" s="4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27"/>
      <c r="N55" s="9"/>
      <c r="O55" s="9"/>
      <c r="P55" s="27"/>
      <c r="Q55" s="27"/>
      <c r="R55" s="4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/>
      <c r="B56" s="76"/>
      <c r="C56" s="6"/>
      <c r="D56" s="6"/>
      <c r="E56" s="9"/>
      <c r="F56" s="18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/>
      <c r="B57" s="76"/>
      <c r="C57" s="6"/>
      <c r="D57" s="31"/>
      <c r="E57" s="9"/>
      <c r="F57" s="18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0"/>
    </row>
    <row r="58" spans="1:48" ht="16" x14ac:dyDescent="0.2">
      <c r="A58" s="5"/>
      <c r="B58" s="76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7"/>
      <c r="T58" s="6"/>
      <c r="U58" s="30"/>
    </row>
    <row r="59" spans="1:48" ht="16" x14ac:dyDescent="0.2">
      <c r="A59" s="5"/>
      <c r="B59" s="76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7"/>
      <c r="T59" s="6"/>
      <c r="U59" s="30"/>
    </row>
    <row r="60" spans="1:48" ht="16" x14ac:dyDescent="0.2">
      <c r="A60" s="5"/>
      <c r="B60" s="76"/>
      <c r="C60" s="6"/>
      <c r="D60" s="10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7"/>
      <c r="T60" s="6"/>
      <c r="U60" s="30"/>
    </row>
    <row r="61" spans="1:48" ht="16" x14ac:dyDescent="0.2">
      <c r="C61" s="10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7"/>
      <c r="T61" s="31"/>
      <c r="U61" s="32"/>
    </row>
    <row r="62" spans="1:48" ht="16" x14ac:dyDescent="0.2">
      <c r="E62" s="7"/>
      <c r="F62" s="7"/>
      <c r="G62" s="7"/>
      <c r="H62" s="7"/>
      <c r="I62" s="6"/>
      <c r="J62" s="7"/>
      <c r="K62" s="7"/>
      <c r="L62" s="6"/>
      <c r="M62" s="29"/>
      <c r="N62" s="7"/>
      <c r="O62" s="6"/>
      <c r="P62" s="14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enableFormatConditionsCalculation="0"/>
  <dimension ref="A1:AV70"/>
  <sheetViews>
    <sheetView workbookViewId="0">
      <selection activeCell="U35" sqref="U35"/>
    </sheetView>
  </sheetViews>
  <sheetFormatPr baseColWidth="10" defaultColWidth="8.6640625" defaultRowHeight="15" x14ac:dyDescent="0.2"/>
  <cols>
    <col min="1" max="1" width="22" style="2" customWidth="1"/>
    <col min="2" max="21" width="8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63</v>
      </c>
      <c r="Q2" s="41"/>
      <c r="R2" s="8"/>
      <c r="AH2" s="41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1"/>
      <c r="R3" s="41"/>
      <c r="AH3" s="41"/>
      <c r="AI3" s="41"/>
    </row>
    <row r="4" spans="1:35" ht="16" x14ac:dyDescent="0.2">
      <c r="A4" s="81" t="s">
        <v>73</v>
      </c>
      <c r="B4" s="67">
        <f>0.95*1402</f>
        <v>1331.8999999999999</v>
      </c>
      <c r="Q4" s="41"/>
      <c r="R4" s="41"/>
      <c r="AH4" s="41"/>
      <c r="AI4" s="41"/>
    </row>
    <row r="5" spans="1:35" ht="16" x14ac:dyDescent="0.2">
      <c r="A5" s="41"/>
      <c r="Q5" s="41"/>
      <c r="R5" s="41"/>
      <c r="AH5" s="41"/>
      <c r="AI5" s="41"/>
    </row>
    <row r="6" spans="1:35" ht="16" x14ac:dyDescent="0.2">
      <c r="A6" s="8" t="s">
        <v>12</v>
      </c>
      <c r="B6" s="40">
        <v>89290</v>
      </c>
      <c r="C6" s="40">
        <v>0</v>
      </c>
      <c r="D6" s="40">
        <v>0</v>
      </c>
      <c r="E6" s="40">
        <v>0</v>
      </c>
      <c r="F6" s="40">
        <v>0</v>
      </c>
      <c r="G6" s="68">
        <v>0</v>
      </c>
      <c r="H6" s="40">
        <v>0</v>
      </c>
      <c r="I6" s="40"/>
      <c r="J6" s="40"/>
      <c r="K6" s="40"/>
      <c r="L6" s="40"/>
      <c r="M6" s="40"/>
      <c r="N6" s="40"/>
      <c r="O6" s="68">
        <f>SUM(C6:N6)</f>
        <v>0</v>
      </c>
      <c r="Q6" s="41"/>
      <c r="R6" s="41"/>
      <c r="AH6" s="41"/>
      <c r="AI6" s="41"/>
    </row>
    <row r="7" spans="1:35" ht="16" x14ac:dyDescent="0.2">
      <c r="A7" s="8" t="s">
        <v>13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/>
      <c r="J7" s="40"/>
      <c r="K7" s="40"/>
      <c r="L7" s="40"/>
      <c r="M7" s="40"/>
      <c r="N7" s="40"/>
      <c r="O7" s="40">
        <v>0</v>
      </c>
      <c r="P7" s="40"/>
      <c r="Q7" s="41"/>
      <c r="R7" s="41"/>
      <c r="AH7" s="41"/>
      <c r="AI7" s="41"/>
    </row>
    <row r="8" spans="1:35" ht="16" x14ac:dyDescent="0.2">
      <c r="A8" s="8" t="s">
        <v>14</v>
      </c>
      <c r="B8" s="40">
        <v>6392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>
        <v>0</v>
      </c>
      <c r="P8" s="40"/>
      <c r="Q8" s="41"/>
      <c r="R8" s="41"/>
      <c r="AH8" s="41"/>
      <c r="AI8" s="41"/>
    </row>
    <row r="9" spans="1:35" ht="16" x14ac:dyDescent="0.2">
      <c r="A9" s="8" t="s">
        <v>15</v>
      </c>
      <c r="B9" s="40">
        <v>32020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>
        <v>0</v>
      </c>
      <c r="P9" s="40"/>
      <c r="Q9" s="41"/>
      <c r="R9" s="41"/>
      <c r="S9" s="8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  <c r="AI9" s="41"/>
    </row>
    <row r="10" spans="1:35" ht="16" x14ac:dyDescent="0.2">
      <c r="A10" s="8" t="s">
        <v>16</v>
      </c>
      <c r="B10" s="68">
        <f>SUM(B4:B9)</f>
        <v>129033.9</v>
      </c>
      <c r="C10" s="40">
        <v>0</v>
      </c>
      <c r="D10" s="40">
        <v>0</v>
      </c>
      <c r="E10" s="40">
        <v>0</v>
      </c>
      <c r="F10" s="40">
        <v>0</v>
      </c>
      <c r="G10" s="68">
        <f>SUM(G6:G9)</f>
        <v>0</v>
      </c>
      <c r="H10" s="40">
        <v>0</v>
      </c>
      <c r="I10" s="40"/>
      <c r="J10" s="40"/>
      <c r="K10" s="40"/>
      <c r="L10" s="40"/>
      <c r="M10" s="40"/>
      <c r="N10" s="40"/>
      <c r="O10" s="68">
        <f>SUM(O6:O9)</f>
        <v>0</v>
      </c>
      <c r="P10" s="40"/>
      <c r="Q10" s="41"/>
      <c r="R10" s="41"/>
      <c r="S10" s="8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/>
      <c r="AI10" s="41"/>
    </row>
    <row r="11" spans="1:35" ht="16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70">
        <f>183576+137671/2</f>
        <v>252411.5</v>
      </c>
      <c r="C17" s="67">
        <v>0</v>
      </c>
      <c r="D17" s="67">
        <v>0</v>
      </c>
      <c r="E17" s="40">
        <v>0</v>
      </c>
      <c r="F17" s="40">
        <v>0</v>
      </c>
      <c r="G17" s="67">
        <f>387217*0.72+127850*0.72</f>
        <v>370848.24</v>
      </c>
      <c r="H17" s="40">
        <v>0</v>
      </c>
      <c r="I17" s="40"/>
      <c r="J17" s="40"/>
      <c r="K17" s="40"/>
      <c r="L17" s="40"/>
      <c r="M17" s="40"/>
      <c r="N17" s="40"/>
      <c r="O17" s="67">
        <f>SUM(C17:N17)</f>
        <v>370848.24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70">
        <f>443193+137671/2+66885+6793</f>
        <v>585706.5</v>
      </c>
      <c r="C18" s="67">
        <f>130*9.95+1005*10.65</f>
        <v>11996.75</v>
      </c>
      <c r="D18" s="67">
        <f>467*7</f>
        <v>3269</v>
      </c>
      <c r="E18" s="40">
        <v>0</v>
      </c>
      <c r="F18" s="40">
        <v>0</v>
      </c>
      <c r="G18" s="67">
        <f>549676*0.72</f>
        <v>395766.72</v>
      </c>
      <c r="H18" s="40">
        <v>0</v>
      </c>
      <c r="I18" s="40"/>
      <c r="J18" s="67">
        <f>25319*3</f>
        <v>75957</v>
      </c>
      <c r="K18" s="40"/>
      <c r="L18" s="40"/>
      <c r="M18" s="40"/>
      <c r="N18" s="67">
        <f>20912+6155</f>
        <v>27067</v>
      </c>
      <c r="O18" s="67">
        <f>SUM(C18:N18)</f>
        <v>514056.47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68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/>
      <c r="J19" s="40"/>
      <c r="K19" s="40"/>
      <c r="L19" s="40"/>
      <c r="M19" s="40"/>
      <c r="N19" s="68"/>
      <c r="O19" s="68">
        <f>SUM(I19:N19)</f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68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/>
      <c r="L20" s="40"/>
      <c r="M20" s="40"/>
      <c r="N20" s="68"/>
      <c r="O20" s="68">
        <f>SUM(I20:N20)</f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0">
        <v>197704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/>
      <c r="J21" s="40"/>
      <c r="K21" s="40"/>
      <c r="L21" s="40"/>
      <c r="M21" s="40"/>
      <c r="N21" s="40"/>
      <c r="O21" s="40">
        <v>0</v>
      </c>
      <c r="P21" s="3"/>
      <c r="Q21" s="3"/>
      <c r="R21" s="3"/>
      <c r="S21" s="3" t="s">
        <v>26</v>
      </c>
      <c r="T21" s="12">
        <f>O42/1000</f>
        <v>3531.1007100000002</v>
      </c>
      <c r="U21" s="3"/>
    </row>
    <row r="22" spans="1:21" ht="16" x14ac:dyDescent="0.2">
      <c r="A22" s="8" t="s">
        <v>25</v>
      </c>
      <c r="B22" s="68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/>
      <c r="L22" s="40"/>
      <c r="M22" s="40"/>
      <c r="N22" s="40"/>
      <c r="O22" s="40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70">
        <f>SUM(B17:B22)</f>
        <v>1035822</v>
      </c>
      <c r="C23" s="67">
        <f>SUM(C17:C22)</f>
        <v>11996.75</v>
      </c>
      <c r="D23" s="67">
        <f>SUM(D17:D22)</f>
        <v>3269</v>
      </c>
      <c r="E23" s="40">
        <v>0</v>
      </c>
      <c r="F23" s="40">
        <v>0</v>
      </c>
      <c r="G23" s="67">
        <f>SUM(G17:G22)</f>
        <v>766614.96</v>
      </c>
      <c r="H23" s="40">
        <v>0</v>
      </c>
      <c r="I23" s="40"/>
      <c r="J23" s="67">
        <f>SUM(J18:J22)</f>
        <v>75957</v>
      </c>
      <c r="K23" s="40"/>
      <c r="L23" s="40"/>
      <c r="M23" s="40"/>
      <c r="N23" s="82">
        <f>SUM(N18:N22)</f>
        <v>27067</v>
      </c>
      <c r="O23" s="70">
        <f>SUM(O17:O22)</f>
        <v>884904.71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2">
        <f>N42/1000</f>
        <v>1192.17</v>
      </c>
      <c r="U24" s="14">
        <f>N43</f>
        <v>0.33761993721215616</v>
      </c>
    </row>
    <row r="25" spans="1:21" ht="16" x14ac:dyDescent="0.2">
      <c r="B25" s="6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71</v>
      </c>
      <c r="T25" s="12">
        <f>G42/1000</f>
        <v>882.30696</v>
      </c>
      <c r="U25" s="14">
        <f>G43</f>
        <v>0.24986740182780004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55" t="str">
        <f>J29</f>
        <v>Torv</v>
      </c>
      <c r="T26" s="12">
        <f>J42/1000</f>
        <v>75.956999999999994</v>
      </c>
      <c r="U26" s="14">
        <f>J43</f>
        <v>2.1510856313129625E-2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2">
        <f>F42/1000</f>
        <v>104.38500000000001</v>
      </c>
      <c r="U27" s="14">
        <f>F43</f>
        <v>2.9561603752728989E-2</v>
      </c>
    </row>
    <row r="28" spans="1:21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13.73</v>
      </c>
      <c r="U28" s="14">
        <f>E43</f>
        <v>3.888305978109585E-3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10" t="str">
        <f>D29</f>
        <v>Kol och koks</v>
      </c>
      <c r="T29" s="2">
        <f>D42/1000</f>
        <v>3.2690000000000001</v>
      </c>
      <c r="U29" s="54">
        <f>D43</f>
        <v>9.2577365203497697E-4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10" t="str">
        <f>K29</f>
        <v>Avfall</v>
      </c>
      <c r="T30" s="2">
        <f>K42/1000</f>
        <v>0</v>
      </c>
      <c r="U30" s="54">
        <f>K43</f>
        <v>0</v>
      </c>
    </row>
    <row r="31" spans="1:21" ht="16" x14ac:dyDescent="0.2">
      <c r="A31" s="8" t="s">
        <v>33</v>
      </c>
      <c r="B31" s="40">
        <v>0</v>
      </c>
      <c r="C31" s="40">
        <v>30168</v>
      </c>
      <c r="D31" s="40">
        <v>0</v>
      </c>
      <c r="E31" s="40">
        <v>0</v>
      </c>
      <c r="F31" s="40">
        <v>2667</v>
      </c>
      <c r="G31" s="40">
        <v>0</v>
      </c>
      <c r="H31" s="40">
        <v>0</v>
      </c>
      <c r="I31" s="40"/>
      <c r="J31" s="40"/>
      <c r="K31" s="40"/>
      <c r="L31" s="40"/>
      <c r="M31" s="41"/>
      <c r="N31" s="40">
        <v>25929</v>
      </c>
      <c r="O31" s="40">
        <v>58763</v>
      </c>
      <c r="P31" s="16">
        <f>O31/O$39</f>
        <v>1.6790229705245935E-2</v>
      </c>
      <c r="Q31" s="17" t="s">
        <v>34</v>
      </c>
      <c r="R31" s="3"/>
      <c r="S31" s="55" t="str">
        <f>I29</f>
        <v>Avlutar</v>
      </c>
      <c r="T31" s="12">
        <f>I42/1000</f>
        <v>0</v>
      </c>
      <c r="U31" s="14">
        <f>I43</f>
        <v>0</v>
      </c>
    </row>
    <row r="32" spans="1:21" ht="16" x14ac:dyDescent="0.2">
      <c r="A32" s="8" t="s">
        <v>36</v>
      </c>
      <c r="B32" s="40">
        <v>70688</v>
      </c>
      <c r="C32" s="40">
        <v>13865</v>
      </c>
      <c r="D32" s="40">
        <v>0</v>
      </c>
      <c r="E32" s="40">
        <v>13730</v>
      </c>
      <c r="F32" s="40">
        <v>0</v>
      </c>
      <c r="G32" s="40">
        <v>5400</v>
      </c>
      <c r="H32" s="40">
        <v>0</v>
      </c>
      <c r="I32" s="40"/>
      <c r="J32" s="40"/>
      <c r="K32" s="40"/>
      <c r="L32" s="40"/>
      <c r="M32" s="41"/>
      <c r="N32" s="40">
        <v>183384</v>
      </c>
      <c r="O32" s="40">
        <v>287068</v>
      </c>
      <c r="P32" s="16">
        <f>O32/O$39</f>
        <v>8.2023342256616241E-2</v>
      </c>
      <c r="Q32" s="17" t="s">
        <v>37</v>
      </c>
      <c r="R32" s="3"/>
      <c r="S32" s="55" t="str">
        <f>H29</f>
        <v>Biogas</v>
      </c>
      <c r="T32" s="12">
        <f>H42/1000</f>
        <v>0</v>
      </c>
      <c r="U32" s="14">
        <f>H43</f>
        <v>0</v>
      </c>
    </row>
    <row r="33" spans="1:48" ht="16" x14ac:dyDescent="0.2">
      <c r="A33" s="8" t="s">
        <v>38</v>
      </c>
      <c r="B33" s="40">
        <v>88495</v>
      </c>
      <c r="C33" s="40">
        <v>4637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/>
      <c r="J33" s="40"/>
      <c r="K33" s="40"/>
      <c r="L33" s="40"/>
      <c r="M33" s="41"/>
      <c r="N33" s="40">
        <v>127851</v>
      </c>
      <c r="O33" s="40">
        <v>220984</v>
      </c>
      <c r="P33" s="16">
        <f>O33/O$39</f>
        <v>6.3141298456240627E-2</v>
      </c>
      <c r="Q33" s="17" t="s">
        <v>39</v>
      </c>
      <c r="R33" s="3"/>
      <c r="S33" s="3" t="s">
        <v>35</v>
      </c>
      <c r="T33" s="12">
        <f>C42/1000</f>
        <v>1259.2827500000001</v>
      </c>
      <c r="U33" s="14">
        <f>C43</f>
        <v>0.35662612126404064</v>
      </c>
    </row>
    <row r="34" spans="1:48" ht="16" x14ac:dyDescent="0.2">
      <c r="A34" s="8" t="s">
        <v>40</v>
      </c>
      <c r="B34" s="40">
        <v>0</v>
      </c>
      <c r="C34" s="40">
        <v>1173852</v>
      </c>
      <c r="D34" s="40">
        <v>0</v>
      </c>
      <c r="E34" s="40">
        <v>0</v>
      </c>
      <c r="F34" s="40">
        <v>101718</v>
      </c>
      <c r="G34" s="40">
        <v>0</v>
      </c>
      <c r="H34" s="40">
        <v>0</v>
      </c>
      <c r="I34" s="40"/>
      <c r="J34" s="40"/>
      <c r="K34" s="40"/>
      <c r="L34" s="40"/>
      <c r="M34" s="41"/>
      <c r="N34" s="40">
        <v>4054</v>
      </c>
      <c r="O34" s="40">
        <v>1279624</v>
      </c>
      <c r="P34" s="16">
        <f>O34/O$39</f>
        <v>0.36562430264529766</v>
      </c>
      <c r="Q34" s="17" t="s">
        <v>41</v>
      </c>
      <c r="R34" s="3"/>
      <c r="S34" s="3"/>
      <c r="T34" s="13">
        <f>SUM(T24:T33)</f>
        <v>3531.1007099999997</v>
      </c>
      <c r="U34" s="14">
        <f>SUM(U24:U33)</f>
        <v>1</v>
      </c>
    </row>
    <row r="35" spans="1:48" ht="16" x14ac:dyDescent="0.2">
      <c r="A35" s="8" t="s">
        <v>42</v>
      </c>
      <c r="B35" s="40">
        <v>171921</v>
      </c>
      <c r="C35" s="40">
        <v>22037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/>
      <c r="J35" s="40"/>
      <c r="K35" s="40"/>
      <c r="L35" s="40"/>
      <c r="M35" s="41"/>
      <c r="N35" s="40">
        <v>431469</v>
      </c>
      <c r="O35" s="40">
        <v>625427</v>
      </c>
      <c r="P35" s="16">
        <f>O35/O$39</f>
        <v>0.17870195520757703</v>
      </c>
      <c r="Q35" s="17" t="s">
        <v>43</v>
      </c>
      <c r="R35" s="17"/>
    </row>
    <row r="36" spans="1:48" ht="16" x14ac:dyDescent="0.2">
      <c r="A36" s="8" t="s">
        <v>44</v>
      </c>
      <c r="B36" s="40">
        <v>82315</v>
      </c>
      <c r="C36" s="40">
        <v>2505</v>
      </c>
      <c r="D36" s="40">
        <v>0</v>
      </c>
      <c r="E36" s="40">
        <v>0</v>
      </c>
      <c r="F36" s="40">
        <v>0</v>
      </c>
      <c r="G36" s="40">
        <v>110292</v>
      </c>
      <c r="H36" s="40">
        <v>0</v>
      </c>
      <c r="I36" s="40"/>
      <c r="J36" s="40"/>
      <c r="K36" s="40"/>
      <c r="L36" s="40"/>
      <c r="M36" s="41"/>
      <c r="N36" s="40">
        <v>276732</v>
      </c>
      <c r="O36" s="40">
        <v>471844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45</v>
      </c>
      <c r="B37" s="40">
        <v>443845</v>
      </c>
      <c r="C37" s="40">
        <v>223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/>
      <c r="J37" s="40"/>
      <c r="K37" s="40"/>
      <c r="L37" s="40"/>
      <c r="M37" s="41"/>
      <c r="N37" s="40">
        <v>98886</v>
      </c>
      <c r="O37" s="40">
        <v>542954</v>
      </c>
      <c r="P37" s="17"/>
      <c r="Q37" s="17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/>
      <c r="J38" s="40"/>
      <c r="K38" s="40"/>
      <c r="L38" s="40"/>
      <c r="M38" s="41"/>
      <c r="N38" s="40">
        <v>13170</v>
      </c>
      <c r="O38" s="40">
        <v>13170</v>
      </c>
      <c r="P38" s="17">
        <f>SUM(P31:P35)</f>
        <v>0.70628112827097755</v>
      </c>
      <c r="Q38" s="17"/>
      <c r="R38" s="3"/>
      <c r="S38" s="7" t="s">
        <v>47</v>
      </c>
      <c r="T38" s="19">
        <f>O45/1000</f>
        <v>271.476</v>
      </c>
      <c r="U38" s="7"/>
    </row>
    <row r="39" spans="1:48" ht="16" x14ac:dyDescent="0.2">
      <c r="A39" s="8" t="s">
        <v>16</v>
      </c>
      <c r="B39" s="40">
        <v>857264</v>
      </c>
      <c r="C39" s="40">
        <v>1247286</v>
      </c>
      <c r="D39" s="40">
        <v>0</v>
      </c>
      <c r="E39" s="40">
        <v>13730</v>
      </c>
      <c r="F39" s="40">
        <v>104385</v>
      </c>
      <c r="G39" s="40">
        <v>115692</v>
      </c>
      <c r="H39" s="40">
        <v>0</v>
      </c>
      <c r="I39" s="40"/>
      <c r="J39" s="40"/>
      <c r="K39" s="40"/>
      <c r="L39" s="40"/>
      <c r="M39" s="41"/>
      <c r="N39" s="40">
        <v>1161475</v>
      </c>
      <c r="O39" s="40">
        <v>3499833</v>
      </c>
      <c r="P39" s="3"/>
      <c r="Q39" s="3"/>
      <c r="R39" s="3"/>
      <c r="S39" s="7" t="s">
        <v>48</v>
      </c>
      <c r="T39" s="19">
        <f>O41/1000</f>
        <v>1027.9680000000001</v>
      </c>
      <c r="U39" s="14">
        <f>P41</f>
        <v>0.29371915745694149</v>
      </c>
    </row>
    <row r="40" spans="1:48" x14ac:dyDescent="0.2">
      <c r="S40" s="7" t="s">
        <v>49</v>
      </c>
      <c r="T40" s="19">
        <f>O35/1000</f>
        <v>625.42700000000002</v>
      </c>
      <c r="U40" s="14">
        <f>P35</f>
        <v>0.17870195520757703</v>
      </c>
    </row>
    <row r="41" spans="1:48" ht="16" x14ac:dyDescent="0.2">
      <c r="A41" s="21" t="s">
        <v>50</v>
      </c>
      <c r="B41" s="22">
        <f>B38+B37+B36</f>
        <v>526160</v>
      </c>
      <c r="C41" s="22">
        <f t="shared" ref="C41:N41" si="0">C38+C37+C36</f>
        <v>2728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110292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388788</v>
      </c>
      <c r="O41" s="22">
        <f>O38+O37+O36</f>
        <v>1027968</v>
      </c>
      <c r="P41" s="16">
        <f>O41/O$39</f>
        <v>0.29371915745694149</v>
      </c>
      <c r="Q41" s="16" t="s">
        <v>51</v>
      </c>
      <c r="R41" s="7"/>
      <c r="S41" s="7" t="s">
        <v>52</v>
      </c>
      <c r="T41" s="19">
        <f>O33/1000</f>
        <v>220.98400000000001</v>
      </c>
      <c r="U41" s="14">
        <f>P33</f>
        <v>6.3141298456240627E-2</v>
      </c>
    </row>
    <row r="42" spans="1:48" ht="16" x14ac:dyDescent="0.2">
      <c r="A42" s="23" t="s">
        <v>53</v>
      </c>
      <c r="B42" s="22"/>
      <c r="C42" s="24">
        <f>C39+C23+C10</f>
        <v>1259282.75</v>
      </c>
      <c r="D42" s="24">
        <f t="shared" ref="D42:M42" si="1">D39+D23+D10</f>
        <v>3269</v>
      </c>
      <c r="E42" s="24">
        <f t="shared" si="1"/>
        <v>13730</v>
      </c>
      <c r="F42" s="24">
        <f t="shared" si="1"/>
        <v>104385</v>
      </c>
      <c r="G42" s="24">
        <f t="shared" si="1"/>
        <v>882306.96</v>
      </c>
      <c r="H42" s="24">
        <f t="shared" si="1"/>
        <v>0</v>
      </c>
      <c r="I42" s="24">
        <f t="shared" si="1"/>
        <v>0</v>
      </c>
      <c r="J42" s="24">
        <f>J39+J23+J10</f>
        <v>75957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1192170</v>
      </c>
      <c r="O42" s="25">
        <f>SUM(C42:N42)</f>
        <v>3531100.71</v>
      </c>
      <c r="P42" s="7"/>
      <c r="Q42" s="7"/>
      <c r="R42" s="7"/>
      <c r="S42" s="7" t="s">
        <v>34</v>
      </c>
      <c r="T42" s="19">
        <f>O31/1000</f>
        <v>58.762999999999998</v>
      </c>
      <c r="U42" s="14">
        <f>P31</f>
        <v>1.6790229705245935E-2</v>
      </c>
    </row>
    <row r="43" spans="1:48" ht="16" x14ac:dyDescent="0.2">
      <c r="A43" s="23" t="s">
        <v>54</v>
      </c>
      <c r="B43" s="22"/>
      <c r="C43" s="16">
        <f t="shared" ref="C43:N43" si="2">C42/$O42</f>
        <v>0.35662612126404064</v>
      </c>
      <c r="D43" s="16">
        <f t="shared" si="2"/>
        <v>9.2577365203497697E-4</v>
      </c>
      <c r="E43" s="16">
        <f t="shared" si="2"/>
        <v>3.888305978109585E-3</v>
      </c>
      <c r="F43" s="16">
        <f t="shared" si="2"/>
        <v>2.9561603752728989E-2</v>
      </c>
      <c r="G43" s="16">
        <f t="shared" si="2"/>
        <v>0.24986740182780004</v>
      </c>
      <c r="H43" s="16">
        <f t="shared" si="2"/>
        <v>0</v>
      </c>
      <c r="I43" s="16">
        <f t="shared" si="2"/>
        <v>0</v>
      </c>
      <c r="J43" s="16">
        <f t="shared" si="2"/>
        <v>2.1510856313129625E-2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0.33761993721215616</v>
      </c>
      <c r="O43" s="16">
        <f>SUM(C43:N43)</f>
        <v>1</v>
      </c>
      <c r="P43" s="7"/>
      <c r="Q43" s="7"/>
      <c r="R43" s="7"/>
      <c r="S43" s="7" t="s">
        <v>55</v>
      </c>
      <c r="T43" s="19">
        <f>O32/1000</f>
        <v>287.06799999999998</v>
      </c>
      <c r="U43" s="14">
        <f>P32</f>
        <v>8.2023342256616241E-2</v>
      </c>
    </row>
    <row r="44" spans="1:48" x14ac:dyDescent="0.2">
      <c r="A44" s="4"/>
      <c r="B44" s="73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19">
        <f>O34/1000</f>
        <v>1279.624</v>
      </c>
      <c r="U44" s="14">
        <f>P34</f>
        <v>0.36562430264529766</v>
      </c>
    </row>
    <row r="45" spans="1:48" ht="16" x14ac:dyDescent="0.2">
      <c r="A45" s="6" t="s">
        <v>57</v>
      </c>
      <c r="B45" s="6">
        <f>B23-B39-B44</f>
        <v>178558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92918</v>
      </c>
      <c r="O45" s="25">
        <f>B45+N45</f>
        <v>271476</v>
      </c>
      <c r="P45" s="7"/>
      <c r="Q45" s="7"/>
      <c r="R45" s="7"/>
      <c r="S45" s="7" t="s">
        <v>58</v>
      </c>
      <c r="T45" s="19">
        <f>SUM(T39:T44)</f>
        <v>3499.8339999999998</v>
      </c>
      <c r="U45" s="14">
        <f>SUM(U39:U44)</f>
        <v>1.0000002857279191</v>
      </c>
    </row>
    <row r="46" spans="1:48" ht="16" x14ac:dyDescent="0.2">
      <c r="A46" s="6"/>
      <c r="B46" s="48"/>
      <c r="C46"/>
      <c r="D46"/>
      <c r="E4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C47"/>
      <c r="D47"/>
      <c r="E4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ht="16" x14ac:dyDescent="0.2">
      <c r="A48" s="27"/>
      <c r="C48"/>
      <c r="D48"/>
      <c r="E48"/>
      <c r="F48" s="37"/>
      <c r="G48" s="27"/>
      <c r="H48" s="37"/>
      <c r="I48" s="37"/>
      <c r="J48" s="37"/>
      <c r="K48" s="37"/>
      <c r="L48" s="37"/>
      <c r="M48" s="3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ht="16" x14ac:dyDescent="0.2">
      <c r="A49" s="27"/>
      <c r="B49" s="4"/>
      <c r="C49"/>
      <c r="D49"/>
      <c r="E49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37"/>
      <c r="E52" s="27"/>
      <c r="F52" s="27"/>
      <c r="G52" s="27"/>
      <c r="H52" s="3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37"/>
      <c r="G55" s="27"/>
      <c r="H55" s="37"/>
      <c r="I55" s="27"/>
      <c r="J55" s="37"/>
      <c r="K55" s="37"/>
      <c r="L55" s="37"/>
      <c r="M55" s="3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37"/>
      <c r="G56" s="27"/>
      <c r="H56" s="37"/>
      <c r="I56" s="27"/>
      <c r="J56" s="37"/>
      <c r="K56" s="37"/>
      <c r="L56" s="37"/>
      <c r="M56" s="3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7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7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7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7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2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2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 enableFormatConditionsCalculation="0"/>
  <dimension ref="A1:AV70"/>
  <sheetViews>
    <sheetView workbookViewId="0">
      <selection activeCell="U35" sqref="U35"/>
    </sheetView>
  </sheetViews>
  <sheetFormatPr baseColWidth="10" defaultColWidth="8.6640625" defaultRowHeight="15" x14ac:dyDescent="0.2"/>
  <cols>
    <col min="1" max="1" width="22" style="2" customWidth="1"/>
    <col min="2" max="21" width="8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64</v>
      </c>
      <c r="Q2" s="41"/>
      <c r="R2" s="8"/>
      <c r="AH2" s="41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71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1"/>
      <c r="R3" s="41"/>
      <c r="AH3" s="41"/>
      <c r="AI3" s="41"/>
    </row>
    <row r="4" spans="1:35" ht="16" x14ac:dyDescent="0.2">
      <c r="A4" s="81" t="s">
        <v>73</v>
      </c>
      <c r="B4" s="67">
        <f>0.95*259</f>
        <v>246.04999999999998</v>
      </c>
      <c r="Q4" s="41"/>
      <c r="R4" s="41"/>
      <c r="AH4" s="41"/>
      <c r="AI4" s="41"/>
    </row>
    <row r="5" spans="1:35" ht="16" x14ac:dyDescent="0.2">
      <c r="A5" s="41"/>
      <c r="Q5" s="41"/>
      <c r="R5" s="41"/>
      <c r="AH5" s="41"/>
      <c r="AI5" s="41"/>
    </row>
    <row r="6" spans="1:35" ht="16" x14ac:dyDescent="0.2">
      <c r="A6" s="8" t="s">
        <v>12</v>
      </c>
      <c r="B6" s="66">
        <v>0</v>
      </c>
      <c r="C6" s="40">
        <v>0</v>
      </c>
      <c r="D6" s="66">
        <v>0</v>
      </c>
      <c r="E6" s="40">
        <v>0</v>
      </c>
      <c r="F6" s="40">
        <v>0</v>
      </c>
      <c r="G6" s="66">
        <v>0</v>
      </c>
      <c r="H6" s="40">
        <v>0</v>
      </c>
      <c r="I6" s="40"/>
      <c r="J6" s="40"/>
      <c r="K6" s="40"/>
      <c r="L6" s="40"/>
      <c r="M6" s="40"/>
      <c r="N6" s="40"/>
      <c r="O6" s="66">
        <v>0</v>
      </c>
      <c r="Q6" s="41"/>
      <c r="R6" s="41"/>
      <c r="AH6" s="41"/>
      <c r="AI6" s="41"/>
    </row>
    <row r="7" spans="1:35" ht="16" x14ac:dyDescent="0.2">
      <c r="A7" s="8" t="s">
        <v>13</v>
      </c>
      <c r="B7" s="64">
        <v>8</v>
      </c>
      <c r="C7" s="64">
        <v>16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/>
      <c r="J7" s="40"/>
      <c r="K7" s="40"/>
      <c r="L7" s="40"/>
      <c r="M7" s="40"/>
      <c r="N7" s="40"/>
      <c r="O7" s="64">
        <v>16</v>
      </c>
      <c r="P7" s="53"/>
      <c r="Q7" s="41"/>
      <c r="R7" s="41"/>
      <c r="AH7" s="41"/>
      <c r="AI7" s="41"/>
    </row>
    <row r="8" spans="1:35" ht="16" x14ac:dyDescent="0.2">
      <c r="A8" s="8" t="s">
        <v>14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>
        <v>0</v>
      </c>
      <c r="P8" s="53"/>
      <c r="Q8" s="41"/>
      <c r="R8" s="41"/>
      <c r="AH8" s="41"/>
      <c r="AI8" s="41"/>
    </row>
    <row r="9" spans="1:35" ht="16" x14ac:dyDescent="0.2">
      <c r="A9" s="8" t="s">
        <v>15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>
        <v>0</v>
      </c>
      <c r="P9" s="53"/>
      <c r="Q9" s="41"/>
      <c r="R9" s="41"/>
      <c r="S9" s="8"/>
      <c r="T9" s="53"/>
      <c r="U9" s="53"/>
      <c r="V9" s="53"/>
      <c r="W9" s="40"/>
      <c r="X9" s="40"/>
      <c r="Y9" s="53"/>
      <c r="Z9" s="40"/>
      <c r="AA9" s="40"/>
      <c r="AB9" s="40"/>
      <c r="AC9" s="40"/>
      <c r="AD9" s="40"/>
      <c r="AE9" s="40"/>
      <c r="AF9" s="40"/>
      <c r="AG9" s="40"/>
      <c r="AH9" s="41"/>
      <c r="AI9" s="41"/>
    </row>
    <row r="10" spans="1:35" ht="16" x14ac:dyDescent="0.2">
      <c r="A10" s="8" t="s">
        <v>16</v>
      </c>
      <c r="B10" s="64">
        <f>SUM(B4:B9)</f>
        <v>254.04999999999998</v>
      </c>
      <c r="C10" s="64">
        <v>16</v>
      </c>
      <c r="D10" s="66">
        <f>SUM(D6:D9)</f>
        <v>0</v>
      </c>
      <c r="E10" s="40">
        <v>0</v>
      </c>
      <c r="F10" s="40">
        <v>0</v>
      </c>
      <c r="G10" s="66">
        <f>SUM(G6:G9)</f>
        <v>0</v>
      </c>
      <c r="H10" s="40">
        <v>0</v>
      </c>
      <c r="I10" s="40"/>
      <c r="J10" s="40"/>
      <c r="K10" s="40"/>
      <c r="L10" s="40"/>
      <c r="M10" s="40"/>
      <c r="N10" s="40"/>
      <c r="O10" s="64">
        <v>16</v>
      </c>
      <c r="P10" s="53"/>
      <c r="Q10" s="41"/>
      <c r="R10" s="41"/>
      <c r="S10" s="8"/>
      <c r="T10" s="53"/>
      <c r="U10" s="53"/>
      <c r="V10" s="53"/>
      <c r="W10" s="40"/>
      <c r="X10" s="40"/>
      <c r="Y10" s="53"/>
      <c r="Z10" s="40"/>
      <c r="AA10" s="40"/>
      <c r="AB10" s="40"/>
      <c r="AC10" s="40"/>
      <c r="AD10" s="40"/>
      <c r="AE10" s="40"/>
      <c r="AF10" s="40"/>
      <c r="AG10" s="40"/>
      <c r="AH10" s="41"/>
      <c r="AI10" s="41"/>
    </row>
    <row r="11" spans="1:35" ht="16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71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66">
        <v>0</v>
      </c>
      <c r="C17" s="66">
        <v>0</v>
      </c>
      <c r="D17" s="66">
        <v>0</v>
      </c>
      <c r="E17" s="40">
        <v>0</v>
      </c>
      <c r="F17" s="40">
        <v>0</v>
      </c>
      <c r="G17" s="66">
        <v>0</v>
      </c>
      <c r="H17" s="40">
        <v>0</v>
      </c>
      <c r="I17" s="40"/>
      <c r="J17" s="40"/>
      <c r="K17" s="40"/>
      <c r="L17" s="40"/>
      <c r="M17" s="40"/>
      <c r="N17" s="40"/>
      <c r="O17" s="67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0">
        <v>3339</v>
      </c>
      <c r="C18" s="67">
        <v>3546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/>
      <c r="J18" s="40"/>
      <c r="K18" s="40"/>
      <c r="L18" s="40"/>
      <c r="M18" s="40"/>
      <c r="N18" s="40"/>
      <c r="O18" s="67">
        <v>3546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/>
      <c r="J19" s="40"/>
      <c r="K19" s="40"/>
      <c r="L19" s="40"/>
      <c r="M19" s="40"/>
      <c r="N19" s="40"/>
      <c r="O19" s="40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/>
      <c r="L20" s="40"/>
      <c r="M20" s="40"/>
      <c r="N20" s="40"/>
      <c r="O20" s="40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0">
        <v>49358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/>
      <c r="J21" s="40"/>
      <c r="K21" s="40"/>
      <c r="L21" s="40"/>
      <c r="M21" s="40"/>
      <c r="N21" s="40"/>
      <c r="O21" s="40">
        <v>0</v>
      </c>
      <c r="P21" s="3"/>
      <c r="Q21" s="3"/>
      <c r="R21" s="3"/>
      <c r="S21" s="3" t="s">
        <v>26</v>
      </c>
      <c r="T21" s="12">
        <f>O42/1000</f>
        <v>584.4211804017948</v>
      </c>
      <c r="U21" s="3"/>
    </row>
    <row r="22" spans="1:21" ht="16" x14ac:dyDescent="0.2">
      <c r="A22" s="8" t="s">
        <v>25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/>
      <c r="L22" s="40"/>
      <c r="M22" s="40"/>
      <c r="N22" s="40"/>
      <c r="O22" s="40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6">
        <f>SUM(B17:B22)</f>
        <v>52697</v>
      </c>
      <c r="C23" s="66">
        <f>SUM(C17:C22)</f>
        <v>3546</v>
      </c>
      <c r="D23" s="66">
        <f>SUM(D17:D22)</f>
        <v>0</v>
      </c>
      <c r="E23" s="40">
        <v>0</v>
      </c>
      <c r="F23" s="40">
        <v>0</v>
      </c>
      <c r="G23" s="66">
        <f>SUM(G17:G22)</f>
        <v>0</v>
      </c>
      <c r="H23" s="40">
        <v>0</v>
      </c>
      <c r="I23" s="40"/>
      <c r="J23" s="40"/>
      <c r="K23" s="40"/>
      <c r="L23" s="40"/>
      <c r="M23" s="40"/>
      <c r="N23" s="40"/>
      <c r="O23" s="67">
        <f>SUM(O17:O22)</f>
        <v>3546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2">
        <f>N42/1000</f>
        <v>216.20627999999999</v>
      </c>
      <c r="U24" s="14">
        <f>N43</f>
        <v>0.36994942560322031</v>
      </c>
    </row>
    <row r="25" spans="1:21" ht="16" x14ac:dyDescent="0.2">
      <c r="B25" s="7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71</v>
      </c>
      <c r="T25" s="12">
        <f>G42/1000</f>
        <v>32.090000000000003</v>
      </c>
      <c r="U25" s="14">
        <f>G43</f>
        <v>5.4909029782147588E-2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55" t="str">
        <f>J29</f>
        <v>Torv</v>
      </c>
      <c r="T26" s="12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2">
        <f>F42/1000</f>
        <v>21.044</v>
      </c>
      <c r="U27" s="14">
        <f>F43</f>
        <v>3.6008277430212336E-2</v>
      </c>
    </row>
    <row r="28" spans="1:21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51.029900401794883</v>
      </c>
      <c r="U28" s="14">
        <f>E43</f>
        <v>8.7316993485265823E-2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71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10" t="str">
        <f>D29</f>
        <v>Kol och koks</v>
      </c>
      <c r="T29" s="2">
        <f>D42/1000</f>
        <v>0</v>
      </c>
      <c r="U29" s="54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10" t="str">
        <f>K29</f>
        <v>Avfall</v>
      </c>
      <c r="T30" s="2">
        <f>K42/1000</f>
        <v>0</v>
      </c>
      <c r="U30" s="54">
        <f>K43</f>
        <v>0</v>
      </c>
    </row>
    <row r="31" spans="1:21" ht="16" x14ac:dyDescent="0.2">
      <c r="A31" s="8" t="s">
        <v>33</v>
      </c>
      <c r="B31" s="40">
        <v>0</v>
      </c>
      <c r="C31" s="40">
        <v>4986</v>
      </c>
      <c r="D31" s="40">
        <v>0</v>
      </c>
      <c r="E31" s="40">
        <v>0</v>
      </c>
      <c r="F31" s="40">
        <v>464</v>
      </c>
      <c r="G31" s="40">
        <v>0</v>
      </c>
      <c r="H31" s="40">
        <v>0</v>
      </c>
      <c r="I31" s="40"/>
      <c r="J31" s="40"/>
      <c r="K31" s="40"/>
      <c r="L31" s="40"/>
      <c r="M31" s="41"/>
      <c r="N31" s="40">
        <v>6710</v>
      </c>
      <c r="O31" s="40">
        <v>12159</v>
      </c>
      <c r="P31" s="16">
        <f>O31/O$39</f>
        <v>1.8820003272780182E-2</v>
      </c>
      <c r="Q31" s="17" t="s">
        <v>34</v>
      </c>
      <c r="R31" s="3"/>
      <c r="S31" s="55" t="str">
        <f>I29</f>
        <v>Avlutar</v>
      </c>
      <c r="T31" s="12">
        <f>I42/1000</f>
        <v>0</v>
      </c>
      <c r="U31" s="14">
        <f>I43</f>
        <v>0</v>
      </c>
    </row>
    <row r="32" spans="1:21" ht="16" x14ac:dyDescent="0.2">
      <c r="A32" s="8" t="s">
        <v>36</v>
      </c>
      <c r="B32" s="68">
        <f>B39-B37-B36-B35-B33</f>
        <v>13143</v>
      </c>
      <c r="C32" s="40">
        <v>1850</v>
      </c>
      <c r="D32" s="40">
        <v>0</v>
      </c>
      <c r="E32" s="64">
        <f>52426*33189/(908+33189)</f>
        <v>51029.900401794883</v>
      </c>
      <c r="F32" s="40">
        <v>0</v>
      </c>
      <c r="G32" s="40">
        <v>59</v>
      </c>
      <c r="H32" s="40">
        <v>0</v>
      </c>
      <c r="I32" s="40"/>
      <c r="J32" s="40"/>
      <c r="K32" s="40"/>
      <c r="L32" s="40"/>
      <c r="M32" s="41"/>
      <c r="N32" s="40">
        <v>29444</v>
      </c>
      <c r="O32" s="64">
        <f>SUM(B32:N32)</f>
        <v>95525.900401794876</v>
      </c>
      <c r="P32" s="16">
        <f>O32/O$39</f>
        <v>0.14785736970121338</v>
      </c>
      <c r="Q32" s="17" t="s">
        <v>37</v>
      </c>
      <c r="R32" s="3"/>
      <c r="S32" s="55" t="str">
        <f>H29</f>
        <v>Biogas</v>
      </c>
      <c r="T32" s="12">
        <f>H42/1000</f>
        <v>0</v>
      </c>
      <c r="U32" s="14">
        <f>H43</f>
        <v>0</v>
      </c>
    </row>
    <row r="33" spans="1:48" ht="16" x14ac:dyDescent="0.2">
      <c r="A33" s="8" t="s">
        <v>38</v>
      </c>
      <c r="B33" s="40">
        <v>6929</v>
      </c>
      <c r="C33" s="40">
        <v>78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/>
      <c r="J33" s="40"/>
      <c r="K33" s="40"/>
      <c r="L33" s="40"/>
      <c r="M33" s="41"/>
      <c r="N33" s="40">
        <v>18002</v>
      </c>
      <c r="O33" s="40">
        <v>25009</v>
      </c>
      <c r="P33" s="16">
        <f>O33/O$39</f>
        <v>3.8709553569286917E-2</v>
      </c>
      <c r="Q33" s="17" t="s">
        <v>39</v>
      </c>
      <c r="R33" s="3"/>
      <c r="S33" s="3" t="s">
        <v>35</v>
      </c>
      <c r="T33" s="12">
        <f>C42/1000</f>
        <v>264.05099999999999</v>
      </c>
      <c r="U33" s="14">
        <f>C43</f>
        <v>0.451816273699154</v>
      </c>
    </row>
    <row r="34" spans="1:48" ht="16" x14ac:dyDescent="0.2">
      <c r="A34" s="8" t="s">
        <v>40</v>
      </c>
      <c r="B34" s="40">
        <v>0</v>
      </c>
      <c r="C34" s="40">
        <v>249302</v>
      </c>
      <c r="D34" s="40">
        <v>0</v>
      </c>
      <c r="E34" s="40">
        <v>0</v>
      </c>
      <c r="F34" s="40">
        <v>20579</v>
      </c>
      <c r="G34" s="40">
        <v>0</v>
      </c>
      <c r="H34" s="40">
        <v>0</v>
      </c>
      <c r="I34" s="40"/>
      <c r="J34" s="40"/>
      <c r="K34" s="40"/>
      <c r="L34" s="40"/>
      <c r="M34" s="41"/>
      <c r="N34" s="40">
        <v>283</v>
      </c>
      <c r="O34" s="40">
        <v>270165</v>
      </c>
      <c r="P34" s="16">
        <f>O34/O$39</f>
        <v>0.41816812107826778</v>
      </c>
      <c r="Q34" s="17" t="s">
        <v>41</v>
      </c>
      <c r="R34" s="3"/>
      <c r="S34" s="3"/>
      <c r="T34" s="13">
        <f>SUM(T24:T33)</f>
        <v>584.4211804017948</v>
      </c>
      <c r="U34" s="14">
        <f>SUM(U24:U33)</f>
        <v>1</v>
      </c>
    </row>
    <row r="35" spans="1:48" ht="16" x14ac:dyDescent="0.2">
      <c r="A35" s="8" t="s">
        <v>42</v>
      </c>
      <c r="B35" s="40">
        <v>13446</v>
      </c>
      <c r="C35" s="40">
        <v>3541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/>
      <c r="J35" s="40"/>
      <c r="K35" s="40"/>
      <c r="L35" s="40"/>
      <c r="M35" s="41"/>
      <c r="N35" s="40">
        <v>68975</v>
      </c>
      <c r="O35" s="40">
        <v>85962</v>
      </c>
      <c r="P35" s="16">
        <f>O35/O$39</f>
        <v>0.13305412627146396</v>
      </c>
      <c r="Q35" s="17" t="s">
        <v>43</v>
      </c>
      <c r="R35" s="17"/>
    </row>
    <row r="36" spans="1:48" ht="16" x14ac:dyDescent="0.2">
      <c r="A36" s="8" t="s">
        <v>44</v>
      </c>
      <c r="B36" s="40">
        <v>6746</v>
      </c>
      <c r="C36" s="40">
        <v>652</v>
      </c>
      <c r="D36" s="40">
        <v>0</v>
      </c>
      <c r="E36" s="40">
        <v>0</v>
      </c>
      <c r="F36" s="40">
        <v>0</v>
      </c>
      <c r="G36" s="40">
        <v>32032</v>
      </c>
      <c r="H36" s="40">
        <v>0</v>
      </c>
      <c r="I36" s="40"/>
      <c r="J36" s="40"/>
      <c r="K36" s="40"/>
      <c r="L36" s="40"/>
      <c r="M36" s="41"/>
      <c r="N36" s="40">
        <v>66231</v>
      </c>
      <c r="O36" s="40">
        <v>105660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45</v>
      </c>
      <c r="B37" s="40">
        <v>40962</v>
      </c>
      <c r="C37" s="40">
        <v>80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/>
      <c r="J37" s="40"/>
      <c r="K37" s="40"/>
      <c r="L37" s="40"/>
      <c r="M37" s="41"/>
      <c r="N37" s="40">
        <v>9651</v>
      </c>
      <c r="O37" s="40">
        <v>50692</v>
      </c>
      <c r="P37" s="17"/>
      <c r="Q37" s="17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/>
      <c r="J38" s="40"/>
      <c r="K38" s="40"/>
      <c r="L38" s="40"/>
      <c r="M38" s="41"/>
      <c r="N38" s="40">
        <v>895</v>
      </c>
      <c r="O38" s="40">
        <v>895</v>
      </c>
      <c r="P38" s="17">
        <f>SUM(P31:P35)</f>
        <v>0.7566091738930123</v>
      </c>
      <c r="Q38" s="17"/>
      <c r="R38" s="3"/>
      <c r="S38" s="7" t="s">
        <v>47</v>
      </c>
      <c r="T38" s="19">
        <f>O45/1000</f>
        <v>-12.513719999999999</v>
      </c>
      <c r="U38" s="7"/>
    </row>
    <row r="39" spans="1:48" ht="16" x14ac:dyDescent="0.2">
      <c r="A39" s="8" t="s">
        <v>16</v>
      </c>
      <c r="B39" s="67">
        <v>81226</v>
      </c>
      <c r="C39" s="40">
        <v>260489</v>
      </c>
      <c r="D39" s="40">
        <v>0</v>
      </c>
      <c r="E39" s="64">
        <f>SUM(E31:E38)</f>
        <v>51029.900401794883</v>
      </c>
      <c r="F39" s="40">
        <v>21044</v>
      </c>
      <c r="G39" s="40">
        <v>32090</v>
      </c>
      <c r="H39" s="40">
        <v>0</v>
      </c>
      <c r="I39" s="40"/>
      <c r="J39" s="40"/>
      <c r="K39" s="40"/>
      <c r="L39" s="40"/>
      <c r="M39" s="41"/>
      <c r="N39" s="40">
        <v>200191</v>
      </c>
      <c r="O39" s="64">
        <f>SUM(O31:O38)</f>
        <v>646067.90040179482</v>
      </c>
      <c r="P39" s="3"/>
      <c r="Q39" s="3"/>
      <c r="R39" s="3"/>
      <c r="S39" s="7" t="s">
        <v>48</v>
      </c>
      <c r="T39" s="19">
        <f>O41/1000</f>
        <v>157.24700000000001</v>
      </c>
      <c r="U39" s="14">
        <f>P41</f>
        <v>0.24339082610698787</v>
      </c>
    </row>
    <row r="40" spans="1:48" x14ac:dyDescent="0.2">
      <c r="S40" s="7" t="s">
        <v>49</v>
      </c>
      <c r="T40" s="19">
        <f>O35/1000</f>
        <v>85.962000000000003</v>
      </c>
      <c r="U40" s="14">
        <f>P35</f>
        <v>0.13305412627146396</v>
      </c>
    </row>
    <row r="41" spans="1:48" ht="16" x14ac:dyDescent="0.2">
      <c r="A41" s="21" t="s">
        <v>50</v>
      </c>
      <c r="B41" s="22">
        <f>B38+B37+B36</f>
        <v>47708</v>
      </c>
      <c r="C41" s="22">
        <f t="shared" ref="C41:O41" si="0">C38+C37+C36</f>
        <v>732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32032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76777</v>
      </c>
      <c r="O41" s="22">
        <f t="shared" si="0"/>
        <v>157247</v>
      </c>
      <c r="P41" s="16">
        <f>O41/O$39</f>
        <v>0.24339082610698787</v>
      </c>
      <c r="Q41" s="16" t="s">
        <v>51</v>
      </c>
      <c r="R41" s="7"/>
      <c r="S41" s="7" t="s">
        <v>52</v>
      </c>
      <c r="T41" s="19">
        <f>O33/1000</f>
        <v>25.009</v>
      </c>
      <c r="U41" s="14">
        <f>P33</f>
        <v>3.8709553569286917E-2</v>
      </c>
    </row>
    <row r="42" spans="1:48" ht="16" x14ac:dyDescent="0.2">
      <c r="A42" s="23" t="s">
        <v>53</v>
      </c>
      <c r="B42" s="22"/>
      <c r="C42" s="24">
        <f>C39+C23+C10</f>
        <v>264051</v>
      </c>
      <c r="D42" s="24">
        <f t="shared" ref="D42:M42" si="1">D39+D23+D10</f>
        <v>0</v>
      </c>
      <c r="E42" s="24">
        <f t="shared" si="1"/>
        <v>51029.900401794883</v>
      </c>
      <c r="F42" s="24">
        <f t="shared" si="1"/>
        <v>21044</v>
      </c>
      <c r="G42" s="24">
        <f t="shared" si="1"/>
        <v>32090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216206.28</v>
      </c>
      <c r="O42" s="25">
        <f>SUM(C42:N42)</f>
        <v>584421.18040179485</v>
      </c>
      <c r="P42" s="7"/>
      <c r="Q42" s="7"/>
      <c r="R42" s="7"/>
      <c r="S42" s="7" t="s">
        <v>34</v>
      </c>
      <c r="T42" s="19">
        <f>O31/1000</f>
        <v>12.159000000000001</v>
      </c>
      <c r="U42" s="14">
        <f>P31</f>
        <v>1.8820003272780182E-2</v>
      </c>
    </row>
    <row r="43" spans="1:48" ht="16" x14ac:dyDescent="0.2">
      <c r="A43" s="23" t="s">
        <v>54</v>
      </c>
      <c r="B43" s="22"/>
      <c r="C43" s="16">
        <f t="shared" ref="C43:N43" si="2">C42/$O42</f>
        <v>0.451816273699154</v>
      </c>
      <c r="D43" s="16">
        <f t="shared" si="2"/>
        <v>0</v>
      </c>
      <c r="E43" s="16">
        <f t="shared" si="2"/>
        <v>8.7316993485265823E-2</v>
      </c>
      <c r="F43" s="16">
        <f t="shared" si="2"/>
        <v>3.6008277430212336E-2</v>
      </c>
      <c r="G43" s="16">
        <f t="shared" si="2"/>
        <v>5.4909029782147588E-2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0.36994942560322031</v>
      </c>
      <c r="O43" s="16">
        <f>SUM(C43:N43)</f>
        <v>1</v>
      </c>
      <c r="P43" s="7"/>
      <c r="Q43" s="7"/>
      <c r="R43" s="7"/>
      <c r="S43" s="7" t="s">
        <v>55</v>
      </c>
      <c r="T43" s="19">
        <f>O32/1000</f>
        <v>95.525900401794871</v>
      </c>
      <c r="U43" s="14">
        <f>P32</f>
        <v>0.14785736970121338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19">
        <f>O34/1000</f>
        <v>270.16500000000002</v>
      </c>
      <c r="U44" s="14">
        <f>P34</f>
        <v>0.41816812107826778</v>
      </c>
    </row>
    <row r="45" spans="1:48" ht="16" x14ac:dyDescent="0.2">
      <c r="A45" s="6" t="s">
        <v>57</v>
      </c>
      <c r="B45" s="6">
        <f>B23+B25-B39</f>
        <v>-28529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16015.28</v>
      </c>
      <c r="O45" s="25">
        <f>B45+N45</f>
        <v>-12513.72</v>
      </c>
      <c r="P45" s="7"/>
      <c r="Q45" s="7"/>
      <c r="R45" s="7"/>
      <c r="S45" s="7" t="s">
        <v>58</v>
      </c>
      <c r="T45" s="19">
        <f>SUM(T39:T44)</f>
        <v>646.06790040179499</v>
      </c>
      <c r="U45" s="14">
        <f>SUM(U39:U44)</f>
        <v>1</v>
      </c>
    </row>
    <row r="46" spans="1:48" ht="16" x14ac:dyDescent="0.2">
      <c r="A46" s="6"/>
      <c r="B46" s="4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37"/>
      <c r="G48" s="27"/>
      <c r="H48" s="37"/>
      <c r="I48" s="27"/>
      <c r="J48" s="27"/>
      <c r="K48" s="27"/>
      <c r="L48" s="27"/>
      <c r="M48" s="27"/>
      <c r="N48" s="27"/>
      <c r="O48" s="27"/>
      <c r="P48" s="3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/>
      <c r="B50" s="40"/>
      <c r="C50" s="40"/>
      <c r="D50" s="40"/>
      <c r="E50" s="74"/>
      <c r="F50" s="40"/>
      <c r="G50" s="40"/>
      <c r="I50" s="40"/>
      <c r="J50" s="40"/>
      <c r="K50" s="40"/>
      <c r="L50" s="75"/>
      <c r="M50" s="40"/>
      <c r="N50" s="40"/>
      <c r="O50" s="40"/>
      <c r="P50" s="40"/>
      <c r="Q50" s="40"/>
      <c r="R50" s="40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27"/>
      <c r="N51" s="9"/>
      <c r="O51" s="9"/>
      <c r="P51" s="27"/>
      <c r="Q51" s="27"/>
      <c r="R51" s="4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27"/>
      <c r="N52" s="9"/>
      <c r="O52" s="9"/>
      <c r="P52" s="27"/>
      <c r="Q52" s="27"/>
      <c r="R52" s="4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27"/>
      <c r="N53" s="9"/>
      <c r="O53" s="9"/>
      <c r="P53" s="27"/>
      <c r="Q53" s="27"/>
      <c r="R53" s="4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27"/>
      <c r="N54" s="9"/>
      <c r="O54" s="9"/>
      <c r="P54" s="27"/>
      <c r="Q54" s="27"/>
      <c r="R54" s="4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27"/>
      <c r="N55" s="9"/>
      <c r="O55" s="9"/>
      <c r="P55" s="27"/>
      <c r="Q55" s="27"/>
      <c r="R55" s="4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/>
      <c r="B56" s="76"/>
      <c r="C56" s="6"/>
      <c r="D56" s="6"/>
      <c r="E56" s="9"/>
      <c r="F56" s="18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/>
      <c r="B57" s="76"/>
      <c r="C57" s="6"/>
      <c r="D57" s="31"/>
      <c r="E57" s="9"/>
      <c r="F57" s="18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0"/>
    </row>
    <row r="58" spans="1:48" ht="16" x14ac:dyDescent="0.2">
      <c r="A58" s="5"/>
      <c r="B58" s="76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7"/>
      <c r="T58" s="6"/>
      <c r="U58" s="30"/>
    </row>
    <row r="59" spans="1:48" ht="16" x14ac:dyDescent="0.2">
      <c r="A59" s="5"/>
      <c r="B59" s="76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7"/>
      <c r="T59" s="6"/>
      <c r="U59" s="30"/>
    </row>
    <row r="60" spans="1:48" ht="16" x14ac:dyDescent="0.2">
      <c r="A60" s="5"/>
      <c r="B60" s="76"/>
      <c r="C60" s="6"/>
      <c r="D60" s="10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7"/>
      <c r="T60" s="6"/>
      <c r="U60" s="30"/>
    </row>
    <row r="61" spans="1:48" ht="16" x14ac:dyDescent="0.2">
      <c r="C61" s="10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7"/>
      <c r="T61" s="31"/>
      <c r="U61" s="32"/>
    </row>
    <row r="62" spans="1:48" ht="16" x14ac:dyDescent="0.2">
      <c r="E62" s="7"/>
      <c r="F62" s="7"/>
      <c r="G62" s="7"/>
      <c r="H62" s="7"/>
      <c r="I62" s="6"/>
      <c r="J62" s="7"/>
      <c r="K62" s="7"/>
      <c r="L62" s="6"/>
      <c r="M62" s="29"/>
      <c r="N62" s="7"/>
      <c r="O62" s="6"/>
      <c r="P62" s="14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8247EA8-2A4E-4490-BA12-CF19A64023F8}"/>
</file>

<file path=customXml/itemProps2.xml><?xml version="1.0" encoding="utf-8"?>
<ds:datastoreItem xmlns:ds="http://schemas.openxmlformats.org/officeDocument/2006/customXml" ds:itemID="{5DF0D6F6-279B-4823-85D2-6B8A2C91C823}"/>
</file>

<file path=customXml/itemProps3.xml><?xml version="1.0" encoding="utf-8"?>
<ds:datastoreItem xmlns:ds="http://schemas.openxmlformats.org/officeDocument/2006/customXml" ds:itemID="{B50569EC-B19A-48C3-9E61-764AE8F9E4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Örebro län</vt:lpstr>
      <vt:lpstr>Lekeberg</vt:lpstr>
      <vt:lpstr>Laxå</vt:lpstr>
      <vt:lpstr>Hallsberg</vt:lpstr>
      <vt:lpstr>Degerfors</vt:lpstr>
      <vt:lpstr>Hällefors</vt:lpstr>
      <vt:lpstr>Ljusnarsberg</vt:lpstr>
      <vt:lpstr>Örebro</vt:lpstr>
      <vt:lpstr>Kumla</vt:lpstr>
      <vt:lpstr>Askersund</vt:lpstr>
      <vt:lpstr>Karlskoga</vt:lpstr>
      <vt:lpstr>Nora</vt:lpstr>
      <vt:lpstr>Lindesberg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dcterms:created xsi:type="dcterms:W3CDTF">2016-02-06T13:09:40Z</dcterms:created>
  <dcterms:modified xsi:type="dcterms:W3CDTF">2017-08-27T21:51:38Z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