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omments6.xml" ContentType="application/vnd.openxmlformats-officedocument.spreadsheetml.comment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omments5.xml" ContentType="application/vnd.openxmlformats-officedocument.spreadsheetml.comments+xml"/>
  <Override PartName="/xl/comments9.xml" ContentType="application/vnd.openxmlformats-officedocument.spreadsheetml.comments+xml"/>
  <Override PartName="/xl/comments8.xml" ContentType="application/vnd.openxmlformats-officedocument.spreadsheetml.comments+xml"/>
  <Override PartName="/xl/comments4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omments3.xml" ContentType="application/vnd.openxmlformats-officedocument.spreadsheetml.comments+xml"/>
  <Override PartName="/xl/comments14.xml" ContentType="application/vnd.openxmlformats-officedocument.spreadsheetml.comments+xml"/>
  <Override PartName="/xl/comments2.xml" ContentType="application/vnd.openxmlformats-officedocument.spreadsheetml.comments+xml"/>
  <Override PartName="/xl/comments13.xml" ContentType="application/vnd.openxmlformats-officedocument.spreadsheetml.comments+xml"/>
  <Override PartName="/xl/comments12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Kaj/RushFiles/Energistatistik+LEKS+2017/Energibalanser till kund/"/>
    </mc:Choice>
  </mc:AlternateContent>
  <bookViews>
    <workbookView xWindow="0" yWindow="460" windowWidth="28800" windowHeight="17460" tabRatio="827"/>
  </bookViews>
  <sheets>
    <sheet name="Östergötland" sheetId="15" r:id="rId1"/>
    <sheet name="Ödeshög" sheetId="2" r:id="rId2"/>
    <sheet name="Ydre" sheetId="3" r:id="rId3"/>
    <sheet name="Kinda" sheetId="4" r:id="rId4"/>
    <sheet name="Boxholm" sheetId="5" r:id="rId5"/>
    <sheet name="Åtvidaberg" sheetId="6" r:id="rId6"/>
    <sheet name="Finspång" sheetId="7" r:id="rId7"/>
    <sheet name="Valdemarsvik" sheetId="8" r:id="rId8"/>
    <sheet name="Linköping" sheetId="9" r:id="rId9"/>
    <sheet name="Norrköping" sheetId="10" r:id="rId10"/>
    <sheet name="Söderköping" sheetId="11" r:id="rId11"/>
    <sheet name="Motala" sheetId="12" r:id="rId12"/>
    <sheet name="Mjölby" sheetId="14" r:id="rId13"/>
    <sheet name="Vadstena" sheetId="13" r:id="rId1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5" i="15" l="1"/>
  <c r="O32" i="15"/>
  <c r="O33" i="15"/>
  <c r="O34" i="15"/>
  <c r="O35" i="15"/>
  <c r="O36" i="15"/>
  <c r="O37" i="15"/>
  <c r="O38" i="15"/>
  <c r="O31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B39" i="15"/>
  <c r="G18" i="15"/>
  <c r="H18" i="15"/>
  <c r="I18" i="15"/>
  <c r="J18" i="15"/>
  <c r="K18" i="15"/>
  <c r="L18" i="15"/>
  <c r="M18" i="15"/>
  <c r="N18" i="15"/>
  <c r="O18" i="15"/>
  <c r="G17" i="15"/>
  <c r="H17" i="15"/>
  <c r="I17" i="15"/>
  <c r="J17" i="15"/>
  <c r="K17" i="15"/>
  <c r="L17" i="15"/>
  <c r="M17" i="15"/>
  <c r="N17" i="15"/>
  <c r="O17" i="15"/>
  <c r="G7" i="15"/>
  <c r="H7" i="15"/>
  <c r="I7" i="15"/>
  <c r="J7" i="15"/>
  <c r="K7" i="15"/>
  <c r="L7" i="15"/>
  <c r="M7" i="15"/>
  <c r="N7" i="15"/>
  <c r="O7" i="15"/>
  <c r="C10" i="15"/>
  <c r="D10" i="15"/>
  <c r="E10" i="15"/>
  <c r="F10" i="15"/>
  <c r="G6" i="15"/>
  <c r="G10" i="15"/>
  <c r="H6" i="15"/>
  <c r="H10" i="15"/>
  <c r="I6" i="15"/>
  <c r="I10" i="15"/>
  <c r="J6" i="15"/>
  <c r="J10" i="15"/>
  <c r="K6" i="15"/>
  <c r="K10" i="15"/>
  <c r="L10" i="15"/>
  <c r="M10" i="15"/>
  <c r="N10" i="15"/>
  <c r="O10" i="15"/>
  <c r="B10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B17" i="15"/>
  <c r="B22" i="15"/>
  <c r="B23" i="15"/>
  <c r="M42" i="2"/>
  <c r="C42" i="2"/>
  <c r="D42" i="2"/>
  <c r="E32" i="2"/>
  <c r="E39" i="2"/>
  <c r="E42" i="2"/>
  <c r="F42" i="2"/>
  <c r="G42" i="2"/>
  <c r="H42" i="2"/>
  <c r="I42" i="2"/>
  <c r="J42" i="2"/>
  <c r="K42" i="2"/>
  <c r="L42" i="2"/>
  <c r="N39" i="2"/>
  <c r="N45" i="2"/>
  <c r="N42" i="2"/>
  <c r="O42" i="2"/>
  <c r="M43" i="2"/>
  <c r="U31" i="2"/>
  <c r="M42" i="3"/>
  <c r="C42" i="3"/>
  <c r="D42" i="3"/>
  <c r="E42" i="3"/>
  <c r="F42" i="3"/>
  <c r="G23" i="3"/>
  <c r="G42" i="3"/>
  <c r="H42" i="3"/>
  <c r="I42" i="3"/>
  <c r="J42" i="3"/>
  <c r="K42" i="3"/>
  <c r="L42" i="3"/>
  <c r="N45" i="3"/>
  <c r="N42" i="3"/>
  <c r="O42" i="3"/>
  <c r="M43" i="3"/>
  <c r="U31" i="3"/>
  <c r="M42" i="4"/>
  <c r="C39" i="4"/>
  <c r="C18" i="4"/>
  <c r="C23" i="4"/>
  <c r="C42" i="4"/>
  <c r="D42" i="4"/>
  <c r="E39" i="4"/>
  <c r="E42" i="4"/>
  <c r="F42" i="4"/>
  <c r="G32" i="4"/>
  <c r="G39" i="4"/>
  <c r="G18" i="4"/>
  <c r="G23" i="4"/>
  <c r="G42" i="4"/>
  <c r="H42" i="4"/>
  <c r="I42" i="4"/>
  <c r="J42" i="4"/>
  <c r="K42" i="4"/>
  <c r="N45" i="4"/>
  <c r="N42" i="4"/>
  <c r="O42" i="4"/>
  <c r="M43" i="4"/>
  <c r="U31" i="4"/>
  <c r="M42" i="5"/>
  <c r="C39" i="5"/>
  <c r="C42" i="5"/>
  <c r="D42" i="5"/>
  <c r="E42" i="5"/>
  <c r="F42" i="5"/>
  <c r="G42" i="5"/>
  <c r="H42" i="5"/>
  <c r="I42" i="5"/>
  <c r="J42" i="5"/>
  <c r="K42" i="5"/>
  <c r="L42" i="5"/>
  <c r="N39" i="5"/>
  <c r="N45" i="5"/>
  <c r="N42" i="5"/>
  <c r="O42" i="5"/>
  <c r="M43" i="5"/>
  <c r="U31" i="5"/>
  <c r="M42" i="6"/>
  <c r="C42" i="6"/>
  <c r="D42" i="6"/>
  <c r="E42" i="6"/>
  <c r="F42" i="6"/>
  <c r="G23" i="6"/>
  <c r="G42" i="6"/>
  <c r="H42" i="6"/>
  <c r="I42" i="6"/>
  <c r="J42" i="6"/>
  <c r="K42" i="6"/>
  <c r="L42" i="6"/>
  <c r="N45" i="6"/>
  <c r="N42" i="6"/>
  <c r="O42" i="6"/>
  <c r="M43" i="6"/>
  <c r="U31" i="6"/>
  <c r="M42" i="7"/>
  <c r="C23" i="7"/>
  <c r="C42" i="7"/>
  <c r="D23" i="7"/>
  <c r="D42" i="7"/>
  <c r="E42" i="7"/>
  <c r="F42" i="7"/>
  <c r="G39" i="7"/>
  <c r="G23" i="7"/>
  <c r="G42" i="7"/>
  <c r="H42" i="7"/>
  <c r="I42" i="7"/>
  <c r="J42" i="7"/>
  <c r="K23" i="7"/>
  <c r="K42" i="7"/>
  <c r="L42" i="7"/>
  <c r="C36" i="7"/>
  <c r="C32" i="7"/>
  <c r="B32" i="7"/>
  <c r="N32" i="7"/>
  <c r="N39" i="7"/>
  <c r="N45" i="7"/>
  <c r="N42" i="7"/>
  <c r="O42" i="7"/>
  <c r="M43" i="7"/>
  <c r="U31" i="7"/>
  <c r="M42" i="8"/>
  <c r="C42" i="8"/>
  <c r="D42" i="8"/>
  <c r="C36" i="8"/>
  <c r="C32" i="8"/>
  <c r="E32" i="8"/>
  <c r="E39" i="8"/>
  <c r="E42" i="8"/>
  <c r="F42" i="8"/>
  <c r="G32" i="8"/>
  <c r="G39" i="8"/>
  <c r="G42" i="8"/>
  <c r="H42" i="8"/>
  <c r="I42" i="8"/>
  <c r="J42" i="8"/>
  <c r="K42" i="8"/>
  <c r="L42" i="8"/>
  <c r="N45" i="8"/>
  <c r="N42" i="8"/>
  <c r="O42" i="8"/>
  <c r="M43" i="8"/>
  <c r="U31" i="8"/>
  <c r="M42" i="9"/>
  <c r="C42" i="9"/>
  <c r="D32" i="9"/>
  <c r="D39" i="9"/>
  <c r="D17" i="9"/>
  <c r="D23" i="9"/>
  <c r="D42" i="9"/>
  <c r="E39" i="9"/>
  <c r="E42" i="9"/>
  <c r="F42" i="9"/>
  <c r="G39" i="9"/>
  <c r="G17" i="9"/>
  <c r="G23" i="9"/>
  <c r="G42" i="9"/>
  <c r="H42" i="9"/>
  <c r="I42" i="9"/>
  <c r="J42" i="9"/>
  <c r="K23" i="9"/>
  <c r="K42" i="9"/>
  <c r="L42" i="9"/>
  <c r="N18" i="9"/>
  <c r="N23" i="9"/>
  <c r="N45" i="9"/>
  <c r="N42" i="9"/>
  <c r="O42" i="9"/>
  <c r="M43" i="9"/>
  <c r="U31" i="9"/>
  <c r="M42" i="11"/>
  <c r="C42" i="11"/>
  <c r="D42" i="11"/>
  <c r="E32" i="11"/>
  <c r="E39" i="11"/>
  <c r="E42" i="11"/>
  <c r="F42" i="11"/>
  <c r="G39" i="11"/>
  <c r="G42" i="11"/>
  <c r="H42" i="11"/>
  <c r="I42" i="11"/>
  <c r="J42" i="11"/>
  <c r="K42" i="11"/>
  <c r="L42" i="11"/>
  <c r="N45" i="11"/>
  <c r="N42" i="11"/>
  <c r="O42" i="11"/>
  <c r="M43" i="11"/>
  <c r="U31" i="11"/>
  <c r="M42" i="12"/>
  <c r="C36" i="12"/>
  <c r="C39" i="12"/>
  <c r="C23" i="12"/>
  <c r="C42" i="12"/>
  <c r="D42" i="12"/>
  <c r="O31" i="12"/>
  <c r="O32" i="12"/>
  <c r="G32" i="12"/>
  <c r="E32" i="12"/>
  <c r="E39" i="12"/>
  <c r="E42" i="12"/>
  <c r="F42" i="12"/>
  <c r="G17" i="12"/>
  <c r="G23" i="12"/>
  <c r="G42" i="12"/>
  <c r="H42" i="12"/>
  <c r="I42" i="12"/>
  <c r="J42" i="12"/>
  <c r="K42" i="12"/>
  <c r="L42" i="12"/>
  <c r="N45" i="12"/>
  <c r="N42" i="12"/>
  <c r="O42" i="12"/>
  <c r="M43" i="12"/>
  <c r="U31" i="12"/>
  <c r="M42" i="14"/>
  <c r="C32" i="14"/>
  <c r="C39" i="14"/>
  <c r="C42" i="14"/>
  <c r="D42" i="14"/>
  <c r="E39" i="14"/>
  <c r="E42" i="14"/>
  <c r="F42" i="14"/>
  <c r="G17" i="14"/>
  <c r="G18" i="14"/>
  <c r="G23" i="14"/>
  <c r="G42" i="14"/>
  <c r="H42" i="14"/>
  <c r="I42" i="14"/>
  <c r="J42" i="14"/>
  <c r="K42" i="14"/>
  <c r="L42" i="14"/>
  <c r="N45" i="14"/>
  <c r="N42" i="14"/>
  <c r="O42" i="14"/>
  <c r="M43" i="14"/>
  <c r="U31" i="14"/>
  <c r="M42" i="13"/>
  <c r="C23" i="13"/>
  <c r="C42" i="13"/>
  <c r="D42" i="13"/>
  <c r="E39" i="13"/>
  <c r="E42" i="13"/>
  <c r="F42" i="13"/>
  <c r="G23" i="13"/>
  <c r="G42" i="13"/>
  <c r="H42" i="13"/>
  <c r="I42" i="13"/>
  <c r="J42" i="13"/>
  <c r="K42" i="13"/>
  <c r="L42" i="13"/>
  <c r="N39" i="13"/>
  <c r="N45" i="13"/>
  <c r="N42" i="13"/>
  <c r="O42" i="13"/>
  <c r="M43" i="13"/>
  <c r="U31" i="13"/>
  <c r="M39" i="10"/>
  <c r="M42" i="10"/>
  <c r="C10" i="10"/>
  <c r="C42" i="10"/>
  <c r="D17" i="10"/>
  <c r="D23" i="10"/>
  <c r="D42" i="10"/>
  <c r="E42" i="10"/>
  <c r="F39" i="10"/>
  <c r="F42" i="10"/>
  <c r="G32" i="10"/>
  <c r="G39" i="10"/>
  <c r="G17" i="10"/>
  <c r="G23" i="10"/>
  <c r="G42" i="10"/>
  <c r="H42" i="10"/>
  <c r="O32" i="10"/>
  <c r="N32" i="10"/>
  <c r="I32" i="10"/>
  <c r="I39" i="10"/>
  <c r="I42" i="10"/>
  <c r="J42" i="10"/>
  <c r="K17" i="10"/>
  <c r="K23" i="10"/>
  <c r="K42" i="10"/>
  <c r="N39" i="10"/>
  <c r="B6" i="10"/>
  <c r="N45" i="10"/>
  <c r="N42" i="10"/>
  <c r="O42" i="10"/>
  <c r="M43" i="10"/>
  <c r="U31" i="10"/>
  <c r="T31" i="2"/>
  <c r="T31" i="3"/>
  <c r="T31" i="4"/>
  <c r="T31" i="5"/>
  <c r="T31" i="6"/>
  <c r="T31" i="7"/>
  <c r="T31" i="8"/>
  <c r="T31" i="9"/>
  <c r="T31" i="11"/>
  <c r="T31" i="12"/>
  <c r="T31" i="14"/>
  <c r="T31" i="13"/>
  <c r="T31" i="10"/>
  <c r="S31" i="2"/>
  <c r="S31" i="3"/>
  <c r="S31" i="4"/>
  <c r="S31" i="5"/>
  <c r="S31" i="6"/>
  <c r="S31" i="7"/>
  <c r="S31" i="8"/>
  <c r="S31" i="9"/>
  <c r="S31" i="11"/>
  <c r="S31" i="12"/>
  <c r="S31" i="14"/>
  <c r="S31" i="13"/>
  <c r="S31" i="10"/>
  <c r="N43" i="3"/>
  <c r="U23" i="3"/>
  <c r="G43" i="3"/>
  <c r="U24" i="3"/>
  <c r="J43" i="3"/>
  <c r="U25" i="3"/>
  <c r="F43" i="3"/>
  <c r="U26" i="3"/>
  <c r="E43" i="3"/>
  <c r="U27" i="3"/>
  <c r="D43" i="3"/>
  <c r="U28" i="3"/>
  <c r="K43" i="3"/>
  <c r="U29" i="3"/>
  <c r="I43" i="3"/>
  <c r="U30" i="3"/>
  <c r="H43" i="3"/>
  <c r="U32" i="3"/>
  <c r="C43" i="3"/>
  <c r="U33" i="3"/>
  <c r="U34" i="3"/>
  <c r="N43" i="4"/>
  <c r="U23" i="4"/>
  <c r="G43" i="4"/>
  <c r="U24" i="4"/>
  <c r="J43" i="4"/>
  <c r="U25" i="4"/>
  <c r="F43" i="4"/>
  <c r="U26" i="4"/>
  <c r="E43" i="4"/>
  <c r="U27" i="4"/>
  <c r="D43" i="4"/>
  <c r="U28" i="4"/>
  <c r="K43" i="4"/>
  <c r="U29" i="4"/>
  <c r="I43" i="4"/>
  <c r="U30" i="4"/>
  <c r="H43" i="4"/>
  <c r="U32" i="4"/>
  <c r="C43" i="4"/>
  <c r="U33" i="4"/>
  <c r="U34" i="4"/>
  <c r="N43" i="5"/>
  <c r="U23" i="5"/>
  <c r="G43" i="5"/>
  <c r="U24" i="5"/>
  <c r="J43" i="5"/>
  <c r="U25" i="5"/>
  <c r="F43" i="5"/>
  <c r="U26" i="5"/>
  <c r="E43" i="5"/>
  <c r="U27" i="5"/>
  <c r="D43" i="5"/>
  <c r="U28" i="5"/>
  <c r="K43" i="5"/>
  <c r="U29" i="5"/>
  <c r="I43" i="5"/>
  <c r="U30" i="5"/>
  <c r="H43" i="5"/>
  <c r="U32" i="5"/>
  <c r="C43" i="5"/>
  <c r="U33" i="5"/>
  <c r="U34" i="5"/>
  <c r="N43" i="6"/>
  <c r="U23" i="6"/>
  <c r="G43" i="6"/>
  <c r="U24" i="6"/>
  <c r="J43" i="6"/>
  <c r="U25" i="6"/>
  <c r="F43" i="6"/>
  <c r="U26" i="6"/>
  <c r="E43" i="6"/>
  <c r="U27" i="6"/>
  <c r="D43" i="6"/>
  <c r="U28" i="6"/>
  <c r="K43" i="6"/>
  <c r="U29" i="6"/>
  <c r="I43" i="6"/>
  <c r="U30" i="6"/>
  <c r="H43" i="6"/>
  <c r="U32" i="6"/>
  <c r="C43" i="6"/>
  <c r="U33" i="6"/>
  <c r="U34" i="6"/>
  <c r="N43" i="7"/>
  <c r="U23" i="7"/>
  <c r="G43" i="7"/>
  <c r="U24" i="7"/>
  <c r="J43" i="7"/>
  <c r="U25" i="7"/>
  <c r="F43" i="7"/>
  <c r="U26" i="7"/>
  <c r="E43" i="7"/>
  <c r="U27" i="7"/>
  <c r="D43" i="7"/>
  <c r="U28" i="7"/>
  <c r="K43" i="7"/>
  <c r="U29" i="7"/>
  <c r="I43" i="7"/>
  <c r="U30" i="7"/>
  <c r="H43" i="7"/>
  <c r="U32" i="7"/>
  <c r="C43" i="7"/>
  <c r="U33" i="7"/>
  <c r="U34" i="7"/>
  <c r="N43" i="8"/>
  <c r="U23" i="8"/>
  <c r="G43" i="8"/>
  <c r="U24" i="8"/>
  <c r="J43" i="8"/>
  <c r="U25" i="8"/>
  <c r="F43" i="8"/>
  <c r="U26" i="8"/>
  <c r="E43" i="8"/>
  <c r="U27" i="8"/>
  <c r="D43" i="8"/>
  <c r="U28" i="8"/>
  <c r="K43" i="8"/>
  <c r="U29" i="8"/>
  <c r="I43" i="8"/>
  <c r="U30" i="8"/>
  <c r="H43" i="8"/>
  <c r="U32" i="8"/>
  <c r="C43" i="8"/>
  <c r="U33" i="8"/>
  <c r="U34" i="8"/>
  <c r="N43" i="9"/>
  <c r="U23" i="9"/>
  <c r="G43" i="9"/>
  <c r="U24" i="9"/>
  <c r="J43" i="9"/>
  <c r="U25" i="9"/>
  <c r="F43" i="9"/>
  <c r="U26" i="9"/>
  <c r="E43" i="9"/>
  <c r="U27" i="9"/>
  <c r="D43" i="9"/>
  <c r="U28" i="9"/>
  <c r="K43" i="9"/>
  <c r="U29" i="9"/>
  <c r="I43" i="9"/>
  <c r="U30" i="9"/>
  <c r="H43" i="9"/>
  <c r="U32" i="9"/>
  <c r="C43" i="9"/>
  <c r="U33" i="9"/>
  <c r="U34" i="9"/>
  <c r="N43" i="10"/>
  <c r="U23" i="10"/>
  <c r="G43" i="10"/>
  <c r="U24" i="10"/>
  <c r="J43" i="10"/>
  <c r="U25" i="10"/>
  <c r="F43" i="10"/>
  <c r="U26" i="10"/>
  <c r="E43" i="10"/>
  <c r="U27" i="10"/>
  <c r="D43" i="10"/>
  <c r="U28" i="10"/>
  <c r="K43" i="10"/>
  <c r="U29" i="10"/>
  <c r="I43" i="10"/>
  <c r="U30" i="10"/>
  <c r="H43" i="10"/>
  <c r="U32" i="10"/>
  <c r="C43" i="10"/>
  <c r="U33" i="10"/>
  <c r="U34" i="10"/>
  <c r="N43" i="11"/>
  <c r="U23" i="11"/>
  <c r="G43" i="11"/>
  <c r="U24" i="11"/>
  <c r="J43" i="11"/>
  <c r="U25" i="11"/>
  <c r="F43" i="11"/>
  <c r="U26" i="11"/>
  <c r="E43" i="11"/>
  <c r="U27" i="11"/>
  <c r="D43" i="11"/>
  <c r="U28" i="11"/>
  <c r="K43" i="11"/>
  <c r="U29" i="11"/>
  <c r="I43" i="11"/>
  <c r="U30" i="11"/>
  <c r="H43" i="11"/>
  <c r="U32" i="11"/>
  <c r="C43" i="11"/>
  <c r="U33" i="11"/>
  <c r="U34" i="11"/>
  <c r="N43" i="12"/>
  <c r="U23" i="12"/>
  <c r="G43" i="12"/>
  <c r="U24" i="12"/>
  <c r="J43" i="12"/>
  <c r="U25" i="12"/>
  <c r="F43" i="12"/>
  <c r="U26" i="12"/>
  <c r="E43" i="12"/>
  <c r="U27" i="12"/>
  <c r="D43" i="12"/>
  <c r="U28" i="12"/>
  <c r="K43" i="12"/>
  <c r="U29" i="12"/>
  <c r="I43" i="12"/>
  <c r="U30" i="12"/>
  <c r="H43" i="12"/>
  <c r="U32" i="12"/>
  <c r="C43" i="12"/>
  <c r="U33" i="12"/>
  <c r="U34" i="12"/>
  <c r="N43" i="14"/>
  <c r="U23" i="14"/>
  <c r="G43" i="14"/>
  <c r="U24" i="14"/>
  <c r="J43" i="14"/>
  <c r="U25" i="14"/>
  <c r="F43" i="14"/>
  <c r="U26" i="14"/>
  <c r="E43" i="14"/>
  <c r="U27" i="14"/>
  <c r="D43" i="14"/>
  <c r="U28" i="14"/>
  <c r="K43" i="14"/>
  <c r="U29" i="14"/>
  <c r="I43" i="14"/>
  <c r="U30" i="14"/>
  <c r="H43" i="14"/>
  <c r="U32" i="14"/>
  <c r="C43" i="14"/>
  <c r="U33" i="14"/>
  <c r="U34" i="14"/>
  <c r="N43" i="13"/>
  <c r="U23" i="13"/>
  <c r="G43" i="13"/>
  <c r="U24" i="13"/>
  <c r="J43" i="13"/>
  <c r="U25" i="13"/>
  <c r="F43" i="13"/>
  <c r="U26" i="13"/>
  <c r="E43" i="13"/>
  <c r="U27" i="13"/>
  <c r="D43" i="13"/>
  <c r="U28" i="13"/>
  <c r="K43" i="13"/>
  <c r="U29" i="13"/>
  <c r="I43" i="13"/>
  <c r="U30" i="13"/>
  <c r="H43" i="13"/>
  <c r="U32" i="13"/>
  <c r="C43" i="13"/>
  <c r="U33" i="13"/>
  <c r="U34" i="13"/>
  <c r="N43" i="2"/>
  <c r="U23" i="2"/>
  <c r="G43" i="2"/>
  <c r="U24" i="2"/>
  <c r="J43" i="2"/>
  <c r="U25" i="2"/>
  <c r="F43" i="2"/>
  <c r="U26" i="2"/>
  <c r="E43" i="2"/>
  <c r="U27" i="2"/>
  <c r="D43" i="2"/>
  <c r="U28" i="2"/>
  <c r="K43" i="2"/>
  <c r="U29" i="2"/>
  <c r="I43" i="2"/>
  <c r="U30" i="2"/>
  <c r="H43" i="2"/>
  <c r="U32" i="2"/>
  <c r="C43" i="2"/>
  <c r="U33" i="2"/>
  <c r="U34" i="2"/>
  <c r="T23" i="3"/>
  <c r="T24" i="3"/>
  <c r="T25" i="3"/>
  <c r="T26" i="3"/>
  <c r="T27" i="3"/>
  <c r="T28" i="3"/>
  <c r="T29" i="3"/>
  <c r="T30" i="3"/>
  <c r="T32" i="3"/>
  <c r="T33" i="3"/>
  <c r="T34" i="3"/>
  <c r="T23" i="4"/>
  <c r="T24" i="4"/>
  <c r="T25" i="4"/>
  <c r="T26" i="4"/>
  <c r="T27" i="4"/>
  <c r="T28" i="4"/>
  <c r="T29" i="4"/>
  <c r="T30" i="4"/>
  <c r="T32" i="4"/>
  <c r="T33" i="4"/>
  <c r="T34" i="4"/>
  <c r="T23" i="5"/>
  <c r="T24" i="5"/>
  <c r="T25" i="5"/>
  <c r="T26" i="5"/>
  <c r="T27" i="5"/>
  <c r="T28" i="5"/>
  <c r="T29" i="5"/>
  <c r="T30" i="5"/>
  <c r="T32" i="5"/>
  <c r="T33" i="5"/>
  <c r="T34" i="5"/>
  <c r="T23" i="6"/>
  <c r="T24" i="6"/>
  <c r="T25" i="6"/>
  <c r="T26" i="6"/>
  <c r="T27" i="6"/>
  <c r="T28" i="6"/>
  <c r="T29" i="6"/>
  <c r="T30" i="6"/>
  <c r="T32" i="6"/>
  <c r="T33" i="6"/>
  <c r="T34" i="6"/>
  <c r="T23" i="7"/>
  <c r="T24" i="7"/>
  <c r="T25" i="7"/>
  <c r="T26" i="7"/>
  <c r="T27" i="7"/>
  <c r="T28" i="7"/>
  <c r="T29" i="7"/>
  <c r="T30" i="7"/>
  <c r="T32" i="7"/>
  <c r="T33" i="7"/>
  <c r="T34" i="7"/>
  <c r="T23" i="8"/>
  <c r="T24" i="8"/>
  <c r="T25" i="8"/>
  <c r="T26" i="8"/>
  <c r="T27" i="8"/>
  <c r="T28" i="8"/>
  <c r="T29" i="8"/>
  <c r="T30" i="8"/>
  <c r="T32" i="8"/>
  <c r="T33" i="8"/>
  <c r="T34" i="8"/>
  <c r="T23" i="9"/>
  <c r="T24" i="9"/>
  <c r="T25" i="9"/>
  <c r="T26" i="9"/>
  <c r="T27" i="9"/>
  <c r="T28" i="9"/>
  <c r="T29" i="9"/>
  <c r="T30" i="9"/>
  <c r="T32" i="9"/>
  <c r="T33" i="9"/>
  <c r="T34" i="9"/>
  <c r="T23" i="10"/>
  <c r="T24" i="10"/>
  <c r="T25" i="10"/>
  <c r="T26" i="10"/>
  <c r="T27" i="10"/>
  <c r="T28" i="10"/>
  <c r="T29" i="10"/>
  <c r="T30" i="10"/>
  <c r="T32" i="10"/>
  <c r="T33" i="10"/>
  <c r="T34" i="10"/>
  <c r="T23" i="11"/>
  <c r="T24" i="11"/>
  <c r="T25" i="11"/>
  <c r="T26" i="11"/>
  <c r="T27" i="11"/>
  <c r="T28" i="11"/>
  <c r="T29" i="11"/>
  <c r="T30" i="11"/>
  <c r="T32" i="11"/>
  <c r="T33" i="11"/>
  <c r="T34" i="11"/>
  <c r="T23" i="12"/>
  <c r="T24" i="12"/>
  <c r="T25" i="12"/>
  <c r="T26" i="12"/>
  <c r="T27" i="12"/>
  <c r="T28" i="12"/>
  <c r="T29" i="12"/>
  <c r="T30" i="12"/>
  <c r="T32" i="12"/>
  <c r="T33" i="12"/>
  <c r="T34" i="12"/>
  <c r="T23" i="14"/>
  <c r="T24" i="14"/>
  <c r="T25" i="14"/>
  <c r="T26" i="14"/>
  <c r="T27" i="14"/>
  <c r="T28" i="14"/>
  <c r="T29" i="14"/>
  <c r="T30" i="14"/>
  <c r="T32" i="14"/>
  <c r="T33" i="14"/>
  <c r="T34" i="14"/>
  <c r="T23" i="13"/>
  <c r="T24" i="13"/>
  <c r="T25" i="13"/>
  <c r="T26" i="13"/>
  <c r="T27" i="13"/>
  <c r="T28" i="13"/>
  <c r="T29" i="13"/>
  <c r="T30" i="13"/>
  <c r="T32" i="13"/>
  <c r="T33" i="13"/>
  <c r="T34" i="13"/>
  <c r="T23" i="2"/>
  <c r="T24" i="2"/>
  <c r="T25" i="2"/>
  <c r="T26" i="2"/>
  <c r="T27" i="2"/>
  <c r="T28" i="2"/>
  <c r="T29" i="2"/>
  <c r="T30" i="2"/>
  <c r="T32" i="2"/>
  <c r="T33" i="2"/>
  <c r="T34" i="2"/>
  <c r="M42" i="15"/>
  <c r="C42" i="15"/>
  <c r="D42" i="15"/>
  <c r="E34" i="15"/>
  <c r="E42" i="15"/>
  <c r="F42" i="15"/>
  <c r="G42" i="15"/>
  <c r="H34" i="15"/>
  <c r="H42" i="15"/>
  <c r="I42" i="15"/>
  <c r="J42" i="15"/>
  <c r="K42" i="15"/>
  <c r="B6" i="15"/>
  <c r="N45" i="15"/>
  <c r="N42" i="15"/>
  <c r="O42" i="15"/>
  <c r="M43" i="15"/>
  <c r="U32" i="15"/>
  <c r="T32" i="15"/>
  <c r="S32" i="15"/>
  <c r="N43" i="15"/>
  <c r="U23" i="15"/>
  <c r="G43" i="15"/>
  <c r="U24" i="15"/>
  <c r="J43" i="15"/>
  <c r="U25" i="15"/>
  <c r="F43" i="15"/>
  <c r="U26" i="15"/>
  <c r="E43" i="15"/>
  <c r="U27" i="15"/>
  <c r="D43" i="15"/>
  <c r="U28" i="15"/>
  <c r="K43" i="15"/>
  <c r="U29" i="15"/>
  <c r="I43" i="15"/>
  <c r="U30" i="15"/>
  <c r="H43" i="15"/>
  <c r="U31" i="15"/>
  <c r="C43" i="15"/>
  <c r="U33" i="15"/>
  <c r="U34" i="15"/>
  <c r="B45" i="10"/>
  <c r="O45" i="10"/>
  <c r="T23" i="15"/>
  <c r="T24" i="15"/>
  <c r="T25" i="15"/>
  <c r="T26" i="15"/>
  <c r="T27" i="15"/>
  <c r="T28" i="15"/>
  <c r="T29" i="15"/>
  <c r="T30" i="15"/>
  <c r="T31" i="15"/>
  <c r="T33" i="15"/>
  <c r="T34" i="15"/>
  <c r="N31" i="15"/>
  <c r="N32" i="15"/>
  <c r="N33" i="15"/>
  <c r="N34" i="15"/>
  <c r="N35" i="15"/>
  <c r="N38" i="15"/>
  <c r="N37" i="15"/>
  <c r="N36" i="15"/>
  <c r="N41" i="15"/>
  <c r="O32" i="2"/>
  <c r="B32" i="5"/>
  <c r="O32" i="5"/>
  <c r="O32" i="11"/>
  <c r="O33" i="3"/>
  <c r="B33" i="5"/>
  <c r="O33" i="5"/>
  <c r="B35" i="5"/>
  <c r="O35" i="5"/>
  <c r="O37" i="3"/>
  <c r="B37" i="5"/>
  <c r="O37" i="5"/>
  <c r="O36" i="3"/>
  <c r="B36" i="5"/>
  <c r="O36" i="5"/>
  <c r="O41" i="15"/>
  <c r="O39" i="10"/>
  <c r="B17" i="10"/>
  <c r="O17" i="10"/>
  <c r="L39" i="10"/>
  <c r="O39" i="2"/>
  <c r="O39" i="3"/>
  <c r="O39" i="5"/>
  <c r="O39" i="11"/>
  <c r="B4" i="11"/>
  <c r="B4" i="10"/>
  <c r="B10" i="10"/>
  <c r="B4" i="2"/>
  <c r="B4" i="3"/>
  <c r="B4" i="4"/>
  <c r="B4" i="5"/>
  <c r="B4" i="6"/>
  <c r="B4" i="7"/>
  <c r="B4" i="8"/>
  <c r="B4" i="9"/>
  <c r="B4" i="12"/>
  <c r="B4" i="14"/>
  <c r="B4" i="15"/>
  <c r="L39" i="4"/>
  <c r="B10" i="11"/>
  <c r="B4" i="13"/>
  <c r="B10" i="13"/>
  <c r="B10" i="14"/>
  <c r="B10" i="12"/>
  <c r="B10" i="9"/>
  <c r="B8" i="9"/>
  <c r="B10" i="8"/>
  <c r="B10" i="7"/>
  <c r="B10" i="6"/>
  <c r="B10" i="5"/>
  <c r="B10" i="4"/>
  <c r="B10" i="3"/>
  <c r="B10" i="2"/>
  <c r="C36" i="3"/>
  <c r="O18" i="9"/>
  <c r="O19" i="9"/>
  <c r="O23" i="9"/>
  <c r="B18" i="9"/>
  <c r="O17" i="12"/>
  <c r="O23" i="12"/>
  <c r="B17" i="9"/>
  <c r="B46" i="10"/>
  <c r="O23" i="10"/>
  <c r="O10" i="10"/>
  <c r="B45" i="11"/>
  <c r="B46" i="11"/>
  <c r="P33" i="5"/>
  <c r="U41" i="5"/>
  <c r="B33" i="13"/>
  <c r="O33" i="13"/>
  <c r="B35" i="13"/>
  <c r="B32" i="13"/>
  <c r="N32" i="13"/>
  <c r="N35" i="13"/>
  <c r="O35" i="13"/>
  <c r="G32" i="3"/>
  <c r="G32" i="15"/>
  <c r="B23" i="4"/>
  <c r="B45" i="4"/>
  <c r="B46" i="4"/>
  <c r="O37" i="13"/>
  <c r="O36" i="13"/>
  <c r="O18" i="13"/>
  <c r="O23" i="13"/>
  <c r="B23" i="13"/>
  <c r="B23" i="14"/>
  <c r="B45" i="14"/>
  <c r="C17" i="14"/>
  <c r="C18" i="14"/>
  <c r="O18" i="14"/>
  <c r="O17" i="14"/>
  <c r="B45" i="9"/>
  <c r="O18" i="7"/>
  <c r="O23" i="7"/>
  <c r="B18" i="7"/>
  <c r="B45" i="13"/>
  <c r="B46" i="13"/>
  <c r="B46" i="14"/>
  <c r="B45" i="12"/>
  <c r="B46" i="12"/>
  <c r="B45" i="2"/>
  <c r="B46" i="2"/>
  <c r="B45" i="3"/>
  <c r="B46" i="3"/>
  <c r="B45" i="5"/>
  <c r="B46" i="5"/>
  <c r="B46" i="9"/>
  <c r="B45" i="8"/>
  <c r="B46" i="8"/>
  <c r="B45" i="7"/>
  <c r="B46" i="7"/>
  <c r="B23" i="6"/>
  <c r="B45" i="6"/>
  <c r="B46" i="6"/>
  <c r="O18" i="6"/>
  <c r="O23" i="6"/>
  <c r="O18" i="4"/>
  <c r="O23" i="4"/>
  <c r="P31" i="11"/>
  <c r="P32" i="11"/>
  <c r="P33" i="11"/>
  <c r="P34" i="11"/>
  <c r="P35" i="11"/>
  <c r="P38" i="11"/>
  <c r="C32" i="3"/>
  <c r="C31" i="15"/>
  <c r="D31" i="15"/>
  <c r="E31" i="15"/>
  <c r="F31" i="15"/>
  <c r="G31" i="15"/>
  <c r="H31" i="15"/>
  <c r="C32" i="15"/>
  <c r="D32" i="15"/>
  <c r="E32" i="15"/>
  <c r="F32" i="15"/>
  <c r="H32" i="15"/>
  <c r="C33" i="15"/>
  <c r="D33" i="15"/>
  <c r="E33" i="15"/>
  <c r="F33" i="15"/>
  <c r="G33" i="15"/>
  <c r="H33" i="15"/>
  <c r="C34" i="15"/>
  <c r="D34" i="15"/>
  <c r="F34" i="15"/>
  <c r="G34" i="15"/>
  <c r="C35" i="15"/>
  <c r="D35" i="15"/>
  <c r="E35" i="15"/>
  <c r="F35" i="15"/>
  <c r="G35" i="15"/>
  <c r="H35" i="15"/>
  <c r="D36" i="15"/>
  <c r="E36" i="15"/>
  <c r="F36" i="15"/>
  <c r="G36" i="15"/>
  <c r="H36" i="15"/>
  <c r="C37" i="15"/>
  <c r="D37" i="15"/>
  <c r="E37" i="15"/>
  <c r="F37" i="15"/>
  <c r="G37" i="15"/>
  <c r="H37" i="15"/>
  <c r="C38" i="15"/>
  <c r="D38" i="15"/>
  <c r="E38" i="15"/>
  <c r="F38" i="15"/>
  <c r="G38" i="15"/>
  <c r="H38" i="15"/>
  <c r="B32" i="15"/>
  <c r="B33" i="15"/>
  <c r="B34" i="15"/>
  <c r="B35" i="15"/>
  <c r="B36" i="15"/>
  <c r="B37" i="15"/>
  <c r="B38" i="15"/>
  <c r="B31" i="15"/>
  <c r="B18" i="15"/>
  <c r="C18" i="15"/>
  <c r="D18" i="15"/>
  <c r="E18" i="15"/>
  <c r="F18" i="15"/>
  <c r="B19" i="15"/>
  <c r="B20" i="15"/>
  <c r="B21" i="15"/>
  <c r="C17" i="15"/>
  <c r="D17" i="15"/>
  <c r="E17" i="15"/>
  <c r="F17" i="15"/>
  <c r="B7" i="15"/>
  <c r="C7" i="15"/>
  <c r="D7" i="15"/>
  <c r="E7" i="15"/>
  <c r="F7" i="15"/>
  <c r="B8" i="15"/>
  <c r="B9" i="15"/>
  <c r="C6" i="15"/>
  <c r="D6" i="15"/>
  <c r="E6" i="15"/>
  <c r="F6" i="15"/>
  <c r="T40" i="3"/>
  <c r="T41" i="3"/>
  <c r="T42" i="3"/>
  <c r="T43" i="3"/>
  <c r="T44" i="3"/>
  <c r="O45" i="3"/>
  <c r="T38" i="3"/>
  <c r="T20" i="3"/>
  <c r="O41" i="4"/>
  <c r="P41" i="4"/>
  <c r="U39" i="4"/>
  <c r="P35" i="4"/>
  <c r="U40" i="4"/>
  <c r="P33" i="4"/>
  <c r="U41" i="4"/>
  <c r="P31" i="4"/>
  <c r="U42" i="4"/>
  <c r="P32" i="4"/>
  <c r="U43" i="4"/>
  <c r="P34" i="4"/>
  <c r="U44" i="4"/>
  <c r="U45" i="4"/>
  <c r="T39" i="4"/>
  <c r="T40" i="4"/>
  <c r="T41" i="4"/>
  <c r="T42" i="4"/>
  <c r="T43" i="4"/>
  <c r="T44" i="4"/>
  <c r="T45" i="4"/>
  <c r="O45" i="4"/>
  <c r="T38" i="4"/>
  <c r="P38" i="4"/>
  <c r="O41" i="5"/>
  <c r="P41" i="5"/>
  <c r="U39" i="5"/>
  <c r="P35" i="5"/>
  <c r="U40" i="5"/>
  <c r="P31" i="5"/>
  <c r="U42" i="5"/>
  <c r="P34" i="5"/>
  <c r="U44" i="5"/>
  <c r="T39" i="5"/>
  <c r="T40" i="5"/>
  <c r="T41" i="5"/>
  <c r="T42" i="5"/>
  <c r="T43" i="5"/>
  <c r="T44" i="5"/>
  <c r="O45" i="5"/>
  <c r="T38" i="5"/>
  <c r="T20" i="5"/>
  <c r="O41" i="6"/>
  <c r="P41" i="6"/>
  <c r="U39" i="6"/>
  <c r="P35" i="6"/>
  <c r="U40" i="6"/>
  <c r="P33" i="6"/>
  <c r="U41" i="6"/>
  <c r="P31" i="6"/>
  <c r="U42" i="6"/>
  <c r="P32" i="6"/>
  <c r="U43" i="6"/>
  <c r="P34" i="6"/>
  <c r="U44" i="6"/>
  <c r="U45" i="6"/>
  <c r="T39" i="6"/>
  <c r="T40" i="6"/>
  <c r="T41" i="6"/>
  <c r="T42" i="6"/>
  <c r="T43" i="6"/>
  <c r="T44" i="6"/>
  <c r="T45" i="6"/>
  <c r="O45" i="6"/>
  <c r="T38" i="6"/>
  <c r="P38" i="6"/>
  <c r="T20" i="6"/>
  <c r="O41" i="7"/>
  <c r="P41" i="7"/>
  <c r="U39" i="7"/>
  <c r="P35" i="7"/>
  <c r="U40" i="7"/>
  <c r="P33" i="7"/>
  <c r="U41" i="7"/>
  <c r="P31" i="7"/>
  <c r="U42" i="7"/>
  <c r="P32" i="7"/>
  <c r="U43" i="7"/>
  <c r="P34" i="7"/>
  <c r="U44" i="7"/>
  <c r="U45" i="7"/>
  <c r="T39" i="7"/>
  <c r="T40" i="7"/>
  <c r="T41" i="7"/>
  <c r="T42" i="7"/>
  <c r="T43" i="7"/>
  <c r="T44" i="7"/>
  <c r="T45" i="7"/>
  <c r="O45" i="7"/>
  <c r="T38" i="7"/>
  <c r="P38" i="7"/>
  <c r="T20" i="7"/>
  <c r="O41" i="8"/>
  <c r="P41" i="8"/>
  <c r="U39" i="8"/>
  <c r="P35" i="8"/>
  <c r="U40" i="8"/>
  <c r="P33" i="8"/>
  <c r="U41" i="8"/>
  <c r="P31" i="8"/>
  <c r="U42" i="8"/>
  <c r="P32" i="8"/>
  <c r="U43" i="8"/>
  <c r="P34" i="8"/>
  <c r="U44" i="8"/>
  <c r="U45" i="8"/>
  <c r="T39" i="8"/>
  <c r="T40" i="8"/>
  <c r="T41" i="8"/>
  <c r="T42" i="8"/>
  <c r="T43" i="8"/>
  <c r="T44" i="8"/>
  <c r="T45" i="8"/>
  <c r="O45" i="8"/>
  <c r="T38" i="8"/>
  <c r="P38" i="8"/>
  <c r="T20" i="8"/>
  <c r="O41" i="9"/>
  <c r="P41" i="9"/>
  <c r="U39" i="9"/>
  <c r="P35" i="9"/>
  <c r="U40" i="9"/>
  <c r="P33" i="9"/>
  <c r="U41" i="9"/>
  <c r="P31" i="9"/>
  <c r="U42" i="9"/>
  <c r="P32" i="9"/>
  <c r="U43" i="9"/>
  <c r="P34" i="9"/>
  <c r="U44" i="9"/>
  <c r="U45" i="9"/>
  <c r="T39" i="9"/>
  <c r="T40" i="9"/>
  <c r="T41" i="9"/>
  <c r="T42" i="9"/>
  <c r="T43" i="9"/>
  <c r="T44" i="9"/>
  <c r="T45" i="9"/>
  <c r="O45" i="9"/>
  <c r="T38" i="9"/>
  <c r="P38" i="9"/>
  <c r="O41" i="10"/>
  <c r="P41" i="10"/>
  <c r="U39" i="10"/>
  <c r="P35" i="10"/>
  <c r="U40" i="10"/>
  <c r="P33" i="10"/>
  <c r="U41" i="10"/>
  <c r="P31" i="10"/>
  <c r="U42" i="10"/>
  <c r="P32" i="10"/>
  <c r="U43" i="10"/>
  <c r="P34" i="10"/>
  <c r="U44" i="10"/>
  <c r="T39" i="10"/>
  <c r="T40" i="10"/>
  <c r="T41" i="10"/>
  <c r="T42" i="10"/>
  <c r="T43" i="10"/>
  <c r="T44" i="10"/>
  <c r="T45" i="10"/>
  <c r="T38" i="10"/>
  <c r="O41" i="11"/>
  <c r="P41" i="11"/>
  <c r="U39" i="11"/>
  <c r="U40" i="11"/>
  <c r="U41" i="11"/>
  <c r="U42" i="11"/>
  <c r="U43" i="11"/>
  <c r="U44" i="11"/>
  <c r="U45" i="11"/>
  <c r="T39" i="11"/>
  <c r="T40" i="11"/>
  <c r="T41" i="11"/>
  <c r="T42" i="11"/>
  <c r="T43" i="11"/>
  <c r="T44" i="11"/>
  <c r="T45" i="11"/>
  <c r="O45" i="11"/>
  <c r="T38" i="11"/>
  <c r="T20" i="11"/>
  <c r="O41" i="12"/>
  <c r="P41" i="12"/>
  <c r="U39" i="12"/>
  <c r="P35" i="12"/>
  <c r="U40" i="12"/>
  <c r="P33" i="12"/>
  <c r="U41" i="12"/>
  <c r="P31" i="12"/>
  <c r="U42" i="12"/>
  <c r="P32" i="12"/>
  <c r="U43" i="12"/>
  <c r="P34" i="12"/>
  <c r="U44" i="12"/>
  <c r="U45" i="12"/>
  <c r="T39" i="12"/>
  <c r="T40" i="12"/>
  <c r="T41" i="12"/>
  <c r="T42" i="12"/>
  <c r="T43" i="12"/>
  <c r="T44" i="12"/>
  <c r="T45" i="12"/>
  <c r="O45" i="12"/>
  <c r="T38" i="12"/>
  <c r="P38" i="12"/>
  <c r="O41" i="13"/>
  <c r="P41" i="13"/>
  <c r="U39" i="13"/>
  <c r="P35" i="13"/>
  <c r="U40" i="13"/>
  <c r="P33" i="13"/>
  <c r="U41" i="13"/>
  <c r="P31" i="13"/>
  <c r="U42" i="13"/>
  <c r="P32" i="13"/>
  <c r="U43" i="13"/>
  <c r="P34" i="13"/>
  <c r="U44" i="13"/>
  <c r="U45" i="13"/>
  <c r="T39" i="13"/>
  <c r="T40" i="13"/>
  <c r="T41" i="13"/>
  <c r="T42" i="13"/>
  <c r="T43" i="13"/>
  <c r="T44" i="13"/>
  <c r="T45" i="13"/>
  <c r="O45" i="13"/>
  <c r="T38" i="13"/>
  <c r="P38" i="13"/>
  <c r="T20" i="13"/>
  <c r="O41" i="14"/>
  <c r="P41" i="14"/>
  <c r="U39" i="14"/>
  <c r="P35" i="14"/>
  <c r="U40" i="14"/>
  <c r="P33" i="14"/>
  <c r="U41" i="14"/>
  <c r="P31" i="14"/>
  <c r="U42" i="14"/>
  <c r="P32" i="14"/>
  <c r="U43" i="14"/>
  <c r="P34" i="14"/>
  <c r="U44" i="14"/>
  <c r="U45" i="14"/>
  <c r="T39" i="14"/>
  <c r="T40" i="14"/>
  <c r="T41" i="14"/>
  <c r="T42" i="14"/>
  <c r="T43" i="14"/>
  <c r="T44" i="14"/>
  <c r="T45" i="14"/>
  <c r="O45" i="14"/>
  <c r="T38" i="14"/>
  <c r="P38" i="14"/>
  <c r="O41" i="2"/>
  <c r="P41" i="2"/>
  <c r="U39" i="2"/>
  <c r="P35" i="2"/>
  <c r="U40" i="2"/>
  <c r="P33" i="2"/>
  <c r="U41" i="2"/>
  <c r="P31" i="2"/>
  <c r="U42" i="2"/>
  <c r="P32" i="2"/>
  <c r="U43" i="2"/>
  <c r="P34" i="2"/>
  <c r="U44" i="2"/>
  <c r="U45" i="2"/>
  <c r="T39" i="2"/>
  <c r="T40" i="2"/>
  <c r="T41" i="2"/>
  <c r="T42" i="2"/>
  <c r="T43" i="2"/>
  <c r="T44" i="2"/>
  <c r="T45" i="2"/>
  <c r="O45" i="2"/>
  <c r="T38" i="2"/>
  <c r="P38" i="2"/>
  <c r="T20" i="2"/>
  <c r="L43" i="2"/>
  <c r="O43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L43" i="3"/>
  <c r="O43" i="3"/>
  <c r="N41" i="3"/>
  <c r="M41" i="3"/>
  <c r="L41" i="3"/>
  <c r="K41" i="3"/>
  <c r="J41" i="3"/>
  <c r="I41" i="3"/>
  <c r="H41" i="3"/>
  <c r="G41" i="3"/>
  <c r="F41" i="3"/>
  <c r="E41" i="3"/>
  <c r="D41" i="3"/>
  <c r="B41" i="3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L43" i="5"/>
  <c r="O43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L43" i="6"/>
  <c r="O43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L43" i="7"/>
  <c r="O43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L43" i="8"/>
  <c r="O43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L43" i="11"/>
  <c r="O43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L43" i="13"/>
  <c r="O43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I31" i="15"/>
  <c r="J31" i="15"/>
  <c r="K31" i="15"/>
  <c r="L31" i="15"/>
  <c r="M31" i="15"/>
  <c r="I32" i="15"/>
  <c r="J32" i="15"/>
  <c r="K32" i="15"/>
  <c r="L32" i="15"/>
  <c r="M32" i="15"/>
  <c r="I33" i="15"/>
  <c r="J33" i="15"/>
  <c r="K33" i="15"/>
  <c r="L33" i="15"/>
  <c r="M33" i="15"/>
  <c r="I34" i="15"/>
  <c r="J34" i="15"/>
  <c r="K34" i="15"/>
  <c r="L34" i="15"/>
  <c r="M34" i="15"/>
  <c r="I35" i="15"/>
  <c r="J35" i="15"/>
  <c r="K35" i="15"/>
  <c r="L35" i="15"/>
  <c r="M35" i="15"/>
  <c r="I36" i="15"/>
  <c r="J36" i="15"/>
  <c r="K36" i="15"/>
  <c r="L36" i="15"/>
  <c r="M36" i="15"/>
  <c r="I37" i="15"/>
  <c r="J37" i="15"/>
  <c r="K37" i="15"/>
  <c r="L37" i="15"/>
  <c r="M37" i="15"/>
  <c r="I38" i="15"/>
  <c r="J38" i="15"/>
  <c r="K38" i="15"/>
  <c r="L38" i="15"/>
  <c r="M38" i="15"/>
  <c r="P38" i="10"/>
  <c r="I41" i="15"/>
  <c r="T40" i="15"/>
  <c r="T43" i="15"/>
  <c r="T42" i="15"/>
  <c r="D41" i="15"/>
  <c r="B45" i="15"/>
  <c r="T38" i="15"/>
  <c r="T45" i="5"/>
  <c r="P32" i="5"/>
  <c r="U43" i="5"/>
  <c r="U45" i="5"/>
  <c r="H41" i="15"/>
  <c r="E41" i="15"/>
  <c r="K41" i="15"/>
  <c r="F41" i="15"/>
  <c r="M41" i="15"/>
  <c r="G41" i="15"/>
  <c r="O23" i="14"/>
  <c r="L43" i="9"/>
  <c r="J41" i="15"/>
  <c r="L41" i="15"/>
  <c r="T41" i="15"/>
  <c r="T44" i="15"/>
  <c r="B41" i="15"/>
  <c r="U45" i="10"/>
  <c r="P38" i="5"/>
  <c r="L43" i="14"/>
  <c r="T20" i="14"/>
  <c r="L43" i="12"/>
  <c r="T20" i="12"/>
  <c r="T20" i="9"/>
  <c r="L43" i="10"/>
  <c r="T20" i="10"/>
  <c r="O43" i="14"/>
  <c r="O43" i="12"/>
  <c r="O43" i="9"/>
  <c r="O43" i="10"/>
  <c r="T20" i="4"/>
  <c r="L43" i="4"/>
  <c r="O41" i="3"/>
  <c r="O43" i="4"/>
  <c r="T20" i="15"/>
  <c r="L43" i="15"/>
  <c r="P41" i="3"/>
  <c r="U39" i="3"/>
  <c r="P32" i="15"/>
  <c r="U43" i="15"/>
  <c r="P35" i="15"/>
  <c r="U40" i="15"/>
  <c r="P31" i="15"/>
  <c r="P34" i="15"/>
  <c r="U44" i="15"/>
  <c r="P33" i="15"/>
  <c r="U41" i="15"/>
  <c r="C36" i="15"/>
  <c r="C41" i="3"/>
  <c r="T39" i="3"/>
  <c r="T45" i="3"/>
  <c r="P31" i="3"/>
  <c r="P32" i="3"/>
  <c r="U43" i="3"/>
  <c r="P33" i="3"/>
  <c r="U41" i="3"/>
  <c r="P34" i="3"/>
  <c r="U44" i="3"/>
  <c r="P35" i="3"/>
  <c r="U40" i="3"/>
  <c r="O43" i="15"/>
  <c r="T39" i="15"/>
  <c r="T45" i="15"/>
  <c r="P41" i="15"/>
  <c r="U39" i="15"/>
  <c r="P38" i="15"/>
  <c r="U42" i="15"/>
  <c r="C41" i="15"/>
  <c r="P38" i="3"/>
  <c r="U42" i="3"/>
  <c r="U45" i="3"/>
  <c r="U45" i="15"/>
</calcChain>
</file>

<file path=xl/comments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0.xml><?xml version="1.0" encoding="utf-8"?>
<comments xmlns="http://schemas.openxmlformats.org/spreadsheetml/2006/main">
  <authors>
    <author>www.statistikdatabasen.scb.se</author>
    <author>Rickard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G32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Billerud, Braviken, Fiskeby</t>
        </r>
      </text>
    </comment>
    <comment ref="M32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Fiskeby bruk, uppskattat</t>
        </r>
      </text>
    </comment>
    <comment ref="N32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Från länstotalen, justerad för mottryck</t>
        </r>
      </text>
    </comment>
    <comment ref="Z52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Exklusive mottryck</t>
        </r>
      </text>
    </comment>
    <comment ref="Z53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Exklusive mottryck</t>
        </r>
      </text>
    </comment>
  </commentList>
</comments>
</file>

<file path=xl/comments1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3.xml><?xml version="1.0" encoding="utf-8"?>
<comments xmlns="http://schemas.openxmlformats.org/spreadsheetml/2006/main">
  <authors>
    <author>Rickard</author>
    <author>www.statistikdatabasen.scb.se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Fjärrvärmekollen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Fjärrvärmekollen</t>
        </r>
      </text>
    </comment>
    <comment ref="A19" authorId="1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Svensk Fjärrvärme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Svensk Fjärrvärme + elprod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Sålt från Linköping enligt Svensk Fjärrvärme</t>
        </r>
      </text>
    </comment>
  </commentList>
</comments>
</file>

<file path=xl/comments14.xml><?xml version="1.0" encoding="utf-8"?>
<comments xmlns="http://schemas.openxmlformats.org/spreadsheetml/2006/main">
  <authors>
    <author>Rickard</author>
    <author>www.statistikdatabasen.scb.se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Fjärrvärmekollen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SvFj och Fjvk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Fjärrvärmekollen</t>
        </r>
      </text>
    </comment>
    <comment ref="A19" authorId="1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Fjärrvärmekollen</t>
        </r>
      </text>
    </comment>
    <comment ref="O36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inom småhus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Fjärrvärmekollen</t>
        </r>
      </text>
    </comment>
    <comment ref="O37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i flerbostadshus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>
  <authors>
    <author>Rickard</author>
    <author>www.statistikdatabasen.scb.se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Fjvk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SvFj</t>
        </r>
      </text>
    </comment>
    <comment ref="A19" authorId="1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Fjvk</t>
        </r>
      </text>
    </comment>
  </commentList>
</comments>
</file>

<file path=xl/comments7.xml><?xml version="1.0" encoding="utf-8"?>
<comments xmlns="http://schemas.openxmlformats.org/spreadsheetml/2006/main">
  <authors>
    <author>Rickard</author>
    <author>www.statistikdatabasen.scb.se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SvFj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SvFj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SvFj</t>
        </r>
      </text>
    </comment>
    <comment ref="A19" authorId="1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i kolumn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Fjvk</t>
        </r>
      </text>
    </comment>
  </commentList>
</comments>
</file>

<file path=xl/comments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>
  <authors>
    <author>www.statistikdatabasen.scb.se</author>
    <author>Rickard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B25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SvFj</t>
        </r>
      </text>
    </comment>
  </commentList>
</comments>
</file>

<file path=xl/sharedStrings.xml><?xml version="1.0" encoding="utf-8"?>
<sst xmlns="http://schemas.openxmlformats.org/spreadsheetml/2006/main" count="1375" uniqueCount="82">
  <si>
    <t>Elproduktion och bränsleanvändning (MWh) efter tid, region, produktionssätt och bränsletyp</t>
  </si>
  <si>
    <t>0509 Ödeshög</t>
  </si>
  <si>
    <t>Elproduktion</t>
  </si>
  <si>
    <t>Kol och koks</t>
  </si>
  <si>
    <t>Gasol/naturgas</t>
  </si>
  <si>
    <t>Avlutar</t>
  </si>
  <si>
    <t>Biogas</t>
  </si>
  <si>
    <t>Torv</t>
  </si>
  <si>
    <t>Avfall</t>
  </si>
  <si>
    <t>Övrigt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</si>
  <si>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</si>
  <si>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</si>
  <si>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</si>
  <si>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</si>
  <si>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</si>
  <si>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</si>
  <si>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</si>
  <si>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</si>
  <si>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</si>
  <si>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</si>
  <si>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</si>
  <si>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</si>
  <si>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</si>
  <si>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</si>
  <si>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</si>
  <si>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</si>
  <si>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</si>
  <si>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</si>
  <si>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</si>
  <si>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</si>
  <si>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Fjärrvärme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</si>
  <si>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</si>
  <si>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</si>
  <si>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</si>
  <si>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</si>
  <si>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</si>
  <si>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</si>
  <si>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industri</t>
  </si>
  <si>
    <t>slutanv. offentlig verksamhet</t>
  </si>
  <si>
    <t>offentligt</t>
  </si>
  <si>
    <t>slutanv. transporter</t>
  </si>
  <si>
    <t>transporter</t>
  </si>
  <si>
    <t>slutanv. övriga tjänster</t>
  </si>
  <si>
    <t>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</si>
  <si>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</si>
  <si>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</si>
  <si>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</si>
  <si>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</si>
  <si>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</si>
  <si>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</si>
  <si>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</si>
  <si>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</si>
  <si>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</si>
  <si>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</si>
  <si>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</si>
  <si>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</si>
  <si>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</si>
  <si>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</si>
  <si>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</si>
  <si>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0512 Ydre</t>
  </si>
  <si>
    <t>0513 Kinda</t>
  </si>
  <si>
    <t>0560 Boxholm</t>
  </si>
  <si>
    <t>0561 Åtvidaberg</t>
  </si>
  <si>
    <t>0562 Finspång</t>
  </si>
  <si>
    <t>0563 Valdemarsvik</t>
  </si>
  <si>
    <t>0580 Linköping</t>
  </si>
  <si>
    <t>0581 Norrköping</t>
  </si>
  <si>
    <t>0582 Söderköping</t>
  </si>
  <si>
    <t>0583 Motala</t>
  </si>
  <si>
    <t>0584 Vadstena</t>
  </si>
  <si>
    <t>0586 Mjölby</t>
  </si>
  <si>
    <t>Köpt Linköping</t>
  </si>
  <si>
    <t>Plastrejekt</t>
  </si>
  <si>
    <t>Biobränslen</t>
  </si>
  <si>
    <t>Östergötlands län</t>
  </si>
  <si>
    <t>Ånga</t>
  </si>
  <si>
    <t>Träbränslen</t>
  </si>
  <si>
    <t>Sålt Mjölby</t>
  </si>
  <si>
    <t>Köpt Norrköping</t>
  </si>
  <si>
    <t>Solceller</t>
  </si>
  <si>
    <t>Sålt Söderköping</t>
  </si>
  <si>
    <t>solceller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</si>
</sst>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.0"/>
    <numFmt numFmtId="167" formatCode="#,##0.000"/>
  </numFmts>
  <fonts count="3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Tahoma"/>
      <family val="2"/>
    </font>
    <font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12"/>
      <color rgb="FF000000"/>
      <name val="Calibri"/>
      <family val="2"/>
    </font>
    <font>
      <sz val="8"/>
      <color rgb="FF000000"/>
      <name val="Tahoma"/>
      <family val="2"/>
    </font>
    <font>
      <sz val="12"/>
      <color rgb="FF565656"/>
      <name val="Verdana"/>
      <family val="2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3.2"/>
      <color rgb="FF000000"/>
      <name val="Inherit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A9A9A9"/>
      </right>
      <top/>
      <bottom style="medium">
        <color rgb="FFA9A9A9"/>
      </bottom>
      <diagonal/>
    </border>
    <border>
      <left style="medium">
        <color rgb="FFA9A9A9"/>
      </left>
      <right/>
      <top/>
      <bottom style="medium">
        <color rgb="FFA9A9A9"/>
      </bottom>
      <diagonal/>
    </border>
  </borders>
  <cellStyleXfs count="12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Border="0" applyAlignment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8" fillId="0" borderId="0" xfId="3" applyFont="1" applyFill="1" applyProtection="1"/>
    <xf numFmtId="0" fontId="7" fillId="0" borderId="0" xfId="3" applyFill="1" applyProtection="1"/>
    <xf numFmtId="0" fontId="9" fillId="0" borderId="0" xfId="3" applyFont="1"/>
    <xf numFmtId="0" fontId="10" fillId="0" borderId="0" xfId="0" applyFont="1"/>
    <xf numFmtId="0" fontId="11" fillId="0" borderId="0" xfId="3" applyFont="1" applyFill="1" applyProtection="1"/>
    <xf numFmtId="3" fontId="7" fillId="0" borderId="0" xfId="3" applyNumberFormat="1"/>
    <xf numFmtId="0" fontId="7" fillId="0" borderId="0" xfId="3"/>
    <xf numFmtId="0" fontId="11" fillId="0" borderId="0" xfId="0" applyFont="1" applyFill="1" applyProtection="1"/>
    <xf numFmtId="3" fontId="12" fillId="0" borderId="0" xfId="0" applyNumberFormat="1" applyFont="1"/>
    <xf numFmtId="3" fontId="7" fillId="0" borderId="0" xfId="3" applyNumberFormat="1" applyFill="1" applyProtection="1"/>
    <xf numFmtId="3" fontId="13" fillId="0" borderId="0" xfId="3" applyNumberFormat="1" applyFont="1" applyFill="1" applyProtection="1"/>
    <xf numFmtId="164" fontId="7" fillId="0" borderId="0" xfId="3" applyNumberFormat="1"/>
    <xf numFmtId="4" fontId="7" fillId="0" borderId="0" xfId="3" applyNumberFormat="1"/>
    <xf numFmtId="165" fontId="7" fillId="0" borderId="0" xfId="3" applyNumberFormat="1"/>
    <xf numFmtId="10" fontId="7" fillId="0" borderId="0" xfId="3" applyNumberFormat="1"/>
    <xf numFmtId="165" fontId="14" fillId="0" borderId="0" xfId="3" applyNumberFormat="1" applyFont="1"/>
    <xf numFmtId="165" fontId="9" fillId="0" borderId="0" xfId="3" applyNumberFormat="1" applyFont="1"/>
    <xf numFmtId="166" fontId="7" fillId="0" borderId="0" xfId="3" applyNumberFormat="1"/>
    <xf numFmtId="2" fontId="7" fillId="0" borderId="0" xfId="3" applyNumberFormat="1"/>
    <xf numFmtId="0" fontId="15" fillId="0" borderId="0" xfId="3" applyFont="1"/>
    <xf numFmtId="3" fontId="15" fillId="0" borderId="0" xfId="3" applyNumberFormat="1" applyFont="1"/>
    <xf numFmtId="3" fontId="14" fillId="0" borderId="0" xfId="3" applyNumberFormat="1" applyFont="1"/>
    <xf numFmtId="3" fontId="14" fillId="2" borderId="0" xfId="3" applyNumberFormat="1" applyFont="1" applyFill="1"/>
    <xf numFmtId="3" fontId="16" fillId="2" borderId="0" xfId="3" applyNumberFormat="1" applyFont="1" applyFill="1"/>
    <xf numFmtId="3" fontId="7" fillId="2" borderId="0" xfId="3" applyNumberFormat="1" applyFill="1"/>
    <xf numFmtId="0" fontId="12" fillId="0" borderId="0" xfId="0" applyFont="1"/>
    <xf numFmtId="0" fontId="12" fillId="0" borderId="0" xfId="0" applyFont="1" applyAlignment="1">
      <alignment horizontal="right"/>
    </xf>
    <xf numFmtId="1" fontId="7" fillId="0" borderId="0" xfId="3" applyNumberFormat="1"/>
    <xf numFmtId="165" fontId="14" fillId="0" borderId="0" xfId="4" applyNumberFormat="1" applyFont="1"/>
    <xf numFmtId="165" fontId="4" fillId="0" borderId="0" xfId="4" applyNumberFormat="1" applyFont="1"/>
    <xf numFmtId="3" fontId="16" fillId="0" borderId="0" xfId="3" applyNumberFormat="1" applyFont="1"/>
    <xf numFmtId="9" fontId="16" fillId="0" borderId="0" xfId="4" applyFont="1"/>
    <xf numFmtId="0" fontId="7" fillId="0" borderId="0" xfId="3" applyAlignment="1">
      <alignment horizontal="right"/>
    </xf>
    <xf numFmtId="3" fontId="7" fillId="0" borderId="0" xfId="3" applyNumberFormat="1" applyAlignment="1">
      <alignment horizontal="right"/>
    </xf>
    <xf numFmtId="9" fontId="16" fillId="0" borderId="0" xfId="4" applyNumberFormat="1" applyFont="1"/>
    <xf numFmtId="9" fontId="4" fillId="0" borderId="0" xfId="4" applyFont="1"/>
    <xf numFmtId="3" fontId="18" fillId="0" borderId="0" xfId="0" applyNumberFormat="1" applyFont="1"/>
    <xf numFmtId="0" fontId="18" fillId="0" borderId="0" xfId="0" applyFont="1"/>
    <xf numFmtId="3" fontId="19" fillId="0" borderId="0" xfId="3" applyNumberFormat="1" applyFont="1" applyFill="1" applyProtection="1"/>
    <xf numFmtId="0" fontId="10" fillId="0" borderId="0" xfId="0" applyFont="1" applyAlignment="1">
      <alignment horizontal="right"/>
    </xf>
    <xf numFmtId="9" fontId="7" fillId="0" borderId="0" xfId="47" applyFont="1"/>
    <xf numFmtId="0" fontId="19" fillId="0" borderId="0" xfId="3" applyFont="1" applyFill="1" applyProtection="1"/>
    <xf numFmtId="165" fontId="2" fillId="0" borderId="0" xfId="4" applyNumberFormat="1" applyFont="1"/>
    <xf numFmtId="9" fontId="2" fillId="0" borderId="0" xfId="4" applyFont="1"/>
    <xf numFmtId="3" fontId="9" fillId="0" borderId="0" xfId="3" applyNumberFormat="1" applyFont="1"/>
    <xf numFmtId="3" fontId="21" fillId="0" borderId="0" xfId="3" applyNumberFormat="1" applyFont="1"/>
    <xf numFmtId="165" fontId="7" fillId="0" borderId="0" xfId="3" applyNumberFormat="1" applyFill="1" applyProtection="1"/>
    <xf numFmtId="3" fontId="0" fillId="0" borderId="0" xfId="0" applyNumberFormat="1" applyFill="1" applyProtection="1"/>
    <xf numFmtId="0" fontId="0" fillId="0" borderId="0" xfId="0" applyFill="1" applyProtection="1"/>
    <xf numFmtId="3" fontId="0" fillId="0" borderId="0" xfId="0" applyNumberFormat="1" applyFill="1" applyAlignment="1" applyProtection="1">
      <alignment horizontal="right"/>
    </xf>
    <xf numFmtId="0" fontId="23" fillId="0" borderId="0" xfId="0" applyFont="1"/>
    <xf numFmtId="3" fontId="24" fillId="0" borderId="0" xfId="0" applyNumberFormat="1" applyFont="1" applyFill="1" applyAlignment="1" applyProtection="1">
      <alignment horizontal="right"/>
    </xf>
    <xf numFmtId="3" fontId="25" fillId="0" borderId="0" xfId="0" applyNumberFormat="1" applyFont="1" applyFill="1" applyProtection="1"/>
    <xf numFmtId="0" fontId="26" fillId="3" borderId="1" xfId="0" applyFont="1" applyFill="1" applyBorder="1"/>
    <xf numFmtId="0" fontId="25" fillId="0" borderId="0" xfId="0" applyFont="1"/>
    <xf numFmtId="3" fontId="24" fillId="0" borderId="0" xfId="0" applyNumberFormat="1" applyFont="1" applyFill="1" applyProtection="1"/>
    <xf numFmtId="3" fontId="25" fillId="0" borderId="0" xfId="0" applyNumberFormat="1" applyFont="1" applyFill="1" applyAlignment="1" applyProtection="1">
      <alignment horizontal="right"/>
    </xf>
    <xf numFmtId="3" fontId="29" fillId="0" borderId="0" xfId="0" applyNumberFormat="1" applyFont="1" applyFill="1" applyProtection="1"/>
    <xf numFmtId="9" fontId="7" fillId="0" borderId="0" xfId="47" applyFont="1" applyFill="1" applyProtection="1"/>
    <xf numFmtId="3" fontId="7" fillId="0" borderId="0" xfId="3" applyNumberFormat="1" applyFont="1" applyFill="1" applyProtection="1"/>
    <xf numFmtId="0" fontId="7" fillId="0" borderId="0" xfId="3" applyFill="1" applyProtection="1"/>
    <xf numFmtId="0" fontId="11" fillId="0" borderId="0" xfId="3" applyFont="1" applyFill="1" applyProtection="1"/>
    <xf numFmtId="1" fontId="7" fillId="0" borderId="0" xfId="3" applyNumberFormat="1" applyFill="1" applyProtection="1"/>
    <xf numFmtId="3" fontId="0" fillId="0" borderId="0" xfId="0" applyNumberFormat="1" applyFont="1" applyFill="1" applyProtection="1"/>
    <xf numFmtId="3" fontId="30" fillId="0" borderId="0" xfId="0" applyNumberFormat="1" applyFont="1" applyFill="1" applyAlignment="1" applyProtection="1">
      <alignment horizontal="right"/>
    </xf>
    <xf numFmtId="3" fontId="31" fillId="0" borderId="0" xfId="0" applyNumberFormat="1" applyFont="1" applyFill="1" applyAlignment="1" applyProtection="1">
      <alignment horizontal="right"/>
    </xf>
    <xf numFmtId="3" fontId="32" fillId="4" borderId="2" xfId="0" applyNumberFormat="1" applyFont="1" applyFill="1" applyBorder="1" applyAlignment="1">
      <alignment horizontal="right" vertical="top"/>
    </xf>
    <xf numFmtId="3" fontId="32" fillId="4" borderId="3" xfId="0" applyNumberFormat="1" applyFont="1" applyFill="1" applyBorder="1" applyAlignment="1">
      <alignment horizontal="right" vertical="top"/>
    </xf>
    <xf numFmtId="3" fontId="33" fillId="0" borderId="0" xfId="3" applyNumberFormat="1" applyFont="1" applyFill="1" applyProtection="1"/>
    <xf numFmtId="3" fontId="31" fillId="0" borderId="0" xfId="0" applyNumberFormat="1" applyFont="1" applyFill="1" applyProtection="1"/>
    <xf numFmtId="3" fontId="30" fillId="0" borderId="0" xfId="0" applyNumberFormat="1" applyFont="1" applyFill="1" applyProtection="1"/>
    <xf numFmtId="3" fontId="29" fillId="0" borderId="0" xfId="0" applyNumberFormat="1" applyFont="1" applyFill="1" applyAlignment="1" applyProtection="1">
      <alignment horizontal="right"/>
    </xf>
    <xf numFmtId="167" fontId="0" fillId="0" borderId="0" xfId="0" applyNumberFormat="1" applyFill="1" applyProtection="1"/>
  </cellXfs>
  <cellStyles count="121">
    <cellStyle name="Följd hyperlänk" xfId="2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99" builtinId="9" hidden="1"/>
    <cellStyle name="Följd hyperlänk" xfId="101" builtinId="9" hidden="1"/>
    <cellStyle name="Följd hyperlänk" xfId="103" builtinId="9" hidden="1"/>
    <cellStyle name="Följd hyperlänk" xfId="105" builtinId="9" hidden="1"/>
    <cellStyle name="Följd hyperlänk" xfId="107" builtinId="9" hidden="1"/>
    <cellStyle name="Följd hyperlänk" xfId="109" builtinId="9" hidden="1"/>
    <cellStyle name="Följd hyperlänk" xfId="111" builtinId="9" hidden="1"/>
    <cellStyle name="Följd hyperlänk" xfId="113" builtinId="9" hidden="1"/>
    <cellStyle name="Följd hyperlänk" xfId="115" builtinId="9" hidden="1"/>
    <cellStyle name="Följd hyperlänk" xfId="117" builtinId="9" hidden="1"/>
    <cellStyle name="Följd hyperlänk" xfId="119" builtinId="9" hidden="1"/>
    <cellStyle name="Hyperlänk" xfId="1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Hyperlänk" xfId="94" builtinId="8" hidden="1"/>
    <cellStyle name="Hyperlänk" xfId="96" builtinId="8" hidden="1"/>
    <cellStyle name="Hyperlänk" xfId="98" builtinId="8" hidden="1"/>
    <cellStyle name="Hyperlänk" xfId="100" builtinId="8" hidden="1"/>
    <cellStyle name="Hyperlänk" xfId="102" builtinId="8" hidden="1"/>
    <cellStyle name="Hyperlänk" xfId="104" builtinId="8" hidden="1"/>
    <cellStyle name="Hyperlänk" xfId="106" builtinId="8" hidden="1"/>
    <cellStyle name="Hyperlänk" xfId="108" builtinId="8" hidden="1"/>
    <cellStyle name="Hyperlänk" xfId="110" builtinId="8" hidden="1"/>
    <cellStyle name="Hyperlänk" xfId="112" builtinId="8" hidden="1"/>
    <cellStyle name="Hyperlänk" xfId="114" builtinId="8" hidden="1"/>
    <cellStyle name="Hyperlänk" xfId="116" builtinId="8" hidden="1"/>
    <cellStyle name="Hyperlänk" xfId="118" builtinId="8" hidden="1"/>
    <cellStyle name="Normal" xfId="0" builtinId="0"/>
    <cellStyle name="Normal 2" xfId="3"/>
    <cellStyle name="Normal 3" xfId="120"/>
    <cellStyle name="Normal 5" xfId="71"/>
    <cellStyle name="Percent 2" xfId="4"/>
    <cellStyle name="Percent 3" xfId="70"/>
    <cellStyle name="Procent" xfId="4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6" Type="http://schemas.openxmlformats.org/officeDocument/2006/relationships/styles" Target="styles.xml"/><Relationship Id="rId2" Type="http://schemas.openxmlformats.org/officeDocument/2006/relationships/worksheet" Target="worksheets/sheet2.xml"/><Relationship Id="rId20" Type="http://schemas.openxmlformats.org/officeDocument/2006/relationships/customXml" Target="../customXml/item2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14" Type="http://schemas.openxmlformats.org/officeDocument/2006/relationships/worksheet" Target="worksheets/sheet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10.vml"/><Relationship Id="rId3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Relationship Id="rId2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9.vml"/><Relationship Id="rId3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70"/>
  <sheetViews>
    <sheetView tabSelected="1" zoomScale="90" zoomScaleNormal="90" zoomScalePageLayoutView="90" workbookViewId="0">
      <selection activeCell="T44" sqref="T44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6" width="8.83203125" style="2"/>
    <col min="7" max="7" width="9.83203125" style="2" customWidth="1"/>
    <col min="8" max="8" width="8.83203125" style="2"/>
    <col min="9" max="9" width="10" style="2" customWidth="1"/>
    <col min="10" max="10" width="8.83203125" style="2"/>
    <col min="11" max="11" width="10" style="2" customWidth="1"/>
    <col min="12" max="12" width="11" style="2" bestFit="1" customWidth="1"/>
    <col min="13" max="13" width="8.83203125" style="2"/>
    <col min="14" max="14" width="10" style="2" customWidth="1"/>
    <col min="15" max="15" width="10.83203125" style="2" customWidth="1"/>
    <col min="16" max="16" width="9.5" style="2" bestFit="1" customWidth="1"/>
    <col min="17" max="17" width="9.6640625" style="2" bestFit="1" customWidth="1"/>
    <col min="18" max="22" width="8.83203125" style="2"/>
    <col min="23" max="23" width="13.5" style="2" customWidth="1"/>
    <col min="24" max="24" width="13.33203125" style="2" customWidth="1"/>
    <col min="25" max="16384" width="8.832031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4" t="s">
        <v>74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73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P3" s="3"/>
      <c r="Q3" s="3"/>
      <c r="R3" s="3"/>
      <c r="S3" s="3"/>
      <c r="T3" s="3"/>
      <c r="U3" s="3"/>
    </row>
    <row r="4" spans="1:21" ht="16" x14ac:dyDescent="0.2">
      <c r="A4" s="62" t="s">
        <v>81</v>
      </c>
      <c r="B4" s="9">
        <f>SUM(Ödeshög:Mjölby!B4)</f>
        <v>14039.3</v>
      </c>
      <c r="P4" s="3"/>
      <c r="Q4" s="3"/>
      <c r="R4" s="3"/>
      <c r="S4" s="3"/>
      <c r="T4" s="3"/>
      <c r="U4" s="3"/>
    </row>
    <row r="5" spans="1:21" ht="16" x14ac:dyDescent="0.2">
      <c r="A5" s="5"/>
      <c r="B5" s="9"/>
      <c r="P5" s="3"/>
      <c r="Q5" s="38"/>
      <c r="R5" s="9"/>
      <c r="S5" s="3"/>
      <c r="T5" s="3"/>
      <c r="U5" s="3"/>
    </row>
    <row r="6" spans="1:21" ht="16" x14ac:dyDescent="0.2">
      <c r="A6" s="8" t="s">
        <v>12</v>
      </c>
      <c r="B6" s="9">
        <f>SUM(Ödeshög:Mjölby!B6)</f>
        <v>508524</v>
      </c>
      <c r="C6" s="9">
        <f>SUM(Ödeshög:Mjölby!C6)</f>
        <v>0</v>
      </c>
      <c r="D6" s="9">
        <f>SUM(Ödeshög:Mjölby!D6)</f>
        <v>0</v>
      </c>
      <c r="E6" s="9">
        <f>SUM(Ödeshög:Mjölby!E6)</f>
        <v>0</v>
      </c>
      <c r="F6" s="9">
        <f>SUM(Ödeshög:Mjölby!F6)</f>
        <v>0</v>
      </c>
      <c r="G6" s="9">
        <f>SUM(Ödeshög:Mjölby!G6)</f>
        <v>0</v>
      </c>
      <c r="H6" s="9">
        <f>SUM(Ödeshög:Mjölby!H6)</f>
        <v>0</v>
      </c>
      <c r="I6" s="9">
        <f>SUM(Ödeshög:Mjölby!I6)</f>
        <v>0</v>
      </c>
      <c r="J6" s="9">
        <f>SUM(Ödeshög:Mjölby!J6)</f>
        <v>0</v>
      </c>
      <c r="K6" s="9">
        <f>SUM(Ödeshög:Mjölby!K6)</f>
        <v>0</v>
      </c>
      <c r="L6" s="9"/>
      <c r="M6" s="9"/>
      <c r="N6" s="9"/>
      <c r="O6" s="9">
        <v>0</v>
      </c>
      <c r="P6" s="3"/>
      <c r="Q6" s="46"/>
      <c r="R6" s="9"/>
      <c r="S6" s="3"/>
      <c r="T6" s="3"/>
      <c r="U6" s="3"/>
    </row>
    <row r="7" spans="1:21" ht="16" x14ac:dyDescent="0.2">
      <c r="A7" s="8" t="s">
        <v>13</v>
      </c>
      <c r="B7" s="9">
        <f>SUM(Ödeshög:Mjölby!B7)</f>
        <v>434</v>
      </c>
      <c r="C7" s="9">
        <f>SUM(Ödeshög:Mjölby!C7)</f>
        <v>1814</v>
      </c>
      <c r="D7" s="9">
        <f>SUM(Ödeshög:Mjölby!D7)</f>
        <v>0</v>
      </c>
      <c r="E7" s="9">
        <f>SUM(Ödeshög:Mjölby!E7)</f>
        <v>0</v>
      </c>
      <c r="F7" s="9">
        <f>SUM(Ödeshög:Mjölby!F7)</f>
        <v>0</v>
      </c>
      <c r="G7" s="9">
        <f>SUM(Ödeshög:Mjölby!G7)</f>
        <v>0</v>
      </c>
      <c r="H7" s="9">
        <f>SUM(Ödeshög:Mjölby!H7)</f>
        <v>0</v>
      </c>
      <c r="I7" s="9">
        <f>SUM(Ödeshög:Mjölby!I7)</f>
        <v>0</v>
      </c>
      <c r="J7" s="9">
        <f>SUM(Ödeshög:Mjölby!J7)</f>
        <v>0</v>
      </c>
      <c r="K7" s="9">
        <f>SUM(Ödeshög:Mjölby!K7)</f>
        <v>0</v>
      </c>
      <c r="L7" s="9">
        <f>SUM(Ödeshög:Mjölby!L7)</f>
        <v>0</v>
      </c>
      <c r="M7" s="9">
        <f>SUM(Ödeshög:Mjölby!M7)</f>
        <v>0</v>
      </c>
      <c r="N7" s="9">
        <f>SUM(Ödeshög:Mjölby!N7)</f>
        <v>0</v>
      </c>
      <c r="O7" s="9">
        <f>SUM(C7:N7)</f>
        <v>1814</v>
      </c>
      <c r="P7" s="3"/>
      <c r="Q7" s="46"/>
      <c r="R7" s="9"/>
      <c r="S7" s="3"/>
      <c r="T7" s="3"/>
      <c r="U7" s="3"/>
    </row>
    <row r="8" spans="1:21" ht="16" x14ac:dyDescent="0.2">
      <c r="A8" s="8" t="s">
        <v>14</v>
      </c>
      <c r="B8" s="9">
        <f>SUM(Ödeshög:Mjölby!B8)</f>
        <v>553115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3"/>
      <c r="Q8" s="3"/>
      <c r="R8" s="9"/>
      <c r="S8" s="3"/>
      <c r="T8" s="3"/>
      <c r="U8" s="3"/>
    </row>
    <row r="9" spans="1:21" ht="16" x14ac:dyDescent="0.2">
      <c r="A9" s="8" t="s">
        <v>15</v>
      </c>
      <c r="B9" s="9">
        <f>SUM(Ödeshög:Mjölby!B9)</f>
        <v>418954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3"/>
      <c r="Q9" s="3"/>
      <c r="R9" s="9"/>
      <c r="S9" s="3"/>
      <c r="T9" s="3"/>
      <c r="U9" s="3"/>
    </row>
    <row r="10" spans="1:21" ht="16" x14ac:dyDescent="0.2">
      <c r="A10" s="8" t="s">
        <v>16</v>
      </c>
      <c r="B10" s="9">
        <f>SUM(B4:B9)</f>
        <v>1495066.3</v>
      </c>
      <c r="C10" s="9">
        <f t="shared" ref="C10:O10" si="0">SUM(C4:C9)</f>
        <v>1814</v>
      </c>
      <c r="D10" s="9">
        <f t="shared" si="0"/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9">
        <f t="shared" si="0"/>
        <v>1814</v>
      </c>
      <c r="P10" s="3"/>
      <c r="Q10" s="3"/>
      <c r="R10" s="9"/>
      <c r="S10" s="3"/>
      <c r="T10" s="3"/>
      <c r="U10" s="3"/>
    </row>
    <row r="11" spans="1:21" ht="16" x14ac:dyDescent="0.2">
      <c r="A11" s="42"/>
      <c r="B11" s="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"/>
      <c r="Q11" s="3"/>
      <c r="R11" s="9"/>
      <c r="S11" s="3"/>
      <c r="T11" s="3"/>
      <c r="U11" s="3"/>
    </row>
    <row r="12" spans="1:21" ht="16" x14ac:dyDescent="0.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9"/>
      <c r="S12" s="3"/>
      <c r="T12" s="3"/>
      <c r="U12" s="3"/>
    </row>
    <row r="13" spans="1:21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9"/>
      <c r="S13" s="3"/>
      <c r="T13" s="3"/>
      <c r="U13" s="3"/>
    </row>
    <row r="14" spans="1:21" ht="16" x14ac:dyDescent="0.2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9"/>
      <c r="S14" s="3"/>
      <c r="T14" s="3"/>
      <c r="U14" s="3"/>
    </row>
    <row r="15" spans="1:21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73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9"/>
      <c r="S15" s="3"/>
      <c r="T15" s="3"/>
      <c r="U15" s="3"/>
    </row>
    <row r="16" spans="1:21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8"/>
      <c r="R16" s="9"/>
      <c r="S16" s="3"/>
      <c r="T16" s="3"/>
      <c r="U16" s="3"/>
    </row>
    <row r="17" spans="1:24" ht="16" x14ac:dyDescent="0.2">
      <c r="A17" s="8" t="s">
        <v>20</v>
      </c>
      <c r="B17" s="9">
        <f>SUM(Ödeshög:Mjölby!B17)</f>
        <v>2681615</v>
      </c>
      <c r="C17" s="9">
        <f>SUM(Ödeshög:Mjölby!C17)</f>
        <v>54716.105354058724</v>
      </c>
      <c r="D17" s="9">
        <f>SUM(Ödeshög:Mjölby!D17)</f>
        <v>171904</v>
      </c>
      <c r="E17" s="9">
        <f>SUM(Ödeshög:Mjölby!E17)</f>
        <v>0</v>
      </c>
      <c r="F17" s="9">
        <f>SUM(Ödeshög:Mjölby!F17)</f>
        <v>0</v>
      </c>
      <c r="G17" s="9">
        <f>SUM(Ödeshög:Mjölby!G17)</f>
        <v>782444.48013816925</v>
      </c>
      <c r="H17" s="9">
        <f>SUM(Ödeshög:Mjölby!H17)</f>
        <v>0</v>
      </c>
      <c r="I17" s="9">
        <f>SUM(Ödeshög:Mjölby!I17)</f>
        <v>0</v>
      </c>
      <c r="J17" s="9">
        <f>SUM(Ödeshög:Mjölby!J17)</f>
        <v>0</v>
      </c>
      <c r="K17" s="9">
        <f>SUM(Ödeshög:Mjölby!K17)</f>
        <v>2604793.222222222</v>
      </c>
      <c r="L17" s="9">
        <f>SUM(Ödeshög:Mjölby!L17)</f>
        <v>0</v>
      </c>
      <c r="M17" s="9">
        <f>SUM(Ödeshög:Mjölby!M17)</f>
        <v>0</v>
      </c>
      <c r="N17" s="9">
        <f>SUM(Ödeshög:Mjölby!N17)</f>
        <v>0</v>
      </c>
      <c r="O17" s="9">
        <f>SUM(C17:N17)</f>
        <v>3613857.8077144502</v>
      </c>
      <c r="P17" s="3"/>
      <c r="Q17" s="46"/>
      <c r="R17" s="9"/>
      <c r="S17" s="3"/>
      <c r="T17" s="3"/>
      <c r="U17" s="3"/>
    </row>
    <row r="18" spans="1:24" ht="16" x14ac:dyDescent="0.2">
      <c r="A18" s="8" t="s">
        <v>21</v>
      </c>
      <c r="B18" s="9">
        <f>SUM(Ödeshög:Mjölby!B18)</f>
        <v>447612</v>
      </c>
      <c r="C18" s="9">
        <f>SUM(Ödeshög:Mjölby!C18)</f>
        <v>48933.894645941276</v>
      </c>
      <c r="D18" s="9">
        <f>SUM(Ödeshög:Mjölby!D18)</f>
        <v>0</v>
      </c>
      <c r="E18" s="9">
        <f>SUM(Ödeshög:Mjölby!E18)</f>
        <v>0</v>
      </c>
      <c r="F18" s="9">
        <f>SUM(Ödeshög:Mjölby!F18)</f>
        <v>8817</v>
      </c>
      <c r="G18" s="9">
        <f>SUM(Ödeshög:Mjölby!G18)</f>
        <v>455412.51986183075</v>
      </c>
      <c r="H18" s="9">
        <f>SUM(Ödeshög:Mjölby!H18)</f>
        <v>0</v>
      </c>
      <c r="I18" s="9">
        <f>SUM(Ödeshög:Mjölby!I18)</f>
        <v>0</v>
      </c>
      <c r="J18" s="9">
        <f>SUM(Ödeshög:Mjölby!J18)</f>
        <v>0</v>
      </c>
      <c r="K18" s="9">
        <f>SUM(Ödeshög:Mjölby!K18)</f>
        <v>60100</v>
      </c>
      <c r="L18" s="9">
        <f>SUM(Ödeshög:Mjölby!L18)</f>
        <v>0</v>
      </c>
      <c r="M18" s="9">
        <f>SUM(Ödeshög:Mjölby!M18)</f>
        <v>0</v>
      </c>
      <c r="N18" s="9">
        <f>SUM(Ödeshög:Mjölby!N18)</f>
        <v>4013.3099999999995</v>
      </c>
      <c r="O18" s="9">
        <f>SUM(C18:N18)</f>
        <v>577276.72450777213</v>
      </c>
      <c r="P18" s="3"/>
      <c r="Q18" s="46"/>
      <c r="R18" s="9"/>
      <c r="S18" s="3"/>
      <c r="T18" s="3"/>
      <c r="U18" s="3"/>
    </row>
    <row r="19" spans="1:24" ht="16" x14ac:dyDescent="0.2">
      <c r="A19" s="8" t="s">
        <v>22</v>
      </c>
      <c r="B19" s="9">
        <f>SUM(Ödeshög:Mjölby!B19)</f>
        <v>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3"/>
      <c r="Q19" s="3"/>
      <c r="R19" s="9"/>
      <c r="S19" s="3"/>
      <c r="T19" s="3"/>
      <c r="U19" s="3"/>
    </row>
    <row r="20" spans="1:24" ht="16" x14ac:dyDescent="0.2">
      <c r="A20" s="8" t="s">
        <v>23</v>
      </c>
      <c r="B20" s="9">
        <f>SUM(Ödeshög:Mjölby!B20)</f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3"/>
      <c r="Q20" s="3"/>
      <c r="R20" s="3"/>
      <c r="S20" s="3" t="s">
        <v>26</v>
      </c>
      <c r="T20" s="6">
        <f>O42/1000</f>
        <v>18242.434821111114</v>
      </c>
      <c r="U20" s="3"/>
    </row>
    <row r="21" spans="1:24" ht="16" x14ac:dyDescent="0.2">
      <c r="A21" s="8" t="s">
        <v>24</v>
      </c>
      <c r="B21" s="9">
        <f>SUM(Ödeshög:Mjölby!B21)</f>
        <v>32258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3"/>
      <c r="Q21" s="3"/>
      <c r="R21" s="3"/>
      <c r="S21" s="3"/>
      <c r="T21" s="3"/>
      <c r="U21" s="3"/>
    </row>
    <row r="22" spans="1:24" ht="16" x14ac:dyDescent="0.2">
      <c r="A22" s="8" t="s">
        <v>25</v>
      </c>
      <c r="B22" s="9">
        <f>SUM(Ödeshög:Mjölby!B22)</f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3"/>
      <c r="Q22" s="3"/>
      <c r="R22" s="3"/>
      <c r="S22" s="3"/>
      <c r="T22" s="3" t="s">
        <v>27</v>
      </c>
      <c r="U22" s="3" t="s">
        <v>28</v>
      </c>
    </row>
    <row r="23" spans="1:24" ht="16" x14ac:dyDescent="0.2">
      <c r="A23" s="8" t="s">
        <v>16</v>
      </c>
      <c r="B23" s="9">
        <f>SUM(B17:B22)</f>
        <v>3161485</v>
      </c>
      <c r="C23" s="9">
        <f t="shared" ref="C23:O23" si="1">SUM(C17:C22)</f>
        <v>103650</v>
      </c>
      <c r="D23" s="9">
        <f t="shared" si="1"/>
        <v>171904</v>
      </c>
      <c r="E23" s="9">
        <f t="shared" si="1"/>
        <v>0</v>
      </c>
      <c r="F23" s="9">
        <f t="shared" si="1"/>
        <v>8817</v>
      </c>
      <c r="G23" s="9">
        <f t="shared" si="1"/>
        <v>1237857</v>
      </c>
      <c r="H23" s="9">
        <f t="shared" si="1"/>
        <v>0</v>
      </c>
      <c r="I23" s="9">
        <f t="shared" si="1"/>
        <v>0</v>
      </c>
      <c r="J23" s="9">
        <f t="shared" si="1"/>
        <v>0</v>
      </c>
      <c r="K23" s="9">
        <f t="shared" si="1"/>
        <v>2664893.222222222</v>
      </c>
      <c r="L23" s="9">
        <f t="shared" si="1"/>
        <v>0</v>
      </c>
      <c r="M23" s="9">
        <f t="shared" si="1"/>
        <v>0</v>
      </c>
      <c r="N23" s="9">
        <f t="shared" si="1"/>
        <v>4013.3099999999995</v>
      </c>
      <c r="O23" s="9">
        <f t="shared" si="1"/>
        <v>4191134.5322222225</v>
      </c>
      <c r="P23" s="3"/>
      <c r="Q23" s="3"/>
      <c r="R23" s="3"/>
      <c r="S23" s="3" t="s">
        <v>10</v>
      </c>
      <c r="T23" s="6">
        <f>N42/1000</f>
        <v>6042.7787099999996</v>
      </c>
      <c r="U23" s="14">
        <f>N43</f>
        <v>0.33124847473797608</v>
      </c>
    </row>
    <row r="24" spans="1:24" ht="16" x14ac:dyDescent="0.2">
      <c r="A24" s="42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"/>
      <c r="Q24" s="3"/>
      <c r="R24" s="3"/>
      <c r="S24" s="3" t="s">
        <v>73</v>
      </c>
      <c r="T24" s="6">
        <f>G42/1000</f>
        <v>2529.9703010218977</v>
      </c>
      <c r="U24" s="15">
        <f>G43</f>
        <v>0.13868599920083485</v>
      </c>
    </row>
    <row r="25" spans="1:24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7</v>
      </c>
      <c r="T25" s="6">
        <f>J42/1000</f>
        <v>0</v>
      </c>
      <c r="U25" s="14">
        <f>J43</f>
        <v>0</v>
      </c>
    </row>
    <row r="26" spans="1:24" ht="16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31</v>
      </c>
      <c r="T26" s="6">
        <f>F42/1000</f>
        <v>327.85</v>
      </c>
      <c r="U26" s="14">
        <f>F43</f>
        <v>1.7971833432047932E-2</v>
      </c>
    </row>
    <row r="27" spans="1:24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4</v>
      </c>
      <c r="T27" s="6">
        <f>E42/1000</f>
        <v>259.13631008921328</v>
      </c>
      <c r="U27" s="14">
        <f>E43</f>
        <v>1.4205138328866442E-2</v>
      </c>
      <c r="X27" s="9"/>
    </row>
    <row r="28" spans="1:24" ht="16" x14ac:dyDescent="0.2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2" t="s">
        <v>3</v>
      </c>
      <c r="T28" s="10">
        <f>D42/1000</f>
        <v>213.19300000000001</v>
      </c>
      <c r="U28" s="47">
        <f>D43</f>
        <v>1.1686652691409468E-2</v>
      </c>
      <c r="X28" s="9"/>
    </row>
    <row r="29" spans="1:24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73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75</v>
      </c>
      <c r="M29" s="6" t="s">
        <v>72</v>
      </c>
      <c r="N29" s="6" t="s">
        <v>10</v>
      </c>
      <c r="O29" s="6" t="s">
        <v>32</v>
      </c>
      <c r="P29" s="3"/>
      <c r="Q29" s="3"/>
      <c r="R29" s="3"/>
      <c r="S29" s="2" t="s">
        <v>8</v>
      </c>
      <c r="T29" s="10">
        <f>K42/1000</f>
        <v>2664.893222222222</v>
      </c>
      <c r="U29" s="47">
        <f>K43</f>
        <v>0.14608210188797091</v>
      </c>
      <c r="X29" s="9"/>
    </row>
    <row r="30" spans="1:24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3" t="s">
        <v>5</v>
      </c>
      <c r="T30" s="6">
        <f>I42/1000</f>
        <v>1729.47</v>
      </c>
      <c r="U30" s="14">
        <f>I43</f>
        <v>9.4804778910245344E-2</v>
      </c>
      <c r="W30" s="38"/>
      <c r="X30" s="9"/>
    </row>
    <row r="31" spans="1:24" ht="16" x14ac:dyDescent="0.2">
      <c r="A31" s="5" t="s">
        <v>33</v>
      </c>
      <c r="B31" s="9">
        <f>SUM(Ödeshög:Mjölby!B31)</f>
        <v>0</v>
      </c>
      <c r="C31" s="9">
        <f>SUM(Ödeshög:Mjölby!C31)</f>
        <v>178719</v>
      </c>
      <c r="D31" s="9">
        <f>SUM(Ödeshög:Mjölby!D31)</f>
        <v>0</v>
      </c>
      <c r="E31" s="9">
        <f>SUM(Ödeshög:Mjölby!E31)</f>
        <v>0</v>
      </c>
      <c r="F31" s="9">
        <f>SUM(Ödeshög:Mjölby!F31)</f>
        <v>16860</v>
      </c>
      <c r="G31" s="9">
        <f>SUM(Ödeshög:Mjölby!G31)</f>
        <v>0</v>
      </c>
      <c r="H31" s="9">
        <f>SUM(Ödeshög:Mjölby!H31)</f>
        <v>0</v>
      </c>
      <c r="I31" s="9">
        <f>SUM(Ödeshög:Mjölby!I31)</f>
        <v>0</v>
      </c>
      <c r="J31" s="9">
        <f>SUM(Ödeshög:Mjölby!J31)</f>
        <v>0</v>
      </c>
      <c r="K31" s="9">
        <f>SUM(Ödeshög:Mjölby!K31)</f>
        <v>0</v>
      </c>
      <c r="L31" s="9">
        <f>SUM(Ödeshög:Mjölby!L31)</f>
        <v>0</v>
      </c>
      <c r="M31" s="9">
        <f>SUM(Ödeshög:Mjölby!M31)</f>
        <v>0</v>
      </c>
      <c r="N31" s="9">
        <f>SUM(Ödeshög:Mjölby!N31)</f>
        <v>176105</v>
      </c>
      <c r="O31" s="9">
        <f>SUM(B31:N31)</f>
        <v>371684</v>
      </c>
      <c r="P31" s="16">
        <f>O31/O$39</f>
        <v>2.1712413995832722E-2</v>
      </c>
      <c r="Q31" s="17" t="s">
        <v>34</v>
      </c>
      <c r="R31" s="3"/>
      <c r="S31" s="3" t="s">
        <v>6</v>
      </c>
      <c r="T31" s="6">
        <f>H42/1000</f>
        <v>102.86027777777775</v>
      </c>
      <c r="U31" s="14">
        <f>H43</f>
        <v>5.6385169406631174E-3</v>
      </c>
      <c r="W31" s="39"/>
      <c r="X31" s="9"/>
    </row>
    <row r="32" spans="1:24" ht="16" x14ac:dyDescent="0.2">
      <c r="A32" s="5" t="s">
        <v>36</v>
      </c>
      <c r="B32" s="9">
        <f>SUM(Ödeshög:Mjölby!B32)</f>
        <v>281731.85161562066</v>
      </c>
      <c r="C32" s="9">
        <f>SUM(Ödeshög:Mjölby!C32)</f>
        <v>207774</v>
      </c>
      <c r="D32" s="9">
        <f>SUM(Ödeshög:Mjölby!D32)</f>
        <v>41289</v>
      </c>
      <c r="E32" s="9">
        <f>SUM(Ödeshög:Mjölby!E32)</f>
        <v>253291.69897810218</v>
      </c>
      <c r="F32" s="9">
        <f>SUM(Ödeshög:Mjölby!F32)</f>
        <v>0</v>
      </c>
      <c r="G32" s="9">
        <f>SUM(Ödeshög:Mjölby!G32)</f>
        <v>823241.30102189782</v>
      </c>
      <c r="H32" s="9">
        <f>SUM(Ödeshög:Mjölby!H32)</f>
        <v>0</v>
      </c>
      <c r="I32" s="9">
        <f>SUM(Ödeshög:Mjölby!I32)</f>
        <v>1729470</v>
      </c>
      <c r="J32" s="9">
        <f>SUM(Ödeshög:Mjölby!J32)</f>
        <v>0</v>
      </c>
      <c r="K32" s="9">
        <f>SUM(Ödeshög:Mjölby!K32)</f>
        <v>0</v>
      </c>
      <c r="L32" s="9">
        <f>SUM(Ödeshög:Mjölby!L32)</f>
        <v>444133</v>
      </c>
      <c r="M32" s="9">
        <f>SUM(Ödeshög:Mjölby!M32)</f>
        <v>45000</v>
      </c>
      <c r="N32" s="9">
        <f>SUM(Ödeshög:Mjölby!N32)</f>
        <v>2960795</v>
      </c>
      <c r="O32" s="9">
        <f t="shared" ref="O32:O38" si="2">SUM(B32:N32)</f>
        <v>6786725.8516156208</v>
      </c>
      <c r="P32" s="16">
        <f>O32/O$39</f>
        <v>0.39645559498525296</v>
      </c>
      <c r="Q32" s="17" t="s">
        <v>37</v>
      </c>
      <c r="R32" s="3"/>
      <c r="S32" s="10" t="str">
        <f>M29</f>
        <v>Plastrejekt</v>
      </c>
      <c r="T32" s="6">
        <f>M42/1000</f>
        <v>45</v>
      </c>
      <c r="U32" s="14">
        <f>M43</f>
        <v>2.4667759781673232E-3</v>
      </c>
      <c r="W32" s="39"/>
      <c r="X32" s="9"/>
    </row>
    <row r="33" spans="1:48" ht="16" x14ac:dyDescent="0.2">
      <c r="A33" s="5" t="s">
        <v>38</v>
      </c>
      <c r="B33" s="9">
        <f>SUM(Ödeshög:Mjölby!B33)</f>
        <v>377231.02990552981</v>
      </c>
      <c r="C33" s="9">
        <f>SUM(Ödeshög:Mjölby!C33)</f>
        <v>10350</v>
      </c>
      <c r="D33" s="9">
        <f>SUM(Ödeshög:Mjölby!D33)</f>
        <v>0</v>
      </c>
      <c r="E33" s="9">
        <f>SUM(Ödeshög:Mjölby!E33)</f>
        <v>0</v>
      </c>
      <c r="F33" s="9">
        <f>SUM(Ödeshög:Mjölby!F33)</f>
        <v>0</v>
      </c>
      <c r="G33" s="9">
        <f>SUM(Ödeshög:Mjölby!G33)</f>
        <v>0</v>
      </c>
      <c r="H33" s="9">
        <f>SUM(Ödeshög:Mjölby!H33)</f>
        <v>0</v>
      </c>
      <c r="I33" s="9">
        <f>SUM(Ödeshög:Mjölby!I33)</f>
        <v>0</v>
      </c>
      <c r="J33" s="9">
        <f>SUM(Ödeshög:Mjölby!J33)</f>
        <v>0</v>
      </c>
      <c r="K33" s="9">
        <f>SUM(Ödeshög:Mjölby!K33)</f>
        <v>0</v>
      </c>
      <c r="L33" s="9">
        <f>SUM(Ödeshög:Mjölby!L33)</f>
        <v>0</v>
      </c>
      <c r="M33" s="9">
        <f>SUM(Ödeshög:Mjölby!M33)</f>
        <v>0</v>
      </c>
      <c r="N33" s="9">
        <f>SUM(Ödeshög:Mjölby!N33)</f>
        <v>445210</v>
      </c>
      <c r="O33" s="9">
        <f t="shared" si="2"/>
        <v>832791.02990552981</v>
      </c>
      <c r="P33" s="16">
        <f>O33/O$39</f>
        <v>4.8648592926584876E-2</v>
      </c>
      <c r="Q33" s="17" t="s">
        <v>39</v>
      </c>
      <c r="R33" s="3"/>
      <c r="S33" s="3" t="s">
        <v>35</v>
      </c>
      <c r="T33" s="6">
        <f>C42/1000</f>
        <v>4327.2830000000004</v>
      </c>
      <c r="U33" s="15">
        <f>C43</f>
        <v>0.23720972789181841</v>
      </c>
      <c r="W33" s="39"/>
      <c r="X33" s="9"/>
    </row>
    <row r="34" spans="1:48" ht="16" x14ac:dyDescent="0.2">
      <c r="A34" s="5" t="s">
        <v>40</v>
      </c>
      <c r="B34" s="9">
        <f>SUM(Ödeshög:Mjölby!B34)</f>
        <v>0</v>
      </c>
      <c r="C34" s="9">
        <f>SUM(Ödeshög:Mjölby!C34)</f>
        <v>3643088</v>
      </c>
      <c r="D34" s="9">
        <f>SUM(Ödeshög:Mjölby!D34)</f>
        <v>0</v>
      </c>
      <c r="E34" s="53">
        <f>532*39.55/3.6</f>
        <v>5844.6111111111104</v>
      </c>
      <c r="F34" s="9">
        <f>SUM(Ödeshög:Mjölby!F34)</f>
        <v>302173</v>
      </c>
      <c r="G34" s="9">
        <f>SUM(Ödeshög:Mjölby!G34)</f>
        <v>0</v>
      </c>
      <c r="H34" s="53">
        <f>10490*35.3/3.6</f>
        <v>102860.27777777775</v>
      </c>
      <c r="I34" s="9">
        <f>SUM(Ödeshög:Mjölby!I34)</f>
        <v>0</v>
      </c>
      <c r="J34" s="9">
        <f>SUM(Ödeshög:Mjölby!J34)</f>
        <v>0</v>
      </c>
      <c r="K34" s="9">
        <f>SUM(Ödeshög:Mjölby!K34)</f>
        <v>0</v>
      </c>
      <c r="L34" s="9">
        <f>SUM(Ödeshög:Mjölby!L34)</f>
        <v>0</v>
      </c>
      <c r="M34" s="9">
        <f>SUM(Ödeshög:Mjölby!M34)</f>
        <v>0</v>
      </c>
      <c r="N34" s="9">
        <f>SUM(Ödeshög:Mjölby!N34)</f>
        <v>90815</v>
      </c>
      <c r="O34" s="9">
        <f t="shared" si="2"/>
        <v>4144780.888888889</v>
      </c>
      <c r="P34" s="16">
        <f>O34/O$39</f>
        <v>0.24212287475805014</v>
      </c>
      <c r="Q34" s="17" t="s">
        <v>41</v>
      </c>
      <c r="R34" s="3"/>
      <c r="S34" s="3"/>
      <c r="T34" s="6">
        <f>SUM(T23:T33)</f>
        <v>18242.43482111111</v>
      </c>
      <c r="U34" s="14">
        <f>SUM(U23:U33)</f>
        <v>0.99999999999999978</v>
      </c>
      <c r="W34" s="39"/>
      <c r="X34" s="9"/>
    </row>
    <row r="35" spans="1:48" ht="16" x14ac:dyDescent="0.2">
      <c r="A35" s="5" t="s">
        <v>42</v>
      </c>
      <c r="B35" s="9">
        <f>SUM(Ödeshög:Mjölby!B35)</f>
        <v>332672.39232204104</v>
      </c>
      <c r="C35" s="9">
        <f>SUM(Ödeshög:Mjölby!C35)</f>
        <v>171923</v>
      </c>
      <c r="D35" s="9">
        <f>SUM(Ödeshög:Mjölby!D35)</f>
        <v>0</v>
      </c>
      <c r="E35" s="9">
        <f>SUM(Ödeshög:Mjölby!E35)</f>
        <v>0</v>
      </c>
      <c r="F35" s="9">
        <f>SUM(Ödeshög:Mjölby!F35)</f>
        <v>0</v>
      </c>
      <c r="G35" s="9">
        <f>SUM(Ödeshög:Mjölby!G35)</f>
        <v>0</v>
      </c>
      <c r="H35" s="9">
        <f>SUM(Ödeshög:Mjölby!H35)</f>
        <v>0</v>
      </c>
      <c r="I35" s="9">
        <f>SUM(Ödeshög:Mjölby!I35)</f>
        <v>0</v>
      </c>
      <c r="J35" s="9">
        <f>SUM(Ödeshög:Mjölby!J35)</f>
        <v>0</v>
      </c>
      <c r="K35" s="9">
        <f>SUM(Ödeshög:Mjölby!K35)</f>
        <v>0</v>
      </c>
      <c r="L35" s="9">
        <f>SUM(Ödeshög:Mjölby!L35)</f>
        <v>0</v>
      </c>
      <c r="M35" s="9">
        <f>SUM(Ödeshög:Mjölby!M35)</f>
        <v>0</v>
      </c>
      <c r="N35" s="9">
        <f>SUM(Ödeshög:Mjölby!N35)</f>
        <v>1088435</v>
      </c>
      <c r="O35" s="9">
        <f t="shared" si="2"/>
        <v>1593030.3923220411</v>
      </c>
      <c r="P35" s="16">
        <f>O35/O$39</f>
        <v>9.3058983938076378E-2</v>
      </c>
      <c r="Q35" s="17" t="s">
        <v>43</v>
      </c>
      <c r="R35" s="17"/>
      <c r="W35" s="39"/>
      <c r="X35" s="9"/>
    </row>
    <row r="36" spans="1:48" ht="16" x14ac:dyDescent="0.2">
      <c r="A36" s="5" t="s">
        <v>44</v>
      </c>
      <c r="B36" s="9">
        <f>SUM(Ödeshög:Mjölby!B36)</f>
        <v>398840.35946807871</v>
      </c>
      <c r="C36" s="9">
        <f>SUM(Ödeshög:Mjölby!C36)</f>
        <v>8460</v>
      </c>
      <c r="D36" s="9">
        <f>SUM(Ödeshög:Mjölby!D36)</f>
        <v>0</v>
      </c>
      <c r="E36" s="9">
        <f>SUM(Ödeshög:Mjölby!E36)</f>
        <v>0</v>
      </c>
      <c r="F36" s="9">
        <f>SUM(Ödeshög:Mjölby!F36)</f>
        <v>0</v>
      </c>
      <c r="G36" s="9">
        <f>SUM(Ödeshög:Mjölby!G36)</f>
        <v>468872</v>
      </c>
      <c r="H36" s="9">
        <f>SUM(Ödeshög:Mjölby!H36)</f>
        <v>0</v>
      </c>
      <c r="I36" s="9">
        <f>SUM(Ödeshög:Mjölby!I36)</f>
        <v>0</v>
      </c>
      <c r="J36" s="9">
        <f>SUM(Ödeshög:Mjölby!J36)</f>
        <v>0</v>
      </c>
      <c r="K36" s="9">
        <f>SUM(Ödeshög:Mjölby!K36)</f>
        <v>0</v>
      </c>
      <c r="L36" s="9">
        <f>SUM(Ödeshög:Mjölby!L36)</f>
        <v>0</v>
      </c>
      <c r="M36" s="9">
        <f>SUM(Ödeshög:Mjölby!M36)</f>
        <v>0</v>
      </c>
      <c r="N36" s="9">
        <f>SUM(Ödeshög:Mjölby!N36)</f>
        <v>962367</v>
      </c>
      <c r="O36" s="9">
        <f t="shared" si="2"/>
        <v>1838539.3594680787</v>
      </c>
      <c r="P36" s="17"/>
      <c r="Q36" s="17"/>
      <c r="R36" s="3"/>
      <c r="S36" s="7"/>
      <c r="T36" s="7"/>
      <c r="U36" s="7"/>
      <c r="W36" s="39"/>
      <c r="X36" s="9"/>
    </row>
    <row r="37" spans="1:48" ht="16" x14ac:dyDescent="0.2">
      <c r="A37" s="5" t="s">
        <v>45</v>
      </c>
      <c r="B37" s="9">
        <f>SUM(Ödeshög:Mjölby!B37)</f>
        <v>1210867.3666887297</v>
      </c>
      <c r="C37" s="9">
        <f>SUM(Ödeshög:Mjölby!C37)</f>
        <v>1505</v>
      </c>
      <c r="D37" s="9">
        <f>SUM(Ödeshög:Mjölby!D37)</f>
        <v>0</v>
      </c>
      <c r="E37" s="9">
        <f>SUM(Ödeshög:Mjölby!E37)</f>
        <v>0</v>
      </c>
      <c r="F37" s="9">
        <f>SUM(Ödeshög:Mjölby!F37)</f>
        <v>0</v>
      </c>
      <c r="G37" s="9">
        <f>SUM(Ödeshög:Mjölby!G37)</f>
        <v>0</v>
      </c>
      <c r="H37" s="9">
        <f>SUM(Ödeshög:Mjölby!H37)</f>
        <v>0</v>
      </c>
      <c r="I37" s="9">
        <f>SUM(Ödeshög:Mjölby!I37)</f>
        <v>0</v>
      </c>
      <c r="J37" s="9">
        <f>SUM(Ödeshög:Mjölby!J37)</f>
        <v>0</v>
      </c>
      <c r="K37" s="9">
        <f>SUM(Ödeshög:Mjölby!K37)</f>
        <v>0</v>
      </c>
      <c r="L37" s="9">
        <f>SUM(Ödeshög:Mjölby!L37)</f>
        <v>0</v>
      </c>
      <c r="M37" s="9">
        <f>SUM(Ödeshög:Mjölby!M37)</f>
        <v>0</v>
      </c>
      <c r="N37" s="9">
        <f>SUM(Ödeshög:Mjölby!N37)</f>
        <v>217815</v>
      </c>
      <c r="O37" s="9">
        <f t="shared" si="2"/>
        <v>1430187.3666887297</v>
      </c>
      <c r="P37" s="17"/>
      <c r="Q37" s="17"/>
      <c r="R37" s="3"/>
      <c r="S37" s="7"/>
      <c r="T37" s="7" t="s">
        <v>27</v>
      </c>
      <c r="U37" s="7" t="s">
        <v>28</v>
      </c>
      <c r="W37" s="39"/>
      <c r="X37" s="9"/>
    </row>
    <row r="38" spans="1:48" ht="16" x14ac:dyDescent="0.2">
      <c r="A38" s="5" t="s">
        <v>46</v>
      </c>
      <c r="B38" s="9">
        <f>SUM(Ödeshög:Mjölby!B38)</f>
        <v>0</v>
      </c>
      <c r="C38" s="9">
        <f>SUM(Ödeshög:Mjölby!C38)</f>
        <v>0</v>
      </c>
      <c r="D38" s="9">
        <f>SUM(Ödeshög:Mjölby!D38)</f>
        <v>0</v>
      </c>
      <c r="E38" s="9">
        <f>SUM(Ödeshög:Mjölby!E38)</f>
        <v>0</v>
      </c>
      <c r="F38" s="9">
        <f>SUM(Ödeshög:Mjölby!F38)</f>
        <v>0</v>
      </c>
      <c r="G38" s="9">
        <f>SUM(Ödeshög:Mjölby!G38)</f>
        <v>0</v>
      </c>
      <c r="H38" s="9">
        <f>SUM(Ödeshög:Mjölby!H38)</f>
        <v>0</v>
      </c>
      <c r="I38" s="9">
        <f>SUM(Ödeshög:Mjölby!I38)</f>
        <v>0</v>
      </c>
      <c r="J38" s="9">
        <f>SUM(Ödeshög:Mjölby!J38)</f>
        <v>0</v>
      </c>
      <c r="K38" s="9">
        <f>SUM(Ödeshög:Mjölby!K38)</f>
        <v>0</v>
      </c>
      <c r="L38" s="9">
        <f>SUM(Ödeshög:Mjölby!L38)</f>
        <v>0</v>
      </c>
      <c r="M38" s="9">
        <f>SUM(Ödeshög:Mjölby!M38)</f>
        <v>0</v>
      </c>
      <c r="N38" s="9">
        <f>SUM(Ödeshög:Mjölby!N38)</f>
        <v>120763</v>
      </c>
      <c r="O38" s="9">
        <f t="shared" si="2"/>
        <v>120763</v>
      </c>
      <c r="P38" s="17">
        <f>SUM(P31:P35)</f>
        <v>0.80199846060379709</v>
      </c>
      <c r="Q38" s="17"/>
      <c r="R38" s="3"/>
      <c r="S38" s="7" t="s">
        <v>47</v>
      </c>
      <c r="T38" s="28">
        <f>O45/1000</f>
        <v>1045.1264000000001</v>
      </c>
      <c r="U38" s="7"/>
      <c r="W38" s="39"/>
      <c r="X38" s="9"/>
    </row>
    <row r="39" spans="1:48" ht="16" x14ac:dyDescent="0.2">
      <c r="A39" s="5" t="s">
        <v>16</v>
      </c>
      <c r="B39" s="9">
        <f>SUM(B31:B38)</f>
        <v>2601343</v>
      </c>
      <c r="C39" s="9">
        <f t="shared" ref="C39:O39" si="3">SUM(C31:C38)</f>
        <v>4221819</v>
      </c>
      <c r="D39" s="9">
        <f t="shared" si="3"/>
        <v>41289</v>
      </c>
      <c r="E39" s="9">
        <f t="shared" si="3"/>
        <v>259136.31008921331</v>
      </c>
      <c r="F39" s="9">
        <f t="shared" si="3"/>
        <v>319033</v>
      </c>
      <c r="G39" s="9">
        <f t="shared" si="3"/>
        <v>1292113.3010218977</v>
      </c>
      <c r="H39" s="9">
        <f t="shared" si="3"/>
        <v>102860.27777777775</v>
      </c>
      <c r="I39" s="9">
        <f t="shared" si="3"/>
        <v>1729470</v>
      </c>
      <c r="J39" s="9">
        <f t="shared" si="3"/>
        <v>0</v>
      </c>
      <c r="K39" s="9">
        <f t="shared" si="3"/>
        <v>0</v>
      </c>
      <c r="L39" s="9">
        <f t="shared" si="3"/>
        <v>444133</v>
      </c>
      <c r="M39" s="9">
        <f t="shared" si="3"/>
        <v>45000</v>
      </c>
      <c r="N39" s="9">
        <f t="shared" si="3"/>
        <v>6062305</v>
      </c>
      <c r="O39" s="9">
        <f t="shared" si="3"/>
        <v>17118501.888888888</v>
      </c>
      <c r="P39" s="3"/>
      <c r="Q39" s="3"/>
      <c r="R39" s="3"/>
      <c r="S39" s="7" t="s">
        <v>48</v>
      </c>
      <c r="T39" s="28">
        <f>O41/1000</f>
        <v>3389.4897261568085</v>
      </c>
      <c r="U39" s="14">
        <f>P41</f>
        <v>0.19800153939620299</v>
      </c>
      <c r="X39" s="9"/>
    </row>
    <row r="40" spans="1:48" x14ac:dyDescent="0.2">
      <c r="S40" s="7" t="s">
        <v>49</v>
      </c>
      <c r="T40" s="28">
        <f>O35/1000</f>
        <v>1593.0303923220411</v>
      </c>
      <c r="U40" s="15">
        <f>P35</f>
        <v>9.3058983938076378E-2</v>
      </c>
      <c r="X40" s="9"/>
    </row>
    <row r="41" spans="1:48" ht="16" x14ac:dyDescent="0.2">
      <c r="A41" s="20" t="s">
        <v>50</v>
      </c>
      <c r="B41" s="21">
        <f>B38+B37+B36</f>
        <v>1609707.7261568084</v>
      </c>
      <c r="C41" s="21">
        <f t="shared" ref="C41:O41" si="4">C38+C37+C36</f>
        <v>9965</v>
      </c>
      <c r="D41" s="21">
        <f t="shared" si="4"/>
        <v>0</v>
      </c>
      <c r="E41" s="21">
        <f t="shared" si="4"/>
        <v>0</v>
      </c>
      <c r="F41" s="21">
        <f t="shared" si="4"/>
        <v>0</v>
      </c>
      <c r="G41" s="21">
        <f t="shared" si="4"/>
        <v>468872</v>
      </c>
      <c r="H41" s="21">
        <f t="shared" si="4"/>
        <v>0</v>
      </c>
      <c r="I41" s="21">
        <f t="shared" si="4"/>
        <v>0</v>
      </c>
      <c r="J41" s="21">
        <f t="shared" si="4"/>
        <v>0</v>
      </c>
      <c r="K41" s="21">
        <f t="shared" si="4"/>
        <v>0</v>
      </c>
      <c r="L41" s="21">
        <f t="shared" si="4"/>
        <v>0</v>
      </c>
      <c r="M41" s="21">
        <f t="shared" si="4"/>
        <v>0</v>
      </c>
      <c r="N41" s="21">
        <f t="shared" ref="N41" si="5">N38+N37+N36</f>
        <v>1300945</v>
      </c>
      <c r="O41" s="21">
        <f t="shared" si="4"/>
        <v>3389489.7261568084</v>
      </c>
      <c r="P41" s="16">
        <f>O41/O$39</f>
        <v>0.19800153939620299</v>
      </c>
      <c r="Q41" s="16" t="s">
        <v>51</v>
      </c>
      <c r="R41" s="7"/>
      <c r="S41" s="7" t="s">
        <v>52</v>
      </c>
      <c r="T41" s="28">
        <f>O33/1000</f>
        <v>832.79102990552985</v>
      </c>
      <c r="U41" s="14">
        <f>P33</f>
        <v>4.8648592926584876E-2</v>
      </c>
    </row>
    <row r="42" spans="1:48" ht="16" x14ac:dyDescent="0.2">
      <c r="A42" s="22" t="s">
        <v>53</v>
      </c>
      <c r="B42" s="21"/>
      <c r="C42" s="23">
        <f>C39+C23+C10</f>
        <v>4327283</v>
      </c>
      <c r="D42" s="23">
        <f t="shared" ref="D42:M42" si="6">D39+D23+D10</f>
        <v>213193</v>
      </c>
      <c r="E42" s="23">
        <f t="shared" si="6"/>
        <v>259136.31008921331</v>
      </c>
      <c r="F42" s="23">
        <f t="shared" si="6"/>
        <v>327850</v>
      </c>
      <c r="G42" s="23">
        <f t="shared" si="6"/>
        <v>2529970.3010218977</v>
      </c>
      <c r="H42" s="23">
        <f t="shared" si="6"/>
        <v>102860.27777777775</v>
      </c>
      <c r="I42" s="23">
        <f t="shared" si="6"/>
        <v>1729470</v>
      </c>
      <c r="J42" s="23">
        <f t="shared" si="6"/>
        <v>0</v>
      </c>
      <c r="K42" s="23">
        <f t="shared" si="6"/>
        <v>2664893.222222222</v>
      </c>
      <c r="L42" s="23">
        <v>0</v>
      </c>
      <c r="M42" s="23">
        <f t="shared" si="6"/>
        <v>45000</v>
      </c>
      <c r="N42" s="23">
        <f>N39+N23-B6+N45</f>
        <v>6042778.71</v>
      </c>
      <c r="O42" s="24">
        <f>SUM(C42:N42)</f>
        <v>18242434.821111113</v>
      </c>
      <c r="P42" s="7"/>
      <c r="Q42" s="7"/>
      <c r="R42" s="7"/>
      <c r="S42" s="7" t="s">
        <v>34</v>
      </c>
      <c r="T42" s="28">
        <f>O31/1000</f>
        <v>371.68400000000003</v>
      </c>
      <c r="U42" s="14">
        <f>P31</f>
        <v>2.1712413995832722E-2</v>
      </c>
    </row>
    <row r="43" spans="1:48" ht="16" x14ac:dyDescent="0.2">
      <c r="A43" s="22" t="s">
        <v>54</v>
      </c>
      <c r="B43" s="21"/>
      <c r="C43" s="16">
        <f t="shared" ref="C43:N43" si="7">C42/$O42</f>
        <v>0.23720972789181841</v>
      </c>
      <c r="D43" s="16">
        <f t="shared" si="7"/>
        <v>1.1686652691409468E-2</v>
      </c>
      <c r="E43" s="16">
        <f t="shared" si="7"/>
        <v>1.4205138328866442E-2</v>
      </c>
      <c r="F43" s="16">
        <f t="shared" si="7"/>
        <v>1.7971833432047932E-2</v>
      </c>
      <c r="G43" s="16">
        <f t="shared" si="7"/>
        <v>0.13868599920083485</v>
      </c>
      <c r="H43" s="16">
        <f t="shared" si="7"/>
        <v>5.6385169406631174E-3</v>
      </c>
      <c r="I43" s="16">
        <f t="shared" si="7"/>
        <v>9.4804778910245344E-2</v>
      </c>
      <c r="J43" s="16">
        <f t="shared" si="7"/>
        <v>0</v>
      </c>
      <c r="K43" s="16">
        <f t="shared" si="7"/>
        <v>0.14608210188797091</v>
      </c>
      <c r="L43" s="16">
        <f t="shared" si="7"/>
        <v>0</v>
      </c>
      <c r="M43" s="16">
        <f t="shared" si="7"/>
        <v>2.4667759781673232E-3</v>
      </c>
      <c r="N43" s="16">
        <f t="shared" si="7"/>
        <v>0.33124847473797608</v>
      </c>
      <c r="O43" s="16">
        <f>SUM(C43:M43)</f>
        <v>0.66875152526202386</v>
      </c>
      <c r="P43" s="7"/>
      <c r="Q43" s="7"/>
      <c r="R43" s="7"/>
      <c r="S43" s="7" t="s">
        <v>55</v>
      </c>
      <c r="T43" s="28">
        <f>O32/1000</f>
        <v>6786.7258516156207</v>
      </c>
      <c r="U43" s="15">
        <f>P32</f>
        <v>0.39645559498525296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8">
        <f>O34/1000</f>
        <v>4144.7808888888894</v>
      </c>
      <c r="U44" s="15">
        <f>P34</f>
        <v>0.24212287475805014</v>
      </c>
    </row>
    <row r="45" spans="1:48" ht="16" x14ac:dyDescent="0.2">
      <c r="A45" s="6" t="s">
        <v>57</v>
      </c>
      <c r="B45" s="6">
        <f>B23-B39</f>
        <v>560142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5">
        <f>N39*0.08</f>
        <v>484984.4</v>
      </c>
      <c r="O45" s="24">
        <f>B45+N45</f>
        <v>1045126.4</v>
      </c>
      <c r="P45" s="7"/>
      <c r="Q45" s="7"/>
      <c r="R45" s="7"/>
      <c r="S45" s="7" t="s">
        <v>58</v>
      </c>
      <c r="T45" s="28">
        <f>SUM(T39:T44)</f>
        <v>17118.501888888892</v>
      </c>
      <c r="U45" s="14">
        <f>SUM(U39:U44)</f>
        <v>1</v>
      </c>
    </row>
    <row r="46" spans="1:48" ht="1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/>
      <c r="O46" s="6"/>
      <c r="P46" s="7"/>
      <c r="Q46" s="7"/>
      <c r="R46" s="7"/>
    </row>
    <row r="47" spans="1:48" x14ac:dyDescent="0.2">
      <c r="A47" s="38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9"/>
      <c r="Q47" s="26"/>
      <c r="R47" s="4"/>
      <c r="S47" s="4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4"/>
      <c r="AI47" s="4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2">
      <c r="A48" s="3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26"/>
      <c r="S48" s="4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4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2">
      <c r="A49" s="26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26"/>
      <c r="S49" s="4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4"/>
      <c r="AJ49" s="27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x14ac:dyDescent="0.2">
      <c r="A50" s="26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26"/>
      <c r="S50" s="4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4"/>
      <c r="AJ50" s="27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x14ac:dyDescent="0.2">
      <c r="A51" s="26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26"/>
      <c r="S51" s="4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4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x14ac:dyDescent="0.2">
      <c r="A52" s="26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26"/>
      <c r="S52" s="4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4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</row>
    <row r="53" spans="1:48" x14ac:dyDescent="0.2">
      <c r="A53" s="26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26"/>
      <c r="S53" s="4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4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</row>
    <row r="54" spans="1:48" x14ac:dyDescent="0.2">
      <c r="A54" s="26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26"/>
      <c r="S54" s="4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4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</row>
    <row r="55" spans="1:48" x14ac:dyDescent="0.2">
      <c r="A55" s="26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26"/>
      <c r="S55" s="4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4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</row>
    <row r="56" spans="1:48" x14ac:dyDescent="0.2">
      <c r="A56" s="26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26"/>
      <c r="S56" s="4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4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</row>
    <row r="57" spans="1:48" ht="16" x14ac:dyDescent="0.2">
      <c r="A57" s="7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7"/>
      <c r="S57" s="7"/>
      <c r="T57" s="6"/>
      <c r="U57" s="43"/>
    </row>
    <row r="58" spans="1:48" ht="16" x14ac:dyDescent="0.2">
      <c r="A58" s="7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7"/>
      <c r="S58" s="7"/>
      <c r="T58" s="6"/>
      <c r="U58" s="43"/>
    </row>
    <row r="59" spans="1:48" ht="16" x14ac:dyDescent="0.2">
      <c r="A59" s="7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7"/>
      <c r="S59" s="7"/>
      <c r="T59" s="6"/>
      <c r="U59" s="43"/>
    </row>
    <row r="60" spans="1:48" ht="16" x14ac:dyDescent="0.2">
      <c r="A60" s="22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7"/>
      <c r="S60" s="7"/>
      <c r="T60" s="6"/>
      <c r="U60" s="43"/>
    </row>
    <row r="61" spans="1:48" ht="16" x14ac:dyDescent="0.2">
      <c r="A61" s="7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7"/>
      <c r="S61" s="7"/>
      <c r="T61" s="31"/>
      <c r="U61" s="32"/>
    </row>
    <row r="62" spans="1:48" x14ac:dyDescent="0.2">
      <c r="A62" s="7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7"/>
      <c r="S62" s="7"/>
      <c r="T62" s="7"/>
      <c r="U62" s="6"/>
    </row>
    <row r="63" spans="1:48" x14ac:dyDescent="0.2">
      <c r="A63" s="7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43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43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43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43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43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43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44"/>
      <c r="T70" s="31"/>
      <c r="U70" s="35"/>
    </row>
  </sheetData>
  <pageMargins left="0.75" right="0.75" top="0.75" bottom="0.5" header="0.5" footer="0.75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 enableFormatConditionsCalculation="0"/>
  <dimension ref="A1:AV84"/>
  <sheetViews>
    <sheetView zoomScale="90" zoomScaleNormal="90" zoomScalePageLayoutView="90" workbookViewId="0">
      <selection activeCell="A3" sqref="A3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8" width="8.83203125" style="2"/>
    <col min="9" max="9" width="10.1640625" style="2" customWidth="1"/>
    <col min="10" max="10" width="8.83203125" style="2"/>
    <col min="11" max="11" width="10.83203125" style="2" customWidth="1"/>
    <col min="12" max="13" width="8.83203125" style="2"/>
    <col min="14" max="14" width="10.1640625" style="2" customWidth="1"/>
    <col min="15" max="15" width="11.6640625" style="2" customWidth="1"/>
    <col min="16" max="19" width="8.83203125" style="2"/>
    <col min="20" max="20" width="9.5" style="2" bestFit="1" customWidth="1"/>
    <col min="21" max="26" width="8.83203125" style="2"/>
    <col min="27" max="27" width="9.33203125" style="2" customWidth="1"/>
    <col min="28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66</v>
      </c>
      <c r="Q2" s="49"/>
      <c r="R2" s="8"/>
      <c r="AH2" s="49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73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9"/>
      <c r="R3" s="49"/>
      <c r="AH3" s="49"/>
      <c r="AI3" s="49"/>
    </row>
    <row r="4" spans="1:35" ht="16" x14ac:dyDescent="0.2">
      <c r="A4" s="49" t="s">
        <v>79</v>
      </c>
      <c r="B4" s="64">
        <f>4792*137035/(137035+14240)</f>
        <v>4340.9137002148409</v>
      </c>
      <c r="Q4" s="49"/>
      <c r="R4" s="49"/>
      <c r="AH4" s="49"/>
      <c r="AI4" s="49"/>
    </row>
    <row r="5" spans="1:35" ht="16" x14ac:dyDescent="0.2">
      <c r="A5" s="49"/>
      <c r="Q5" s="49"/>
      <c r="R5" s="49"/>
      <c r="AH5" s="49"/>
      <c r="AI5" s="49"/>
    </row>
    <row r="6" spans="1:35" ht="16" x14ac:dyDescent="0.2">
      <c r="A6" s="8" t="s">
        <v>12</v>
      </c>
      <c r="B6" s="52">
        <f>261600*0.97</f>
        <v>253752</v>
      </c>
      <c r="C6" s="56">
        <v>0</v>
      </c>
      <c r="D6" s="56">
        <v>0</v>
      </c>
      <c r="E6" s="48">
        <v>0</v>
      </c>
      <c r="F6" s="52">
        <v>0</v>
      </c>
      <c r="G6" s="52">
        <v>0</v>
      </c>
      <c r="H6" s="48">
        <v>0</v>
      </c>
      <c r="I6" s="48"/>
      <c r="J6" s="48"/>
      <c r="K6" s="48"/>
      <c r="L6" s="48"/>
      <c r="M6" s="48"/>
      <c r="N6" s="48"/>
      <c r="O6" s="56">
        <v>0</v>
      </c>
      <c r="Q6" s="49"/>
      <c r="R6" s="49"/>
      <c r="AH6" s="49"/>
      <c r="AI6" s="49"/>
    </row>
    <row r="7" spans="1:35" ht="16" x14ac:dyDescent="0.2">
      <c r="A7" s="8" t="s">
        <v>13</v>
      </c>
      <c r="B7" s="48">
        <v>434</v>
      </c>
      <c r="C7" s="48">
        <v>1814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/>
      <c r="J7" s="48"/>
      <c r="K7" s="48"/>
      <c r="L7" s="48"/>
      <c r="M7" s="48"/>
      <c r="N7" s="48"/>
      <c r="O7" s="48">
        <v>1814</v>
      </c>
      <c r="P7" s="48"/>
      <c r="Q7" s="49"/>
      <c r="R7" s="49"/>
      <c r="AH7" s="49"/>
      <c r="AI7" s="49"/>
    </row>
    <row r="8" spans="1:35" ht="16" x14ac:dyDescent="0.2">
      <c r="A8" s="8" t="s">
        <v>14</v>
      </c>
      <c r="B8" s="48">
        <v>207929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/>
      <c r="J8" s="48"/>
      <c r="K8" s="48"/>
      <c r="L8" s="48"/>
      <c r="M8" s="48"/>
      <c r="N8" s="48"/>
      <c r="O8" s="48">
        <v>0</v>
      </c>
      <c r="P8" s="48"/>
      <c r="Q8" s="49"/>
      <c r="R8" s="49"/>
      <c r="AH8" s="49"/>
      <c r="AI8" s="49"/>
    </row>
    <row r="9" spans="1:35" ht="16" x14ac:dyDescent="0.2">
      <c r="A9" s="8" t="s">
        <v>15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/>
      <c r="J9" s="48"/>
      <c r="K9" s="48"/>
      <c r="L9" s="48"/>
      <c r="M9" s="48"/>
      <c r="N9" s="48"/>
      <c r="O9" s="48">
        <v>0</v>
      </c>
      <c r="P9" s="48"/>
      <c r="Q9" s="49"/>
      <c r="R9" s="49"/>
      <c r="S9" s="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</row>
    <row r="10" spans="1:35" ht="16" x14ac:dyDescent="0.2">
      <c r="A10" s="8" t="s">
        <v>16</v>
      </c>
      <c r="B10" s="52">
        <f>SUM(B4:B9)</f>
        <v>466455.91370021482</v>
      </c>
      <c r="C10" s="56">
        <f>SUM(C6:C9)</f>
        <v>1814</v>
      </c>
      <c r="D10" s="56">
        <v>0</v>
      </c>
      <c r="E10" s="48">
        <v>0</v>
      </c>
      <c r="F10" s="52">
        <v>0</v>
      </c>
      <c r="G10" s="52">
        <v>0</v>
      </c>
      <c r="H10" s="48">
        <v>0</v>
      </c>
      <c r="I10" s="48"/>
      <c r="J10" s="48"/>
      <c r="K10" s="48"/>
      <c r="L10" s="48"/>
      <c r="M10" s="48"/>
      <c r="N10" s="48"/>
      <c r="O10" s="56">
        <f>SUM(O6:O9)</f>
        <v>1814</v>
      </c>
      <c r="P10" s="48"/>
      <c r="Q10" s="49"/>
      <c r="R10" s="49"/>
      <c r="S10" s="8"/>
      <c r="T10" s="73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9"/>
      <c r="AI10" s="49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56"/>
      <c r="P14" s="3"/>
      <c r="Q14" s="56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73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8">
        <f>980369+48030</f>
        <v>1028399</v>
      </c>
      <c r="C17" s="48">
        <v>15811</v>
      </c>
      <c r="D17" s="53">
        <f>25100+35029</f>
        <v>60129</v>
      </c>
      <c r="E17" s="48">
        <v>0</v>
      </c>
      <c r="F17" s="48">
        <v>0</v>
      </c>
      <c r="G17" s="53">
        <f>29700+25100+31874+198741</f>
        <v>285415</v>
      </c>
      <c r="H17" s="48">
        <v>0</v>
      </c>
      <c r="I17" s="48"/>
      <c r="J17" s="48"/>
      <c r="K17" s="53">
        <f>525800+590771+L32/0.9</f>
        <v>1548793.2222222222</v>
      </c>
      <c r="L17" s="48"/>
      <c r="M17" s="48"/>
      <c r="N17" s="48"/>
      <c r="O17" s="56">
        <f>SUM(C17:N17)</f>
        <v>1910148.2222222222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8">
        <v>14773</v>
      </c>
      <c r="C18" s="48">
        <v>15480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/>
      <c r="J18" s="48"/>
      <c r="K18" s="48"/>
      <c r="L18" s="48"/>
      <c r="M18" s="48"/>
      <c r="N18" s="48"/>
      <c r="O18" s="48">
        <v>15480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/>
      <c r="J19" s="48"/>
      <c r="K19" s="48"/>
      <c r="L19" s="48"/>
      <c r="M19" s="48"/>
      <c r="N19" s="48"/>
      <c r="O19" s="48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/>
      <c r="J20" s="48"/>
      <c r="K20" s="48"/>
      <c r="L20" s="48"/>
      <c r="M20" s="48"/>
      <c r="N20" s="48"/>
      <c r="O20" s="48">
        <v>0</v>
      </c>
      <c r="P20" s="3"/>
      <c r="Q20" s="3"/>
      <c r="R20" s="3"/>
      <c r="S20" s="3" t="s">
        <v>26</v>
      </c>
      <c r="T20" s="12">
        <f>O42/1000</f>
        <v>9461.5029022222225</v>
      </c>
      <c r="U20" s="3"/>
    </row>
    <row r="21" spans="1:21" ht="16" x14ac:dyDescent="0.2">
      <c r="A21" s="8" t="s">
        <v>24</v>
      </c>
      <c r="B21" s="48">
        <v>19593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/>
      <c r="J21" s="48"/>
      <c r="K21" s="48"/>
      <c r="L21" s="48"/>
      <c r="M21" s="48"/>
      <c r="N21" s="48"/>
      <c r="O21" s="48">
        <v>0</v>
      </c>
      <c r="P21" s="3"/>
      <c r="Q21" s="3"/>
      <c r="R21" s="3"/>
      <c r="S21" s="3"/>
      <c r="T21" s="3"/>
      <c r="U21" s="3"/>
    </row>
    <row r="22" spans="1:21" ht="16" x14ac:dyDescent="0.2">
      <c r="A22" s="8" t="s">
        <v>25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/>
      <c r="J22" s="48"/>
      <c r="K22" s="48"/>
      <c r="L22" s="48"/>
      <c r="M22" s="48"/>
      <c r="N22" s="48"/>
      <c r="O22" s="48">
        <v>0</v>
      </c>
      <c r="P22" s="3"/>
      <c r="Q22" s="3"/>
      <c r="R22" s="3"/>
      <c r="S22" s="3"/>
      <c r="T22" s="3" t="s">
        <v>27</v>
      </c>
      <c r="U22" s="3" t="s">
        <v>28</v>
      </c>
    </row>
    <row r="23" spans="1:21" ht="16" x14ac:dyDescent="0.2">
      <c r="A23" s="8" t="s">
        <v>16</v>
      </c>
      <c r="B23" s="48">
        <v>1062765</v>
      </c>
      <c r="C23" s="48">
        <v>31290</v>
      </c>
      <c r="D23" s="53">
        <f>SUM(D17:D22)</f>
        <v>60129</v>
      </c>
      <c r="E23" s="48">
        <v>0</v>
      </c>
      <c r="F23" s="48">
        <v>0</v>
      </c>
      <c r="G23" s="53">
        <f>SUM(G17:G22)</f>
        <v>285415</v>
      </c>
      <c r="H23" s="48">
        <v>0</v>
      </c>
      <c r="I23" s="48"/>
      <c r="J23" s="48"/>
      <c r="K23" s="53">
        <f>SUM(K17:K22)</f>
        <v>1548793.2222222222</v>
      </c>
      <c r="L23" s="48"/>
      <c r="M23" s="48"/>
      <c r="N23" s="48"/>
      <c r="O23" s="56">
        <f>SUM(O17:O22)</f>
        <v>1925628.2222222222</v>
      </c>
      <c r="P23" s="3"/>
      <c r="Q23" s="3"/>
      <c r="R23" s="3"/>
      <c r="S23" s="3" t="s">
        <v>10</v>
      </c>
      <c r="T23" s="13">
        <f>N42/1000</f>
        <v>3126.7516800000003</v>
      </c>
      <c r="U23" s="14">
        <f>N43</f>
        <v>0.33047093176556763</v>
      </c>
    </row>
    <row r="24" spans="1:21" ht="16" x14ac:dyDescent="0.2"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73</v>
      </c>
      <c r="T24" s="13">
        <f>G42/1000</f>
        <v>1086.8119999999999</v>
      </c>
      <c r="U24" s="15">
        <f>G43</f>
        <v>0.11486674064695797</v>
      </c>
    </row>
    <row r="25" spans="1:21" ht="16" x14ac:dyDescent="0.2">
      <c r="A25" s="2" t="s">
        <v>80</v>
      </c>
      <c r="B25" s="10">
        <v>40000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</v>
      </c>
      <c r="T25" s="13">
        <f>J42/1000</f>
        <v>0</v>
      </c>
      <c r="U25" s="14">
        <f>J43</f>
        <v>0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31</v>
      </c>
      <c r="T26" s="13">
        <f>F42/1000</f>
        <v>128.46700000000001</v>
      </c>
      <c r="U26" s="14">
        <f>F43</f>
        <v>1.3577864037839799E-2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56"/>
      <c r="J27" s="10"/>
      <c r="K27" s="10"/>
      <c r="L27" s="10"/>
      <c r="M27" s="10"/>
      <c r="N27" s="10"/>
      <c r="O27" s="10"/>
      <c r="P27" s="3"/>
      <c r="Q27" s="3"/>
      <c r="R27" s="3"/>
      <c r="S27" s="3" t="s">
        <v>4</v>
      </c>
      <c r="T27" s="12">
        <f>E42/1000</f>
        <v>54.86</v>
      </c>
      <c r="U27" s="14">
        <f>E43</f>
        <v>5.7982331736235095E-3</v>
      </c>
    </row>
    <row r="28" spans="1:21" ht="16" x14ac:dyDescent="0.2">
      <c r="A28" s="4" t="s">
        <v>66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2" t="s">
        <v>3</v>
      </c>
      <c r="T28" s="2">
        <f>D42/1000</f>
        <v>60.128999999999998</v>
      </c>
      <c r="U28" s="47">
        <f>D43</f>
        <v>6.3551214454394458E-3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73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75</v>
      </c>
      <c r="M29" s="6" t="s">
        <v>72</v>
      </c>
      <c r="N29" s="6" t="s">
        <v>10</v>
      </c>
      <c r="O29" s="6" t="s">
        <v>32</v>
      </c>
      <c r="P29" s="3"/>
      <c r="Q29" s="3"/>
      <c r="R29" s="3"/>
      <c r="S29" s="2" t="s">
        <v>8</v>
      </c>
      <c r="T29" s="2">
        <f>K42/1000</f>
        <v>1548.7932222222223</v>
      </c>
      <c r="U29" s="47">
        <f>K43</f>
        <v>0.16369420780481475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3" t="s">
        <v>5</v>
      </c>
      <c r="T30" s="13">
        <f>I42/1000</f>
        <v>1729.47</v>
      </c>
      <c r="U30" s="14">
        <f>I43</f>
        <v>0.18279019917584124</v>
      </c>
    </row>
    <row r="31" spans="1:21" ht="16" x14ac:dyDescent="0.2">
      <c r="A31" s="8" t="s">
        <v>33</v>
      </c>
      <c r="B31" s="48">
        <v>0</v>
      </c>
      <c r="C31" s="48">
        <v>32275</v>
      </c>
      <c r="D31" s="48">
        <v>0</v>
      </c>
      <c r="E31" s="48">
        <v>0</v>
      </c>
      <c r="F31" s="48">
        <v>2781</v>
      </c>
      <c r="G31" s="48">
        <v>0</v>
      </c>
      <c r="H31" s="48">
        <v>0</v>
      </c>
      <c r="I31" s="48"/>
      <c r="J31" s="48"/>
      <c r="K31" s="48"/>
      <c r="L31" s="48"/>
      <c r="M31" s="49"/>
      <c r="N31" s="48">
        <v>24694</v>
      </c>
      <c r="O31" s="48">
        <v>59750</v>
      </c>
      <c r="P31" s="16">
        <f>O31/O$39</f>
        <v>6.7989791631486458E-3</v>
      </c>
      <c r="Q31" s="17" t="s">
        <v>34</v>
      </c>
      <c r="R31" s="3"/>
      <c r="S31" s="10" t="str">
        <f>M29</f>
        <v>Plastrejekt</v>
      </c>
      <c r="T31" s="13">
        <f>M42/1000</f>
        <v>45</v>
      </c>
      <c r="U31" s="14">
        <f>M43</f>
        <v>4.7561154358924159E-3</v>
      </c>
    </row>
    <row r="32" spans="1:21" ht="16" x14ac:dyDescent="0.2">
      <c r="A32" s="8" t="s">
        <v>36</v>
      </c>
      <c r="B32" s="48">
        <v>65921</v>
      </c>
      <c r="C32" s="48">
        <v>68361</v>
      </c>
      <c r="D32" s="52">
        <v>0</v>
      </c>
      <c r="E32" s="48">
        <v>54860</v>
      </c>
      <c r="F32" s="52">
        <v>0</v>
      </c>
      <c r="G32" s="71">
        <f>337500+358200+38900</f>
        <v>734600</v>
      </c>
      <c r="H32" s="48">
        <v>0</v>
      </c>
      <c r="I32" s="56">
        <f>O32-N32-M32-G32-E32-C32-B32-L32</f>
        <v>1729470</v>
      </c>
      <c r="J32" s="48"/>
      <c r="K32" s="48"/>
      <c r="L32" s="71">
        <v>389000</v>
      </c>
      <c r="M32" s="70">
        <v>45000</v>
      </c>
      <c r="N32" s="52">
        <f>2171826-5300-28200</f>
        <v>2138326</v>
      </c>
      <c r="O32" s="56">
        <f>4794663+(5300+28200)/0.8+L32</f>
        <v>5225538</v>
      </c>
      <c r="P32" s="16">
        <f>O32/O$39</f>
        <v>0.5946163008910702</v>
      </c>
      <c r="Q32" s="17" t="s">
        <v>37</v>
      </c>
      <c r="R32" s="3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8">
        <v>134715</v>
      </c>
      <c r="C33" s="48">
        <v>8041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/>
      <c r="J33" s="48"/>
      <c r="K33" s="48"/>
      <c r="L33" s="48"/>
      <c r="M33" s="56"/>
      <c r="N33" s="48">
        <v>134816</v>
      </c>
      <c r="O33" s="48">
        <v>277572</v>
      </c>
      <c r="P33" s="16">
        <f>O33/O$39</f>
        <v>3.1585041745163106E-2</v>
      </c>
      <c r="Q33" s="17" t="s">
        <v>39</v>
      </c>
      <c r="R33" s="3"/>
      <c r="S33" s="3" t="s">
        <v>35</v>
      </c>
      <c r="T33" s="13">
        <f>C42/1000</f>
        <v>1681.22</v>
      </c>
      <c r="U33" s="15">
        <f>C43</f>
        <v>0.17769058651402328</v>
      </c>
    </row>
    <row r="34" spans="1:48" ht="16" x14ac:dyDescent="0.2">
      <c r="A34" s="8" t="s">
        <v>40</v>
      </c>
      <c r="B34" s="48">
        <v>0</v>
      </c>
      <c r="C34" s="48">
        <v>1441277</v>
      </c>
      <c r="D34" s="48">
        <v>0</v>
      </c>
      <c r="E34" s="48">
        <v>0</v>
      </c>
      <c r="F34" s="48">
        <v>125686</v>
      </c>
      <c r="G34" s="48">
        <v>0</v>
      </c>
      <c r="H34" s="48">
        <v>0</v>
      </c>
      <c r="I34" s="48"/>
      <c r="J34" s="48"/>
      <c r="K34" s="48"/>
      <c r="L34" s="48"/>
      <c r="M34" s="56"/>
      <c r="N34" s="48">
        <v>37921</v>
      </c>
      <c r="O34" s="48">
        <v>1604883</v>
      </c>
      <c r="P34" s="16">
        <f>O34/O$39</f>
        <v>0.18262035274128013</v>
      </c>
      <c r="Q34" s="17" t="s">
        <v>41</v>
      </c>
      <c r="R34" s="3"/>
      <c r="S34" s="3"/>
      <c r="T34" s="13">
        <f>SUM(T23:T33)</f>
        <v>9461.5029022222225</v>
      </c>
      <c r="U34" s="14">
        <f>SUM(U23:U33)</f>
        <v>0.99999999999999989</v>
      </c>
    </row>
    <row r="35" spans="1:48" ht="16" x14ac:dyDescent="0.2">
      <c r="A35" s="8" t="s">
        <v>42</v>
      </c>
      <c r="B35" s="48">
        <v>110144</v>
      </c>
      <c r="C35" s="48">
        <v>95840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/>
      <c r="J35" s="48"/>
      <c r="K35" s="48"/>
      <c r="L35" s="48"/>
      <c r="M35" s="56"/>
      <c r="N35" s="48">
        <v>443050</v>
      </c>
      <c r="O35" s="48">
        <v>649035</v>
      </c>
      <c r="P35" s="16">
        <f>O35/O$39</f>
        <v>7.3853982278731065E-2</v>
      </c>
      <c r="Q35" s="17" t="s">
        <v>43</v>
      </c>
      <c r="R35" s="17"/>
    </row>
    <row r="36" spans="1:48" ht="16" x14ac:dyDescent="0.2">
      <c r="A36" s="8" t="s">
        <v>44</v>
      </c>
      <c r="B36" s="48">
        <v>120080</v>
      </c>
      <c r="C36" s="48">
        <v>2312</v>
      </c>
      <c r="D36" s="48">
        <v>0</v>
      </c>
      <c r="E36" s="48">
        <v>0</v>
      </c>
      <c r="F36" s="48">
        <v>0</v>
      </c>
      <c r="G36" s="48">
        <v>66797</v>
      </c>
      <c r="H36" s="48">
        <v>0</v>
      </c>
      <c r="I36" s="48"/>
      <c r="J36" s="48"/>
      <c r="K36" s="48"/>
      <c r="L36" s="48"/>
      <c r="M36" s="56"/>
      <c r="N36" s="48">
        <v>248924</v>
      </c>
      <c r="O36" s="48">
        <v>438113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48">
        <v>430820</v>
      </c>
      <c r="C37" s="48">
        <v>9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/>
      <c r="J37" s="48"/>
      <c r="K37" s="48"/>
      <c r="L37" s="48"/>
      <c r="M37" s="56"/>
      <c r="N37" s="48">
        <v>66465</v>
      </c>
      <c r="O37" s="48">
        <v>497293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/>
      <c r="J38" s="48"/>
      <c r="K38" s="48"/>
      <c r="L38" s="48"/>
      <c r="M38" s="56"/>
      <c r="N38" s="48">
        <v>35900</v>
      </c>
      <c r="O38" s="48">
        <v>35900</v>
      </c>
      <c r="P38" s="17">
        <f>SUM(P31:P35)</f>
        <v>0.88947465681939308</v>
      </c>
      <c r="Q38" s="17"/>
      <c r="R38" s="3"/>
      <c r="S38" s="7" t="s">
        <v>47</v>
      </c>
      <c r="T38" s="18">
        <f>O45/1000</f>
        <v>411.49468000000002</v>
      </c>
      <c r="U38" s="7"/>
    </row>
    <row r="39" spans="1:48" ht="16" x14ac:dyDescent="0.2">
      <c r="A39" s="8" t="s">
        <v>16</v>
      </c>
      <c r="B39" s="48">
        <v>861678</v>
      </c>
      <c r="C39" s="48">
        <v>1648116</v>
      </c>
      <c r="D39" s="52">
        <v>0</v>
      </c>
      <c r="E39" s="48">
        <v>54860</v>
      </c>
      <c r="F39" s="52">
        <f>SUM(F31:F38)</f>
        <v>128467</v>
      </c>
      <c r="G39" s="56">
        <f>SUM(G31:G38)</f>
        <v>801397</v>
      </c>
      <c r="H39" s="48">
        <v>0</v>
      </c>
      <c r="I39" s="56">
        <f>SUM(I32:I38)</f>
        <v>1729470</v>
      </c>
      <c r="J39" s="48"/>
      <c r="K39" s="48"/>
      <c r="L39" s="48">
        <f>SUM(L32:L38)</f>
        <v>389000</v>
      </c>
      <c r="M39" s="70">
        <f>SUM(M32:M38)</f>
        <v>45000</v>
      </c>
      <c r="N39" s="52">
        <f>SUM(N31:N38)</f>
        <v>3130096</v>
      </c>
      <c r="O39" s="56">
        <f>SUM(O31:O38)</f>
        <v>8788084</v>
      </c>
      <c r="P39" s="3"/>
      <c r="Q39" s="3"/>
      <c r="R39" s="3"/>
      <c r="S39" s="7" t="s">
        <v>48</v>
      </c>
      <c r="T39" s="19">
        <f>O41/1000</f>
        <v>971.30600000000004</v>
      </c>
      <c r="U39" s="14">
        <f>P41</f>
        <v>0.11052534318060683</v>
      </c>
    </row>
    <row r="40" spans="1:48" x14ac:dyDescent="0.2">
      <c r="O40" s="10"/>
      <c r="S40" s="7" t="s">
        <v>49</v>
      </c>
      <c r="T40" s="19">
        <f>O35/1000</f>
        <v>649.03499999999997</v>
      </c>
      <c r="U40" s="15">
        <f>P35</f>
        <v>7.3853982278731065E-2</v>
      </c>
    </row>
    <row r="41" spans="1:48" ht="16" x14ac:dyDescent="0.2">
      <c r="A41" s="20" t="s">
        <v>50</v>
      </c>
      <c r="B41" s="21">
        <f>B38+B37+B36</f>
        <v>550900</v>
      </c>
      <c r="C41" s="21">
        <f t="shared" ref="C41:O41" si="0">C38+C37+C36</f>
        <v>2321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66797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0</v>
      </c>
      <c r="N41" s="21">
        <f t="shared" si="0"/>
        <v>351289</v>
      </c>
      <c r="O41" s="21">
        <f t="shared" si="0"/>
        <v>971306</v>
      </c>
      <c r="P41" s="16">
        <f>O41/O$39</f>
        <v>0.11052534318060683</v>
      </c>
      <c r="Q41" s="16" t="s">
        <v>51</v>
      </c>
      <c r="R41" s="7"/>
      <c r="S41" s="7" t="s">
        <v>52</v>
      </c>
      <c r="T41" s="19">
        <f>O33/1000</f>
        <v>277.572</v>
      </c>
      <c r="U41" s="14">
        <f>P33</f>
        <v>3.1585041745163106E-2</v>
      </c>
    </row>
    <row r="42" spans="1:48" ht="16" x14ac:dyDescent="0.2">
      <c r="A42" s="22" t="s">
        <v>53</v>
      </c>
      <c r="B42" s="21"/>
      <c r="C42" s="23">
        <f>C39+C23+C10</f>
        <v>1681220</v>
      </c>
      <c r="D42" s="23">
        <f t="shared" ref="D42:M42" si="1">D39+D23+D10</f>
        <v>60129</v>
      </c>
      <c r="E42" s="23">
        <f t="shared" si="1"/>
        <v>54860</v>
      </c>
      <c r="F42" s="23">
        <f t="shared" si="1"/>
        <v>128467</v>
      </c>
      <c r="G42" s="23">
        <f t="shared" si="1"/>
        <v>1086812</v>
      </c>
      <c r="H42" s="23">
        <f t="shared" si="1"/>
        <v>0</v>
      </c>
      <c r="I42" s="23">
        <f t="shared" si="1"/>
        <v>1729470</v>
      </c>
      <c r="J42" s="23">
        <f t="shared" si="1"/>
        <v>0</v>
      </c>
      <c r="K42" s="23">
        <f t="shared" si="1"/>
        <v>1548793.2222222222</v>
      </c>
      <c r="L42" s="21">
        <v>0</v>
      </c>
      <c r="M42" s="23">
        <f t="shared" si="1"/>
        <v>45000</v>
      </c>
      <c r="N42" s="23">
        <f>N39+N23-B6+N45</f>
        <v>3126751.68</v>
      </c>
      <c r="O42" s="24">
        <f>SUM(C42:N42)</f>
        <v>9461502.9022222217</v>
      </c>
      <c r="P42" s="7"/>
      <c r="Q42" s="7"/>
      <c r="R42" s="7"/>
      <c r="S42" s="7" t="s">
        <v>34</v>
      </c>
      <c r="T42" s="19">
        <f>O31/1000</f>
        <v>59.75</v>
      </c>
      <c r="U42" s="14">
        <f>P31</f>
        <v>6.7989791631486458E-3</v>
      </c>
    </row>
    <row r="43" spans="1:48" ht="16" x14ac:dyDescent="0.2">
      <c r="A43" s="22" t="s">
        <v>54</v>
      </c>
      <c r="B43" s="21"/>
      <c r="C43" s="16">
        <f t="shared" ref="C43:N43" si="2">C42/$O42</f>
        <v>0.17769058651402328</v>
      </c>
      <c r="D43" s="16">
        <f t="shared" si="2"/>
        <v>6.3551214454394458E-3</v>
      </c>
      <c r="E43" s="16">
        <f t="shared" si="2"/>
        <v>5.7982331736235095E-3</v>
      </c>
      <c r="F43" s="16">
        <f t="shared" si="2"/>
        <v>1.3577864037839799E-2</v>
      </c>
      <c r="G43" s="16">
        <f t="shared" si="2"/>
        <v>0.11486674064695797</v>
      </c>
      <c r="H43" s="16">
        <f t="shared" si="2"/>
        <v>0</v>
      </c>
      <c r="I43" s="16">
        <f t="shared" si="2"/>
        <v>0.18279019917584124</v>
      </c>
      <c r="J43" s="16">
        <f t="shared" si="2"/>
        <v>0</v>
      </c>
      <c r="K43" s="16">
        <f t="shared" si="2"/>
        <v>0.16369420780481475</v>
      </c>
      <c r="L43" s="16">
        <f t="shared" si="2"/>
        <v>0</v>
      </c>
      <c r="M43" s="16">
        <f t="shared" si="2"/>
        <v>4.7561154358924159E-3</v>
      </c>
      <c r="N43" s="16">
        <f t="shared" si="2"/>
        <v>0.33047093176556763</v>
      </c>
      <c r="O43" s="16">
        <f>SUM(C43:N43)</f>
        <v>1</v>
      </c>
      <c r="P43" s="7"/>
      <c r="Q43" s="7"/>
      <c r="R43" s="7"/>
      <c r="S43" s="7" t="s">
        <v>55</v>
      </c>
      <c r="T43" s="19">
        <f>O32/1000</f>
        <v>5225.5379999999996</v>
      </c>
      <c r="U43" s="15">
        <f>P32</f>
        <v>0.5946163008910702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1604.883</v>
      </c>
      <c r="U44" s="15">
        <f>P34</f>
        <v>0.18262035274128013</v>
      </c>
    </row>
    <row r="45" spans="1:48" ht="16" x14ac:dyDescent="0.2">
      <c r="A45" s="6" t="s">
        <v>57</v>
      </c>
      <c r="B45" s="6">
        <f>B23-B39-B25</f>
        <v>161087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5">
        <f>N39*0.08</f>
        <v>250407.67999999999</v>
      </c>
      <c r="O45" s="24">
        <f>B45+N45</f>
        <v>411494.68</v>
      </c>
      <c r="P45" s="7"/>
      <c r="Q45" s="7"/>
      <c r="R45" s="7"/>
      <c r="S45" s="7" t="s">
        <v>58</v>
      </c>
      <c r="T45" s="19">
        <f>SUM(T39:T44)</f>
        <v>8788.0839999999989</v>
      </c>
      <c r="U45" s="14">
        <f>SUM(U39:U44)</f>
        <v>1</v>
      </c>
    </row>
    <row r="46" spans="1:48" ht="16" x14ac:dyDescent="0.2">
      <c r="A46" s="6"/>
      <c r="B46" s="41">
        <f>B45/B23</f>
        <v>0.15157348990604697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/>
      <c r="O46" s="6"/>
      <c r="P46" s="7"/>
      <c r="Q46" s="7"/>
      <c r="R46" s="7"/>
    </row>
    <row r="47" spans="1:48" x14ac:dyDescent="0.2">
      <c r="A47" s="4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4"/>
      <c r="S47" s="4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4"/>
      <c r="AI47" s="4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2">
      <c r="B48" s="26"/>
      <c r="C48" s="26"/>
      <c r="D48" s="26"/>
      <c r="E48" s="27"/>
      <c r="F48" s="26"/>
      <c r="G48" s="27"/>
      <c r="H48" s="27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4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4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4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4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16" x14ac:dyDescent="0.2">
      <c r="A50" s="51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4"/>
      <c r="N50" s="6"/>
      <c r="O50" s="26"/>
      <c r="P50" s="26"/>
      <c r="Q50" s="26"/>
      <c r="R50" s="6"/>
      <c r="S50" s="6"/>
      <c r="T50" s="6"/>
      <c r="U50" s="6"/>
      <c r="V50" s="6"/>
      <c r="W50" s="6"/>
      <c r="X50" s="6"/>
      <c r="Y50" s="6"/>
      <c r="Z50" s="6"/>
      <c r="AA50" s="6"/>
      <c r="AB50" s="26"/>
      <c r="AC50" s="26"/>
      <c r="AD50" s="26"/>
      <c r="AE50" s="26"/>
      <c r="AF50" s="26"/>
      <c r="AG50" s="26"/>
      <c r="AH50" s="26"/>
      <c r="AI50" s="4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ht="16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4"/>
      <c r="N51" s="48"/>
      <c r="O51" s="26"/>
      <c r="P51" s="26"/>
      <c r="Q51" s="26"/>
      <c r="R51" s="48"/>
      <c r="S51" s="48"/>
      <c r="T51" s="61"/>
      <c r="U51" s="48"/>
      <c r="V51" s="48"/>
      <c r="W51" s="48"/>
      <c r="X51" s="64"/>
      <c r="Y51" s="48"/>
      <c r="Z51" s="48"/>
      <c r="AA51" s="48"/>
      <c r="AB51" s="48"/>
      <c r="AC51" s="48"/>
      <c r="AD51" s="48"/>
      <c r="AE51" s="26"/>
      <c r="AF51" s="26"/>
      <c r="AG51" s="26"/>
      <c r="AH51" s="26"/>
      <c r="AI51" s="4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ht="16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4"/>
      <c r="N52" s="4"/>
      <c r="O52" s="26"/>
      <c r="P52" s="26"/>
      <c r="Q52" s="26"/>
      <c r="R52" s="9"/>
      <c r="S52" s="9"/>
      <c r="T52" s="9"/>
      <c r="U52" s="9"/>
      <c r="V52" s="9"/>
      <c r="W52" s="9"/>
      <c r="X52" s="9"/>
      <c r="Y52" s="26"/>
      <c r="Z52" s="9"/>
      <c r="AA52" s="48"/>
      <c r="AB52" s="26"/>
      <c r="AC52" s="26"/>
      <c r="AD52" s="26"/>
      <c r="AE52" s="26"/>
      <c r="AF52" s="26"/>
      <c r="AG52" s="26"/>
      <c r="AH52" s="26"/>
      <c r="AI52" s="4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</row>
    <row r="53" spans="1:48" ht="16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4"/>
      <c r="N53" s="4"/>
      <c r="O53" s="9"/>
      <c r="P53" s="9"/>
      <c r="Q53" s="9"/>
      <c r="R53" s="9"/>
      <c r="S53" s="9"/>
      <c r="T53" s="9"/>
      <c r="U53" s="9"/>
      <c r="V53" s="9"/>
      <c r="X53" s="9"/>
      <c r="Y53" s="26"/>
      <c r="Z53" s="9"/>
      <c r="AA53" s="48"/>
      <c r="AB53" s="26"/>
      <c r="AC53" s="26"/>
      <c r="AD53" s="26"/>
      <c r="AE53" s="26"/>
      <c r="AF53" s="26"/>
      <c r="AG53" s="26"/>
      <c r="AH53" s="26"/>
      <c r="AI53" s="4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</row>
    <row r="54" spans="1:48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4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4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</row>
    <row r="55" spans="1:48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4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4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</row>
    <row r="56" spans="1:48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4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4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</row>
    <row r="57" spans="1:48" x14ac:dyDescent="0.2">
      <c r="A57" s="26"/>
      <c r="B57" s="4"/>
      <c r="C57" s="26"/>
      <c r="D57" s="26"/>
      <c r="E57" s="27"/>
      <c r="F57" s="26"/>
      <c r="G57" s="27"/>
      <c r="H57" s="27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4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4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</row>
    <row r="58" spans="1:48" x14ac:dyDescent="0.2">
      <c r="D58" s="26"/>
      <c r="E58" s="27"/>
      <c r="F58" s="26"/>
      <c r="G58" s="27"/>
      <c r="H58" s="27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4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4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</row>
    <row r="59" spans="1:48" ht="16" x14ac:dyDescent="0.2">
      <c r="A59" s="7"/>
      <c r="B59" s="7"/>
      <c r="E59" s="19"/>
      <c r="F59" s="28"/>
      <c r="G59" s="28"/>
      <c r="H59" s="28"/>
      <c r="I59" s="28"/>
      <c r="J59" s="28"/>
      <c r="K59" s="28"/>
      <c r="L59" s="6"/>
      <c r="M59" s="29"/>
      <c r="N59" s="29"/>
      <c r="O59" s="7"/>
      <c r="P59" s="6"/>
      <c r="Q59" s="14"/>
      <c r="R59" s="7"/>
      <c r="S59" s="7"/>
      <c r="T59" s="6"/>
      <c r="U59" s="30"/>
    </row>
    <row r="60" spans="1:48" ht="16" x14ac:dyDescent="0.2">
      <c r="A60" s="7"/>
      <c r="B60" s="7"/>
      <c r="E60" s="28"/>
      <c r="F60" s="28"/>
      <c r="G60" s="28"/>
      <c r="H60" s="28"/>
      <c r="I60" s="28"/>
      <c r="J60" s="28"/>
      <c r="K60" s="28"/>
      <c r="L60" s="6"/>
      <c r="M60" s="29"/>
      <c r="N60" s="29"/>
      <c r="O60" s="7"/>
      <c r="P60" s="6"/>
      <c r="Q60" s="14"/>
      <c r="R60" s="7"/>
      <c r="S60" s="7"/>
      <c r="T60" s="6"/>
      <c r="U60" s="30"/>
    </row>
    <row r="61" spans="1:48" ht="16" x14ac:dyDescent="0.2">
      <c r="A61" s="7"/>
      <c r="B61" s="7"/>
      <c r="C61" s="28"/>
      <c r="D61" s="28"/>
      <c r="E61" s="28"/>
      <c r="F61" s="28"/>
      <c r="G61" s="28"/>
      <c r="H61" s="28"/>
      <c r="I61" s="28"/>
      <c r="J61" s="28"/>
      <c r="K61" s="28"/>
      <c r="L61" s="6"/>
      <c r="M61" s="29"/>
      <c r="N61" s="29"/>
      <c r="O61" s="7"/>
      <c r="P61" s="6"/>
      <c r="Q61" s="14"/>
      <c r="R61" s="7"/>
      <c r="S61" s="7"/>
      <c r="T61" s="6"/>
      <c r="U61" s="30"/>
    </row>
    <row r="62" spans="1:48" ht="16" x14ac:dyDescent="0.2">
      <c r="A62" s="22"/>
      <c r="B62" s="7"/>
      <c r="C62" s="28"/>
      <c r="D62" s="28"/>
      <c r="E62" s="28"/>
      <c r="F62" s="28"/>
      <c r="G62" s="28"/>
      <c r="H62" s="28"/>
      <c r="I62" s="28"/>
      <c r="J62" s="28"/>
      <c r="K62" s="28"/>
      <c r="L62" s="6"/>
      <c r="M62" s="29"/>
      <c r="N62" s="29"/>
      <c r="O62" s="7"/>
      <c r="P62" s="6"/>
      <c r="Q62" s="14"/>
      <c r="R62" s="7"/>
      <c r="S62" s="7"/>
      <c r="T62" s="6"/>
      <c r="U62" s="30"/>
    </row>
    <row r="63" spans="1:48" ht="16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6"/>
      <c r="M63" s="29"/>
      <c r="N63" s="29"/>
      <c r="O63" s="7"/>
      <c r="P63" s="6"/>
      <c r="Q63" s="14"/>
      <c r="R63" s="7"/>
      <c r="S63" s="7"/>
      <c r="T63" s="31"/>
      <c r="U63" s="32"/>
    </row>
    <row r="64" spans="1:48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6"/>
    </row>
    <row r="65" spans="1:21" x14ac:dyDescent="0.2">
      <c r="A65" s="7"/>
      <c r="B65" s="33"/>
      <c r="C65" s="33"/>
      <c r="D65" s="33"/>
      <c r="E65" s="33"/>
      <c r="F65" s="33"/>
      <c r="G65" s="33"/>
      <c r="H65" s="33"/>
      <c r="I65" s="33"/>
      <c r="J65" s="7"/>
      <c r="K65" s="7"/>
      <c r="L65" s="7"/>
      <c r="M65" s="7"/>
      <c r="N65" s="7"/>
      <c r="O65" s="7"/>
      <c r="P65" s="7"/>
      <c r="Q65" s="7"/>
      <c r="R65" s="7"/>
      <c r="S65" s="7"/>
      <c r="T65" s="33"/>
      <c r="U65" s="34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41"/>
      <c r="C68" s="41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6"/>
      <c r="C70" s="6"/>
      <c r="D70" s="6"/>
      <c r="E70" s="6"/>
      <c r="F70" s="6"/>
      <c r="G70" s="6"/>
      <c r="H70" s="6"/>
      <c r="I70" s="6"/>
      <c r="J70" s="7"/>
      <c r="K70" s="7"/>
      <c r="L70" s="7"/>
      <c r="M70" s="7"/>
      <c r="N70" s="7"/>
      <c r="O70" s="7"/>
      <c r="P70" s="6"/>
      <c r="Q70" s="29"/>
      <c r="R70" s="7"/>
      <c r="S70" s="7"/>
      <c r="T70" s="6"/>
      <c r="U70" s="30"/>
    </row>
    <row r="71" spans="1:21" ht="16" x14ac:dyDescent="0.2">
      <c r="A71" s="7"/>
      <c r="B71" s="6"/>
      <c r="C71" s="6"/>
      <c r="D71" s="6"/>
      <c r="E71" s="6"/>
      <c r="F71" s="6"/>
      <c r="G71" s="6"/>
      <c r="H71" s="6"/>
      <c r="I71" s="6"/>
      <c r="J71" s="7"/>
      <c r="K71" s="7"/>
      <c r="L71" s="7"/>
      <c r="M71" s="7"/>
      <c r="N71" s="7"/>
      <c r="O71" s="7"/>
      <c r="P71" s="6"/>
      <c r="Q71" s="29"/>
      <c r="R71" s="7"/>
      <c r="S71" s="7"/>
      <c r="T71" s="6"/>
      <c r="U71" s="30"/>
    </row>
    <row r="72" spans="1:21" ht="16" x14ac:dyDescent="0.2">
      <c r="A72" s="7"/>
      <c r="B72" s="6"/>
      <c r="C72" s="6"/>
      <c r="D72" s="6"/>
      <c r="E72" s="6"/>
      <c r="F72" s="6"/>
      <c r="G72" s="6"/>
      <c r="H72" s="6"/>
      <c r="I72" s="6"/>
      <c r="J72" s="7"/>
      <c r="K72" s="7"/>
      <c r="L72" s="7"/>
      <c r="M72" s="7"/>
      <c r="N72" s="7"/>
      <c r="O72" s="7"/>
      <c r="P72" s="6"/>
      <c r="Q72" s="29"/>
      <c r="R72" s="7"/>
      <c r="S72" s="7"/>
      <c r="T72" s="6"/>
      <c r="U72" s="30"/>
    </row>
    <row r="73" spans="1:21" ht="16" x14ac:dyDescent="0.2">
      <c r="A73" s="7"/>
      <c r="B73" s="31"/>
      <c r="C73" s="22"/>
      <c r="D73" s="31"/>
      <c r="E73" s="31"/>
      <c r="F73" s="31"/>
      <c r="G73" s="31"/>
      <c r="H73" s="31"/>
      <c r="I73" s="31"/>
      <c r="J73" s="7"/>
      <c r="K73" s="7"/>
      <c r="L73" s="7"/>
      <c r="M73" s="7"/>
      <c r="N73" s="7"/>
      <c r="O73" s="7"/>
      <c r="P73" s="31"/>
      <c r="Q73" s="35"/>
      <c r="R73" s="7"/>
      <c r="S73" s="36"/>
      <c r="T73" s="31"/>
      <c r="U73" s="35"/>
    </row>
    <row r="74" spans="1:21" x14ac:dyDescent="0.2">
      <c r="C74" s="10"/>
    </row>
    <row r="76" spans="1:21" x14ac:dyDescent="0.2">
      <c r="C76" s="39"/>
    </row>
    <row r="77" spans="1:21" x14ac:dyDescent="0.2">
      <c r="C77" s="10"/>
    </row>
    <row r="79" spans="1:21" x14ac:dyDescent="0.2">
      <c r="B79" s="10"/>
    </row>
    <row r="81" spans="12:13" ht="18" thickBot="1" x14ac:dyDescent="0.25">
      <c r="L81" s="67"/>
      <c r="M81" s="68"/>
    </row>
    <row r="82" spans="12:13" ht="18" thickBot="1" x14ac:dyDescent="0.25">
      <c r="L82" s="67"/>
      <c r="M82" s="68"/>
    </row>
    <row r="84" spans="12:13" x14ac:dyDescent="0.2">
      <c r="M84" s="61"/>
    </row>
  </sheetData>
  <pageMargins left="0.75" right="0.75" top="0.75" bottom="0.5" header="0.5" footer="0.75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 enableFormatConditionsCalculation="0"/>
  <dimension ref="A1:AV70"/>
  <sheetViews>
    <sheetView zoomScale="90" zoomScaleNormal="90" zoomScalePageLayoutView="90" workbookViewId="0">
      <selection activeCell="A3" sqref="A3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15" width="8.83203125" style="2"/>
    <col min="16" max="16" width="11.1640625" style="2" bestFit="1" customWidth="1"/>
    <col min="17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67</v>
      </c>
      <c r="Q2" s="49"/>
      <c r="R2" s="8"/>
      <c r="AH2" s="49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73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9"/>
      <c r="R3" s="49"/>
      <c r="AH3" s="49"/>
      <c r="AI3" s="49"/>
    </row>
    <row r="4" spans="1:35" ht="16" x14ac:dyDescent="0.2">
      <c r="A4" s="49" t="s">
        <v>79</v>
      </c>
      <c r="B4" s="64">
        <f>4792*14240/(137035+14240)</f>
        <v>451.0862997851595</v>
      </c>
      <c r="Q4" s="49"/>
      <c r="R4" s="49"/>
      <c r="AH4" s="49"/>
      <c r="AI4" s="49"/>
    </row>
    <row r="5" spans="1:35" ht="16" x14ac:dyDescent="0.2">
      <c r="A5" s="49"/>
      <c r="Q5" s="49"/>
      <c r="R5" s="49"/>
      <c r="AH5" s="49"/>
      <c r="AI5" s="49"/>
    </row>
    <row r="6" spans="1:35" ht="16" x14ac:dyDescent="0.2">
      <c r="A6" s="8" t="s">
        <v>12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/>
      <c r="J6" s="48"/>
      <c r="K6" s="48"/>
      <c r="L6" s="48"/>
      <c r="M6" s="48"/>
      <c r="N6" s="48"/>
      <c r="O6" s="48">
        <v>0</v>
      </c>
      <c r="Q6" s="49"/>
      <c r="R6" s="49"/>
      <c r="AH6" s="49"/>
      <c r="AI6" s="49"/>
    </row>
    <row r="7" spans="1:35" ht="16" x14ac:dyDescent="0.2">
      <c r="A7" s="8" t="s">
        <v>13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/>
      <c r="J7" s="48"/>
      <c r="K7" s="48"/>
      <c r="L7" s="48"/>
      <c r="M7" s="48"/>
      <c r="N7" s="48"/>
      <c r="O7" s="48">
        <v>0</v>
      </c>
      <c r="P7" s="48"/>
      <c r="Q7" s="49"/>
      <c r="R7" s="49"/>
      <c r="AH7" s="49"/>
      <c r="AI7" s="49"/>
    </row>
    <row r="8" spans="1:35" ht="16" x14ac:dyDescent="0.2">
      <c r="A8" s="8" t="s">
        <v>14</v>
      </c>
      <c r="B8" s="48">
        <v>4698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/>
      <c r="J8" s="48"/>
      <c r="K8" s="48"/>
      <c r="L8" s="48"/>
      <c r="M8" s="48"/>
      <c r="N8" s="48"/>
      <c r="O8" s="48">
        <v>0</v>
      </c>
      <c r="P8" s="48"/>
      <c r="Q8" s="49"/>
      <c r="R8" s="49"/>
      <c r="AH8" s="49"/>
      <c r="AI8" s="49"/>
    </row>
    <row r="9" spans="1:35" ht="16" x14ac:dyDescent="0.2">
      <c r="A9" s="8" t="s">
        <v>15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/>
      <c r="J9" s="48"/>
      <c r="K9" s="48"/>
      <c r="L9" s="48"/>
      <c r="M9" s="48"/>
      <c r="N9" s="48"/>
      <c r="O9" s="48">
        <v>0</v>
      </c>
      <c r="P9" s="48"/>
      <c r="Q9" s="49"/>
      <c r="R9" s="49"/>
      <c r="S9" s="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</row>
    <row r="10" spans="1:35" ht="16" x14ac:dyDescent="0.2">
      <c r="A10" s="8" t="s">
        <v>16</v>
      </c>
      <c r="B10" s="56">
        <f>SUM(B4:B9)</f>
        <v>5149.0862997851591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/>
      <c r="J10" s="48"/>
      <c r="K10" s="48"/>
      <c r="L10" s="48"/>
      <c r="M10" s="48"/>
      <c r="N10" s="48"/>
      <c r="O10" s="48">
        <v>0</v>
      </c>
      <c r="P10" s="48"/>
      <c r="Q10" s="49"/>
      <c r="R10" s="49"/>
      <c r="S10" s="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9"/>
      <c r="AI10" s="49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73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/>
      <c r="J17" s="48"/>
      <c r="K17" s="48"/>
      <c r="L17" s="48"/>
      <c r="M17" s="48"/>
      <c r="N17" s="48"/>
      <c r="O17" s="48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/>
      <c r="J18" s="48"/>
      <c r="K18" s="48"/>
      <c r="L18" s="48"/>
      <c r="M18" s="48"/>
      <c r="N18" s="48"/>
      <c r="O18" s="48">
        <v>0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/>
      <c r="J19" s="48"/>
      <c r="K19" s="48"/>
      <c r="L19" s="48"/>
      <c r="M19" s="48"/>
      <c r="N19" s="48"/>
      <c r="O19" s="48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/>
      <c r="J20" s="48"/>
      <c r="K20" s="48"/>
      <c r="L20" s="48"/>
      <c r="M20" s="48"/>
      <c r="N20" s="48"/>
      <c r="O20" s="48">
        <v>0</v>
      </c>
      <c r="P20" s="3"/>
      <c r="Q20" s="3"/>
      <c r="R20" s="3"/>
      <c r="S20" s="3" t="s">
        <v>26</v>
      </c>
      <c r="T20" s="12">
        <f>O42/1000</f>
        <v>281.86418882576993</v>
      </c>
      <c r="U20" s="3"/>
    </row>
    <row r="21" spans="1:21" ht="16" x14ac:dyDescent="0.2">
      <c r="A21" s="8" t="s">
        <v>24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/>
      <c r="J21" s="48"/>
      <c r="K21" s="48"/>
      <c r="L21" s="48"/>
      <c r="M21" s="48"/>
      <c r="N21" s="48"/>
      <c r="O21" s="48">
        <v>0</v>
      </c>
      <c r="P21" s="3"/>
      <c r="Q21" s="3"/>
      <c r="R21" s="3"/>
      <c r="S21" s="3"/>
      <c r="T21" s="3"/>
      <c r="U21" s="3"/>
    </row>
    <row r="22" spans="1:21" ht="16" x14ac:dyDescent="0.2">
      <c r="A22" s="8" t="s">
        <v>25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/>
      <c r="J22" s="48"/>
      <c r="K22" s="48"/>
      <c r="L22" s="48"/>
      <c r="M22" s="48"/>
      <c r="N22" s="48"/>
      <c r="O22" s="48">
        <v>0</v>
      </c>
      <c r="P22" s="3"/>
      <c r="Q22" s="3"/>
      <c r="R22" s="3"/>
      <c r="S22" s="3"/>
      <c r="T22" s="3" t="s">
        <v>27</v>
      </c>
      <c r="U22" s="3" t="s">
        <v>28</v>
      </c>
    </row>
    <row r="23" spans="1:21" ht="16" x14ac:dyDescent="0.2">
      <c r="A23" s="8" t="s">
        <v>16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/>
      <c r="J23" s="48"/>
      <c r="K23" s="48"/>
      <c r="L23" s="48"/>
      <c r="M23" s="48"/>
      <c r="N23" s="48"/>
      <c r="O23" s="48">
        <v>0</v>
      </c>
      <c r="P23" s="3"/>
      <c r="Q23" s="3"/>
      <c r="R23" s="3"/>
      <c r="S23" s="3" t="s">
        <v>10</v>
      </c>
      <c r="T23" s="13">
        <f>N42/1000</f>
        <v>130.87008</v>
      </c>
      <c r="U23" s="14">
        <f>N43</f>
        <v>0.46430190562766155</v>
      </c>
    </row>
    <row r="24" spans="1:21" ht="16" x14ac:dyDescent="0.2">
      <c r="A24" s="2" t="s">
        <v>78</v>
      </c>
      <c r="B24" s="69">
        <v>40000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73</v>
      </c>
      <c r="T24" s="13">
        <f>G42/1000</f>
        <v>28.135000000000002</v>
      </c>
      <c r="U24" s="15">
        <f>G43</f>
        <v>9.9817575681425866E-2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</v>
      </c>
      <c r="T25" s="13">
        <f>J42/1000</f>
        <v>0</v>
      </c>
      <c r="U25" s="14">
        <f>J43</f>
        <v>0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31</v>
      </c>
      <c r="T26" s="13">
        <f>F42/1000</f>
        <v>8.8230000000000004</v>
      </c>
      <c r="U26" s="14">
        <f>F43</f>
        <v>3.1302309231818745E-2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4</v>
      </c>
      <c r="T27" s="12">
        <f>E42/1000</f>
        <v>0.3001088257699423</v>
      </c>
      <c r="U27" s="14">
        <f>E43</f>
        <v>1.0647284673522327E-3</v>
      </c>
    </row>
    <row r="28" spans="1:21" ht="16" x14ac:dyDescent="0.2">
      <c r="A28" s="4" t="s">
        <v>67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2" t="s">
        <v>3</v>
      </c>
      <c r="T28" s="2">
        <f>D42/1000</f>
        <v>0</v>
      </c>
      <c r="U28" s="47">
        <f>D43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73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8</v>
      </c>
      <c r="T29" s="2">
        <f>K42/1000</f>
        <v>0</v>
      </c>
      <c r="U29" s="47">
        <f>K43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3" t="s">
        <v>5</v>
      </c>
      <c r="T30" s="13">
        <f>I42/1000</f>
        <v>0</v>
      </c>
      <c r="U30" s="14">
        <f>I43</f>
        <v>0</v>
      </c>
    </row>
    <row r="31" spans="1:21" ht="16" x14ac:dyDescent="0.2">
      <c r="A31" s="8" t="s">
        <v>33</v>
      </c>
      <c r="B31" s="48">
        <v>0</v>
      </c>
      <c r="C31" s="48">
        <v>10656</v>
      </c>
      <c r="D31" s="48">
        <v>0</v>
      </c>
      <c r="E31" s="48">
        <v>0</v>
      </c>
      <c r="F31" s="48">
        <v>947</v>
      </c>
      <c r="G31" s="48">
        <v>0</v>
      </c>
      <c r="H31" s="48">
        <v>0</v>
      </c>
      <c r="I31" s="48"/>
      <c r="J31" s="48"/>
      <c r="K31" s="48"/>
      <c r="L31" s="48"/>
      <c r="M31" s="49"/>
      <c r="N31" s="48">
        <v>9957</v>
      </c>
      <c r="O31" s="48">
        <v>21560</v>
      </c>
      <c r="P31" s="16">
        <f>O31/O$39</f>
        <v>6.9801901110984957E-2</v>
      </c>
      <c r="Q31" s="17" t="s">
        <v>34</v>
      </c>
      <c r="R31" s="3"/>
      <c r="S31" s="10" t="str">
        <f>M29</f>
        <v>Övrigt</v>
      </c>
      <c r="T31" s="13">
        <f>M42/1000</f>
        <v>0</v>
      </c>
      <c r="U31" s="14">
        <f>M43</f>
        <v>0</v>
      </c>
    </row>
    <row r="32" spans="1:21" ht="16" x14ac:dyDescent="0.2">
      <c r="A32" s="8" t="s">
        <v>36</v>
      </c>
      <c r="B32" s="48">
        <v>6713</v>
      </c>
      <c r="C32" s="48">
        <v>154</v>
      </c>
      <c r="D32" s="48">
        <v>0</v>
      </c>
      <c r="E32" s="52">
        <f>11990*230/(230+8959)</f>
        <v>300.10882576994231</v>
      </c>
      <c r="F32" s="48">
        <v>0</v>
      </c>
      <c r="G32" s="48">
        <v>0</v>
      </c>
      <c r="H32" s="48">
        <v>0</v>
      </c>
      <c r="I32" s="48"/>
      <c r="J32" s="48"/>
      <c r="K32" s="48"/>
      <c r="L32" s="48"/>
      <c r="M32" s="49"/>
      <c r="N32" s="48">
        <v>11220</v>
      </c>
      <c r="O32" s="52">
        <f>SUM(B32:N32)</f>
        <v>18387.108825769941</v>
      </c>
      <c r="P32" s="16">
        <f>O32/O$39</f>
        <v>5.9529459739021892E-2</v>
      </c>
      <c r="Q32" s="17" t="s">
        <v>37</v>
      </c>
      <c r="R32" s="3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8">
        <v>5997</v>
      </c>
      <c r="C33" s="48">
        <v>78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/>
      <c r="J33" s="48"/>
      <c r="K33" s="48"/>
      <c r="L33" s="48"/>
      <c r="M33" s="49"/>
      <c r="N33" s="48">
        <v>12145</v>
      </c>
      <c r="O33" s="48">
        <v>18220</v>
      </c>
      <c r="P33" s="16">
        <f>O33/O$39</f>
        <v>5.8988434055758154E-2</v>
      </c>
      <c r="Q33" s="17" t="s">
        <v>39</v>
      </c>
      <c r="R33" s="3"/>
      <c r="S33" s="3" t="s">
        <v>35</v>
      </c>
      <c r="T33" s="13">
        <f>C42/1000</f>
        <v>113.736</v>
      </c>
      <c r="U33" s="15">
        <f>C43</f>
        <v>0.40351348099174167</v>
      </c>
    </row>
    <row r="34" spans="1:48" ht="16" x14ac:dyDescent="0.2">
      <c r="A34" s="8" t="s">
        <v>40</v>
      </c>
      <c r="B34" s="48">
        <v>0</v>
      </c>
      <c r="C34" s="48">
        <v>100009</v>
      </c>
      <c r="D34" s="48">
        <v>0</v>
      </c>
      <c r="E34" s="48">
        <v>0</v>
      </c>
      <c r="F34" s="48">
        <v>7876</v>
      </c>
      <c r="G34" s="48">
        <v>0</v>
      </c>
      <c r="H34" s="48">
        <v>0</v>
      </c>
      <c r="I34" s="48"/>
      <c r="J34" s="48"/>
      <c r="K34" s="48"/>
      <c r="L34" s="48"/>
      <c r="M34" s="49"/>
      <c r="N34" s="48">
        <v>0</v>
      </c>
      <c r="O34" s="48">
        <v>107885</v>
      </c>
      <c r="P34" s="16">
        <f>O34/O$39</f>
        <v>0.3492846985787853</v>
      </c>
      <c r="Q34" s="17" t="s">
        <v>41</v>
      </c>
      <c r="R34" s="3"/>
      <c r="S34" s="3"/>
      <c r="T34" s="13">
        <f>SUM(T23:T33)</f>
        <v>281.86418882576993</v>
      </c>
      <c r="U34" s="14">
        <f>SUM(U23:U33)</f>
        <v>1</v>
      </c>
    </row>
    <row r="35" spans="1:48" ht="16" x14ac:dyDescent="0.2">
      <c r="A35" s="8" t="s">
        <v>42</v>
      </c>
      <c r="B35" s="48">
        <v>3161</v>
      </c>
      <c r="C35" s="48">
        <v>2230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/>
      <c r="J35" s="48"/>
      <c r="K35" s="48"/>
      <c r="L35" s="48"/>
      <c r="M35" s="49"/>
      <c r="N35" s="48">
        <v>19422</v>
      </c>
      <c r="O35" s="48">
        <v>24814</v>
      </c>
      <c r="P35" s="16">
        <f>O35/O$39</f>
        <v>8.0336937577364598E-2</v>
      </c>
      <c r="Q35" s="17" t="s">
        <v>43</v>
      </c>
      <c r="R35" s="17"/>
    </row>
    <row r="36" spans="1:48" ht="16" x14ac:dyDescent="0.2">
      <c r="A36" s="8" t="s">
        <v>44</v>
      </c>
      <c r="B36" s="48">
        <v>1925</v>
      </c>
      <c r="C36" s="48">
        <v>608</v>
      </c>
      <c r="D36" s="48">
        <v>0</v>
      </c>
      <c r="E36" s="48">
        <v>0</v>
      </c>
      <c r="F36" s="48">
        <v>0</v>
      </c>
      <c r="G36" s="48">
        <v>28135</v>
      </c>
      <c r="H36" s="48">
        <v>0</v>
      </c>
      <c r="I36" s="48"/>
      <c r="J36" s="48"/>
      <c r="K36" s="48"/>
      <c r="L36" s="48"/>
      <c r="M36" s="49"/>
      <c r="N36" s="48">
        <v>50059</v>
      </c>
      <c r="O36" s="48">
        <v>80728</v>
      </c>
      <c r="P36" s="48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48">
        <v>18907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/>
      <c r="J37" s="48"/>
      <c r="K37" s="48"/>
      <c r="L37" s="48"/>
      <c r="M37" s="49"/>
      <c r="N37" s="48">
        <v>4891</v>
      </c>
      <c r="O37" s="48">
        <v>23798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/>
      <c r="J38" s="48"/>
      <c r="K38" s="48"/>
      <c r="L38" s="48"/>
      <c r="M38" s="49"/>
      <c r="N38" s="48">
        <v>13482</v>
      </c>
      <c r="O38" s="48">
        <v>13482</v>
      </c>
      <c r="P38" s="17">
        <f>SUM(P31:P36)</f>
        <v>0.6179414310619149</v>
      </c>
      <c r="Q38" s="17"/>
      <c r="R38" s="3"/>
      <c r="S38" s="7" t="s">
        <v>47</v>
      </c>
      <c r="T38" s="18">
        <f>O45/1000</f>
        <v>12.990080000000001</v>
      </c>
      <c r="U38" s="7"/>
    </row>
    <row r="39" spans="1:48" ht="16" x14ac:dyDescent="0.2">
      <c r="A39" s="8" t="s">
        <v>16</v>
      </c>
      <c r="B39" s="48">
        <v>36704</v>
      </c>
      <c r="C39" s="48">
        <v>113736</v>
      </c>
      <c r="D39" s="48">
        <v>0</v>
      </c>
      <c r="E39" s="52">
        <f>SUM(E31:E38)</f>
        <v>300.10882576994231</v>
      </c>
      <c r="F39" s="48">
        <v>8823</v>
      </c>
      <c r="G39" s="48">
        <f>SUM(G31:G38)</f>
        <v>28135</v>
      </c>
      <c r="H39" s="48">
        <v>0</v>
      </c>
      <c r="I39" s="48"/>
      <c r="J39" s="48"/>
      <c r="K39" s="48"/>
      <c r="L39" s="48"/>
      <c r="M39" s="49"/>
      <c r="N39" s="48">
        <v>121176</v>
      </c>
      <c r="O39" s="52">
        <f>SUM(O31:O38)</f>
        <v>308874.10882576997</v>
      </c>
      <c r="P39" s="3"/>
      <c r="Q39" s="3"/>
      <c r="R39" s="3"/>
      <c r="S39" s="7" t="s">
        <v>48</v>
      </c>
      <c r="T39" s="19">
        <f>O41/1000</f>
        <v>118.008</v>
      </c>
      <c r="U39" s="14">
        <f>P41</f>
        <v>0.38205856893808499</v>
      </c>
    </row>
    <row r="40" spans="1:48" x14ac:dyDescent="0.2">
      <c r="S40" s="7" t="s">
        <v>49</v>
      </c>
      <c r="T40" s="19">
        <f>O35/1000</f>
        <v>24.814</v>
      </c>
      <c r="U40" s="15">
        <f>P35</f>
        <v>8.0336937577364598E-2</v>
      </c>
    </row>
    <row r="41" spans="1:48" ht="16" x14ac:dyDescent="0.2">
      <c r="A41" s="20" t="s">
        <v>50</v>
      </c>
      <c r="B41" s="21">
        <f>B38+B37+B36</f>
        <v>20832</v>
      </c>
      <c r="C41" s="21">
        <f t="shared" ref="C41:O41" si="0">C38+C37+C36</f>
        <v>608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28135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0</v>
      </c>
      <c r="N41" s="21">
        <f t="shared" si="0"/>
        <v>68432</v>
      </c>
      <c r="O41" s="21">
        <f t="shared" si="0"/>
        <v>118008</v>
      </c>
      <c r="P41" s="16">
        <f>O41/O$39</f>
        <v>0.38205856893808499</v>
      </c>
      <c r="Q41" s="16" t="s">
        <v>51</v>
      </c>
      <c r="R41" s="7"/>
      <c r="S41" s="7" t="s">
        <v>52</v>
      </c>
      <c r="T41" s="19">
        <f>O33/1000</f>
        <v>18.22</v>
      </c>
      <c r="U41" s="14">
        <f>P33</f>
        <v>5.8988434055758154E-2</v>
      </c>
    </row>
    <row r="42" spans="1:48" ht="16" x14ac:dyDescent="0.2">
      <c r="A42" s="22" t="s">
        <v>53</v>
      </c>
      <c r="B42" s="21"/>
      <c r="C42" s="23">
        <f>C39+C23+C10</f>
        <v>113736</v>
      </c>
      <c r="D42" s="23">
        <f t="shared" ref="D42:M42" si="1">D39+D23+D10</f>
        <v>0</v>
      </c>
      <c r="E42" s="23">
        <f t="shared" si="1"/>
        <v>300.10882576994231</v>
      </c>
      <c r="F42" s="23">
        <f t="shared" si="1"/>
        <v>8823</v>
      </c>
      <c r="G42" s="23">
        <f t="shared" si="1"/>
        <v>28135</v>
      </c>
      <c r="H42" s="23">
        <f t="shared" si="1"/>
        <v>0</v>
      </c>
      <c r="I42" s="23">
        <f t="shared" si="1"/>
        <v>0</v>
      </c>
      <c r="J42" s="23">
        <f t="shared" si="1"/>
        <v>0</v>
      </c>
      <c r="K42" s="23">
        <f t="shared" si="1"/>
        <v>0</v>
      </c>
      <c r="L42" s="23">
        <f t="shared" ref="L42" si="2">L39+L23+L10</f>
        <v>0</v>
      </c>
      <c r="M42" s="23">
        <f t="shared" si="1"/>
        <v>0</v>
      </c>
      <c r="N42" s="23">
        <f>N39+N23-B6+N45</f>
        <v>130870.08</v>
      </c>
      <c r="O42" s="24">
        <f>SUM(C42:N42)</f>
        <v>281864.18882576993</v>
      </c>
      <c r="P42" s="7"/>
      <c r="Q42" s="7"/>
      <c r="R42" s="7"/>
      <c r="S42" s="7" t="s">
        <v>34</v>
      </c>
      <c r="T42" s="19">
        <f>O31/1000</f>
        <v>21.56</v>
      </c>
      <c r="U42" s="14">
        <f>P31</f>
        <v>6.9801901110984957E-2</v>
      </c>
    </row>
    <row r="43" spans="1:48" ht="16" x14ac:dyDescent="0.2">
      <c r="A43" s="22" t="s">
        <v>54</v>
      </c>
      <c r="B43" s="21"/>
      <c r="C43" s="16">
        <f t="shared" ref="C43:N43" si="3">C42/$O42</f>
        <v>0.40351348099174167</v>
      </c>
      <c r="D43" s="16">
        <f t="shared" si="3"/>
        <v>0</v>
      </c>
      <c r="E43" s="16">
        <f t="shared" si="3"/>
        <v>1.0647284673522327E-3</v>
      </c>
      <c r="F43" s="16">
        <f t="shared" si="3"/>
        <v>3.1302309231818745E-2</v>
      </c>
      <c r="G43" s="16">
        <f t="shared" si="3"/>
        <v>9.9817575681425866E-2</v>
      </c>
      <c r="H43" s="16">
        <f t="shared" si="3"/>
        <v>0</v>
      </c>
      <c r="I43" s="16">
        <f t="shared" si="3"/>
        <v>0</v>
      </c>
      <c r="J43" s="16">
        <f t="shared" si="3"/>
        <v>0</v>
      </c>
      <c r="K43" s="16">
        <f t="shared" si="3"/>
        <v>0</v>
      </c>
      <c r="L43" s="16">
        <f t="shared" si="3"/>
        <v>0</v>
      </c>
      <c r="M43" s="16">
        <f t="shared" si="3"/>
        <v>0</v>
      </c>
      <c r="N43" s="16">
        <f t="shared" si="3"/>
        <v>0.46430190562766155</v>
      </c>
      <c r="O43" s="16">
        <f>SUM(C43:N43)</f>
        <v>1</v>
      </c>
      <c r="P43" s="7"/>
      <c r="Q43" s="7"/>
      <c r="R43" s="7"/>
      <c r="S43" s="7" t="s">
        <v>55</v>
      </c>
      <c r="T43" s="19">
        <f>O32/1000</f>
        <v>18.387108825769943</v>
      </c>
      <c r="U43" s="15">
        <f>P32</f>
        <v>5.9529459739021892E-2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107.88500000000001</v>
      </c>
      <c r="U44" s="15">
        <f>P34</f>
        <v>0.3492846985787853</v>
      </c>
    </row>
    <row r="45" spans="1:48" ht="16" x14ac:dyDescent="0.2">
      <c r="A45" s="6" t="s">
        <v>57</v>
      </c>
      <c r="B45" s="6">
        <f>B23+B24-B39</f>
        <v>3296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5">
        <f>N39*0.08</f>
        <v>9694.08</v>
      </c>
      <c r="O45" s="24">
        <f>B45+N45</f>
        <v>12990.08</v>
      </c>
      <c r="P45" s="7"/>
      <c r="Q45" s="7"/>
      <c r="R45" s="7"/>
      <c r="S45" s="7" t="s">
        <v>58</v>
      </c>
      <c r="T45" s="19">
        <f>SUM(T39:T44)</f>
        <v>308.87410882576995</v>
      </c>
      <c r="U45" s="14">
        <f>SUM(U39:U44)</f>
        <v>0.99999999999999989</v>
      </c>
    </row>
    <row r="46" spans="1:48" ht="16" x14ac:dyDescent="0.2">
      <c r="A46" s="6"/>
      <c r="B46" s="41">
        <f>B45/(B23+B24)</f>
        <v>8.2400000000000001E-2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/>
      <c r="O46" s="6"/>
      <c r="P46" s="7"/>
      <c r="Q46" s="7"/>
      <c r="R46" s="7"/>
    </row>
    <row r="47" spans="1:48" x14ac:dyDescent="0.2">
      <c r="A47" s="4"/>
      <c r="B47" s="4"/>
      <c r="C47" s="26"/>
      <c r="D47" s="27"/>
      <c r="E47" s="26"/>
      <c r="F47" s="26"/>
      <c r="G47" s="27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4"/>
      <c r="S47" s="4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4"/>
      <c r="AI47" s="4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2">
      <c r="A48" s="26"/>
      <c r="B48" s="4"/>
      <c r="C48" s="26"/>
      <c r="D48" s="27"/>
      <c r="E48" s="26"/>
      <c r="F48" s="27"/>
      <c r="G48" s="27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4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4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6"/>
      <c r="P49" s="26"/>
      <c r="Q49" s="26"/>
      <c r="R49" s="26"/>
      <c r="S49" s="4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4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16" x14ac:dyDescent="0.2">
      <c r="A50" s="4"/>
      <c r="B50" s="48"/>
      <c r="C50" s="48"/>
      <c r="D50" s="48"/>
      <c r="E50" s="56"/>
      <c r="F50" s="48"/>
      <c r="G50" s="48"/>
      <c r="H50" s="61"/>
      <c r="I50" s="48"/>
      <c r="J50" s="48"/>
      <c r="K50" s="48"/>
      <c r="L50" s="64"/>
      <c r="M50" s="48"/>
      <c r="N50" s="48"/>
      <c r="O50" s="26"/>
      <c r="P50" s="26"/>
      <c r="Q50" s="26"/>
      <c r="R50" s="48"/>
      <c r="S50" s="4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4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x14ac:dyDescent="0.2">
      <c r="A51" s="26"/>
      <c r="B51" s="4"/>
      <c r="C51" s="9"/>
      <c r="D51" s="9"/>
      <c r="E51" s="9"/>
      <c r="F51" s="9"/>
      <c r="G51" s="9"/>
      <c r="H51" s="9"/>
      <c r="I51" s="9"/>
      <c r="J51" s="9"/>
      <c r="K51" s="9"/>
      <c r="L51" s="9"/>
      <c r="M51" s="26"/>
      <c r="N51" s="9"/>
      <c r="O51" s="26"/>
      <c r="P51" s="26"/>
      <c r="Q51" s="26"/>
      <c r="R51" s="4"/>
      <c r="S51" s="4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4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x14ac:dyDescent="0.2">
      <c r="A52" s="26"/>
      <c r="B52" s="4"/>
      <c r="C52" s="9"/>
      <c r="D52" s="9"/>
      <c r="E52" s="9"/>
      <c r="F52" s="9"/>
      <c r="G52" s="9"/>
      <c r="H52" s="9"/>
      <c r="I52" s="9"/>
      <c r="J52" s="9"/>
      <c r="K52" s="9"/>
      <c r="L52" s="9"/>
      <c r="M52" s="26"/>
      <c r="N52" s="9"/>
      <c r="O52" s="26"/>
      <c r="P52" s="26"/>
      <c r="Q52" s="26"/>
      <c r="R52" s="4"/>
      <c r="S52" s="4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</row>
    <row r="53" spans="1:48" x14ac:dyDescent="0.2">
      <c r="A53" s="26"/>
      <c r="B53" s="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4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</row>
    <row r="54" spans="1:48" x14ac:dyDescent="0.2">
      <c r="A54" s="26"/>
      <c r="B54" s="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4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</row>
    <row r="55" spans="1:48" x14ac:dyDescent="0.2">
      <c r="A55" s="26"/>
      <c r="B55" s="4"/>
      <c r="C55" s="26"/>
      <c r="D55" s="26"/>
      <c r="E55" s="26"/>
      <c r="F55" s="27"/>
      <c r="G55" s="27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</row>
    <row r="56" spans="1:48" x14ac:dyDescent="0.2">
      <c r="A56" s="26"/>
      <c r="B56" s="4"/>
      <c r="C56" s="26"/>
      <c r="D56" s="26"/>
      <c r="E56" s="26"/>
      <c r="F56" s="27"/>
      <c r="G56" s="27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29"/>
      <c r="N57" s="29"/>
      <c r="O57" s="7"/>
      <c r="P57" s="6"/>
      <c r="Q57" s="14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29"/>
      <c r="N58" s="29"/>
      <c r="O58" s="7"/>
      <c r="P58" s="6"/>
      <c r="Q58" s="14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29"/>
      <c r="N59" s="29"/>
      <c r="O59" s="7"/>
      <c r="P59" s="6"/>
      <c r="Q59" s="14"/>
      <c r="R59" s="7"/>
      <c r="S59" s="7"/>
      <c r="T59" s="6"/>
      <c r="U59" s="30"/>
    </row>
    <row r="60" spans="1:48" ht="16" x14ac:dyDescent="0.2">
      <c r="A60" s="22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29"/>
      <c r="N60" s="29"/>
      <c r="O60" s="7"/>
      <c r="P60" s="6"/>
      <c r="Q60" s="14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29"/>
      <c r="O61" s="7"/>
      <c r="P61" s="6"/>
      <c r="Q61" s="14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 enableFormatConditionsCalculation="0"/>
  <dimension ref="A1:AV70"/>
  <sheetViews>
    <sheetView zoomScale="90" zoomScaleNormal="90" zoomScalePageLayoutView="90" workbookViewId="0">
      <selection activeCell="F6" sqref="F6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68</v>
      </c>
      <c r="Q2" s="49"/>
      <c r="R2" s="8"/>
      <c r="AH2" s="49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73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9"/>
      <c r="R3" s="49"/>
      <c r="AH3" s="49"/>
      <c r="AI3" s="49"/>
    </row>
    <row r="4" spans="1:35" ht="16" x14ac:dyDescent="0.2">
      <c r="A4" s="49" t="s">
        <v>79</v>
      </c>
      <c r="B4" s="64">
        <f>1229*0.95</f>
        <v>1167.55</v>
      </c>
      <c r="Q4" s="49"/>
      <c r="R4" s="49"/>
      <c r="AH4" s="49"/>
      <c r="AI4" s="49"/>
    </row>
    <row r="5" spans="1:35" ht="16" x14ac:dyDescent="0.2">
      <c r="A5" s="49"/>
      <c r="Q5" s="49"/>
      <c r="R5" s="49"/>
      <c r="AH5" s="49"/>
      <c r="AI5" s="49"/>
    </row>
    <row r="6" spans="1:35" ht="16" x14ac:dyDescent="0.2">
      <c r="A6" s="8" t="s">
        <v>12</v>
      </c>
      <c r="B6" s="48">
        <v>19049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/>
      <c r="J6" s="48"/>
      <c r="K6" s="48"/>
      <c r="L6" s="48"/>
      <c r="M6" s="48"/>
      <c r="N6" s="48"/>
      <c r="O6" s="48">
        <v>0</v>
      </c>
      <c r="Q6" s="49"/>
      <c r="R6" s="49"/>
      <c r="AH6" s="49"/>
      <c r="AI6" s="49"/>
    </row>
    <row r="7" spans="1:35" ht="16" x14ac:dyDescent="0.2">
      <c r="A7" s="8" t="s">
        <v>13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/>
      <c r="J7" s="48"/>
      <c r="K7" s="48"/>
      <c r="L7" s="48"/>
      <c r="M7" s="48"/>
      <c r="N7" s="48"/>
      <c r="O7" s="48">
        <v>0</v>
      </c>
      <c r="P7" s="48"/>
      <c r="Q7" s="49"/>
      <c r="R7" s="49"/>
      <c r="AH7" s="49"/>
      <c r="AI7" s="49"/>
    </row>
    <row r="8" spans="1:35" ht="16" x14ac:dyDescent="0.2">
      <c r="A8" s="8" t="s">
        <v>14</v>
      </c>
      <c r="B8" s="52">
        <v>66035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/>
      <c r="J8" s="48"/>
      <c r="K8" s="48"/>
      <c r="L8" s="48"/>
      <c r="M8" s="48"/>
      <c r="N8" s="48"/>
      <c r="O8" s="48">
        <v>0</v>
      </c>
      <c r="P8" s="48"/>
      <c r="Q8" s="49"/>
      <c r="R8" s="49"/>
      <c r="AH8" s="49"/>
      <c r="AI8" s="49"/>
    </row>
    <row r="9" spans="1:35" ht="16" x14ac:dyDescent="0.2">
      <c r="A9" s="8" t="s">
        <v>15</v>
      </c>
      <c r="B9" s="48">
        <v>120903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/>
      <c r="J9" s="48"/>
      <c r="K9" s="48"/>
      <c r="L9" s="48"/>
      <c r="M9" s="48"/>
      <c r="N9" s="48"/>
      <c r="O9" s="48">
        <v>0</v>
      </c>
      <c r="P9" s="48"/>
      <c r="Q9" s="49"/>
      <c r="R9" s="49"/>
      <c r="S9" s="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</row>
    <row r="10" spans="1:35" ht="16" x14ac:dyDescent="0.2">
      <c r="A10" s="8" t="s">
        <v>16</v>
      </c>
      <c r="B10" s="52">
        <f>SUM(B4:B9)</f>
        <v>207154.55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/>
      <c r="J10" s="48"/>
      <c r="K10" s="48"/>
      <c r="L10" s="48"/>
      <c r="M10" s="48"/>
      <c r="N10" s="48"/>
      <c r="O10" s="48">
        <v>0</v>
      </c>
      <c r="P10" s="48"/>
      <c r="Q10" s="49"/>
      <c r="R10" s="49"/>
      <c r="S10" s="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9"/>
      <c r="AI10" s="49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73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8">
        <v>166392</v>
      </c>
      <c r="C17" s="48">
        <v>2923</v>
      </c>
      <c r="D17" s="48">
        <v>0</v>
      </c>
      <c r="E17" s="48">
        <v>0</v>
      </c>
      <c r="F17" s="48">
        <v>0</v>
      </c>
      <c r="G17" s="48">
        <f>154205+23345</f>
        <v>177550</v>
      </c>
      <c r="H17" s="48">
        <v>0</v>
      </c>
      <c r="I17" s="48"/>
      <c r="J17" s="48"/>
      <c r="K17" s="48"/>
      <c r="L17" s="48"/>
      <c r="M17" s="48"/>
      <c r="N17" s="48"/>
      <c r="O17" s="48">
        <f>SUM(C17:N17)</f>
        <v>180473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8">
        <v>13135</v>
      </c>
      <c r="C18" s="53">
        <v>1594</v>
      </c>
      <c r="D18" s="48">
        <v>0</v>
      </c>
      <c r="E18" s="48">
        <v>0</v>
      </c>
      <c r="F18" s="53">
        <v>0</v>
      </c>
      <c r="G18" s="48">
        <v>14512</v>
      </c>
      <c r="H18" s="48">
        <v>0</v>
      </c>
      <c r="I18" s="48"/>
      <c r="J18" s="48"/>
      <c r="K18" s="48"/>
      <c r="L18" s="48"/>
      <c r="M18" s="48"/>
      <c r="N18" s="48"/>
      <c r="O18" s="48">
        <v>16106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/>
      <c r="J19" s="48"/>
      <c r="K19" s="48"/>
      <c r="L19" s="48"/>
      <c r="M19" s="48"/>
      <c r="N19" s="48"/>
      <c r="O19" s="48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/>
      <c r="J20" s="48"/>
      <c r="K20" s="48"/>
      <c r="L20" s="48"/>
      <c r="M20" s="48"/>
      <c r="N20" s="48"/>
      <c r="O20" s="48">
        <v>0</v>
      </c>
      <c r="P20" s="3"/>
      <c r="Q20" s="3"/>
      <c r="R20" s="3"/>
      <c r="S20" s="3" t="s">
        <v>26</v>
      </c>
      <c r="T20" s="12">
        <f>O42/1000</f>
        <v>947.70975999999996</v>
      </c>
      <c r="U20" s="3"/>
    </row>
    <row r="21" spans="1:21" ht="16" x14ac:dyDescent="0.2">
      <c r="A21" s="8" t="s">
        <v>24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/>
      <c r="J21" s="48"/>
      <c r="K21" s="48"/>
      <c r="L21" s="48"/>
      <c r="M21" s="48"/>
      <c r="N21" s="48"/>
      <c r="O21" s="48">
        <v>0</v>
      </c>
      <c r="P21" s="3"/>
      <c r="Q21" s="3"/>
      <c r="R21" s="3"/>
      <c r="S21" s="3"/>
      <c r="T21" s="3"/>
      <c r="U21" s="3"/>
    </row>
    <row r="22" spans="1:21" ht="16" x14ac:dyDescent="0.2">
      <c r="A22" s="8" t="s">
        <v>25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/>
      <c r="J22" s="48"/>
      <c r="K22" s="48"/>
      <c r="L22" s="48"/>
      <c r="M22" s="48"/>
      <c r="N22" s="48"/>
      <c r="O22" s="48">
        <v>0</v>
      </c>
      <c r="P22" s="3"/>
      <c r="Q22" s="3"/>
      <c r="R22" s="3"/>
      <c r="S22" s="3"/>
      <c r="T22" s="3" t="s">
        <v>27</v>
      </c>
      <c r="U22" s="3" t="s">
        <v>28</v>
      </c>
    </row>
    <row r="23" spans="1:21" ht="16" x14ac:dyDescent="0.2">
      <c r="A23" s="8" t="s">
        <v>16</v>
      </c>
      <c r="B23" s="48">
        <v>179527</v>
      </c>
      <c r="C23" s="53">
        <f>SUM(C17:C22)</f>
        <v>4517</v>
      </c>
      <c r="D23" s="48">
        <v>0</v>
      </c>
      <c r="E23" s="48">
        <v>0</v>
      </c>
      <c r="F23" s="53">
        <v>0</v>
      </c>
      <c r="G23" s="48">
        <f>SUM(G17:G22)</f>
        <v>192062</v>
      </c>
      <c r="H23" s="48">
        <v>0</v>
      </c>
      <c r="I23" s="48"/>
      <c r="J23" s="48"/>
      <c r="K23" s="48"/>
      <c r="L23" s="48"/>
      <c r="M23" s="48"/>
      <c r="N23" s="48"/>
      <c r="O23" s="48">
        <f>SUM(O17:O22)</f>
        <v>196579</v>
      </c>
      <c r="P23" s="3"/>
      <c r="Q23" s="3"/>
      <c r="R23" s="3"/>
      <c r="S23" s="3" t="s">
        <v>10</v>
      </c>
      <c r="T23" s="13">
        <f>N42/1000</f>
        <v>392.13076000000001</v>
      </c>
      <c r="U23" s="14">
        <f>N43</f>
        <v>0.41376672115310914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73</v>
      </c>
      <c r="T24" s="13">
        <f>G42/1000</f>
        <v>259.66899999999998</v>
      </c>
      <c r="U24" s="15">
        <f>G43</f>
        <v>0.27399633406751028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</v>
      </c>
      <c r="T25" s="13">
        <f>J42/1000</f>
        <v>0</v>
      </c>
      <c r="U25" s="14">
        <f>J43</f>
        <v>0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31</v>
      </c>
      <c r="T26" s="13">
        <f>F42/1000</f>
        <v>19.335000000000001</v>
      </c>
      <c r="U26" s="14">
        <f>F43</f>
        <v>2.0401815847079594E-2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4</v>
      </c>
      <c r="T27" s="12">
        <f>E42/1000</f>
        <v>2.0590000000000002</v>
      </c>
      <c r="U27" s="14">
        <f>E43</f>
        <v>2.1726060940851764E-3</v>
      </c>
    </row>
    <row r="28" spans="1:21" ht="16" x14ac:dyDescent="0.2">
      <c r="A28" s="4" t="s">
        <v>68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2" t="s">
        <v>3</v>
      </c>
      <c r="T28" s="2">
        <f>D42/1000</f>
        <v>0</v>
      </c>
      <c r="U28" s="47">
        <f>D43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73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8</v>
      </c>
      <c r="T29" s="2">
        <f>K42/1000</f>
        <v>0</v>
      </c>
      <c r="U29" s="47">
        <f>K43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3" t="s">
        <v>5</v>
      </c>
      <c r="T30" s="13">
        <f>I42/1000</f>
        <v>0</v>
      </c>
      <c r="U30" s="14">
        <f>I43</f>
        <v>0</v>
      </c>
    </row>
    <row r="31" spans="1:21" ht="16" x14ac:dyDescent="0.2">
      <c r="A31" s="8" t="s">
        <v>33</v>
      </c>
      <c r="B31" s="48">
        <v>0</v>
      </c>
      <c r="C31" s="48">
        <v>21095</v>
      </c>
      <c r="D31" s="48">
        <v>0</v>
      </c>
      <c r="E31" s="48">
        <v>0</v>
      </c>
      <c r="F31" s="48">
        <v>1979</v>
      </c>
      <c r="G31" s="48">
        <v>0</v>
      </c>
      <c r="H31" s="48">
        <v>0</v>
      </c>
      <c r="I31" s="48"/>
      <c r="J31" s="48"/>
      <c r="K31" s="48"/>
      <c r="L31" s="48"/>
      <c r="M31" s="49"/>
      <c r="N31" s="52">
        <v>18720</v>
      </c>
      <c r="O31" s="52">
        <f>SUM(B31:N31)</f>
        <v>41794</v>
      </c>
      <c r="P31" s="16">
        <f>O31/O$39</f>
        <v>4.6496363195403984E-2</v>
      </c>
      <c r="Q31" s="17" t="s">
        <v>34</v>
      </c>
      <c r="R31" s="3"/>
      <c r="S31" s="10" t="str">
        <f>M29</f>
        <v>Övrigt</v>
      </c>
      <c r="T31" s="13">
        <f>M42/1000</f>
        <v>0</v>
      </c>
      <c r="U31" s="14">
        <f>M43</f>
        <v>0</v>
      </c>
    </row>
    <row r="32" spans="1:21" ht="16" x14ac:dyDescent="0.2">
      <c r="A32" s="8" t="s">
        <v>36</v>
      </c>
      <c r="B32" s="48">
        <v>12640</v>
      </c>
      <c r="C32" s="48">
        <v>3841</v>
      </c>
      <c r="D32" s="48">
        <v>0</v>
      </c>
      <c r="E32" s="52">
        <f>O32-N32-G32-C32-B32</f>
        <v>2059</v>
      </c>
      <c r="F32" s="48">
        <v>0</v>
      </c>
      <c r="G32" s="52">
        <f>G39-G36</f>
        <v>907</v>
      </c>
      <c r="H32" s="48">
        <v>0</v>
      </c>
      <c r="I32" s="48"/>
      <c r="J32" s="48"/>
      <c r="K32" s="48"/>
      <c r="L32" s="48"/>
      <c r="M32" s="49"/>
      <c r="N32" s="52">
        <v>68864</v>
      </c>
      <c r="O32" s="52">
        <f>O39-SUM(O33:O38)-O31</f>
        <v>88311</v>
      </c>
      <c r="P32" s="16">
        <f>O32/O$39</f>
        <v>9.8247124710468522E-2</v>
      </c>
      <c r="Q32" s="17" t="s">
        <v>37</v>
      </c>
      <c r="R32" s="3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8">
        <v>23978</v>
      </c>
      <c r="C33" s="48">
        <v>1940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/>
      <c r="J33" s="48"/>
      <c r="K33" s="48"/>
      <c r="L33" s="48"/>
      <c r="M33" s="49"/>
      <c r="N33" s="48">
        <v>39437</v>
      </c>
      <c r="O33" s="48">
        <v>65355</v>
      </c>
      <c r="P33" s="16">
        <f>O33/O$39</f>
        <v>7.2708279098330567E-2</v>
      </c>
      <c r="Q33" s="17" t="s">
        <v>39</v>
      </c>
      <c r="R33" s="3"/>
      <c r="S33" s="3" t="s">
        <v>35</v>
      </c>
      <c r="T33" s="13">
        <f>C42/1000</f>
        <v>274.51600000000002</v>
      </c>
      <c r="U33" s="15">
        <f>C43</f>
        <v>0.28966252283821581</v>
      </c>
    </row>
    <row r="34" spans="1:48" ht="16" x14ac:dyDescent="0.2">
      <c r="A34" s="8" t="s">
        <v>40</v>
      </c>
      <c r="B34" s="48">
        <v>0</v>
      </c>
      <c r="C34" s="48">
        <v>236097</v>
      </c>
      <c r="D34" s="48">
        <v>0</v>
      </c>
      <c r="E34" s="48">
        <v>0</v>
      </c>
      <c r="F34" s="48">
        <v>17356</v>
      </c>
      <c r="G34" s="48">
        <v>0</v>
      </c>
      <c r="H34" s="48">
        <v>0</v>
      </c>
      <c r="I34" s="48"/>
      <c r="J34" s="48"/>
      <c r="K34" s="48"/>
      <c r="L34" s="48"/>
      <c r="M34" s="49"/>
      <c r="N34" s="48">
        <v>380</v>
      </c>
      <c r="O34" s="48">
        <v>253832</v>
      </c>
      <c r="P34" s="16">
        <f>O34/O$39</f>
        <v>0.28239136868009246</v>
      </c>
      <c r="Q34" s="17" t="s">
        <v>41</v>
      </c>
      <c r="R34" s="3"/>
      <c r="S34" s="3"/>
      <c r="T34" s="13">
        <f>SUM(T23:T33)</f>
        <v>947.70975999999996</v>
      </c>
      <c r="U34" s="14">
        <f>SUM(U23:U33)</f>
        <v>1</v>
      </c>
    </row>
    <row r="35" spans="1:48" ht="16" x14ac:dyDescent="0.2">
      <c r="A35" s="8" t="s">
        <v>42</v>
      </c>
      <c r="B35" s="48">
        <v>25927</v>
      </c>
      <c r="C35" s="48">
        <v>4872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/>
      <c r="J35" s="48"/>
      <c r="K35" s="48"/>
      <c r="L35" s="48"/>
      <c r="M35" s="49"/>
      <c r="N35" s="48">
        <v>87005</v>
      </c>
      <c r="O35" s="48">
        <v>117804</v>
      </c>
      <c r="P35" s="16">
        <f>O35/O$39</f>
        <v>0.13105846700175555</v>
      </c>
      <c r="Q35" s="17" t="s">
        <v>43</v>
      </c>
      <c r="R35" s="17"/>
    </row>
    <row r="36" spans="1:48" ht="16" x14ac:dyDescent="0.2">
      <c r="A36" s="8" t="s">
        <v>44</v>
      </c>
      <c r="B36" s="48">
        <v>8496</v>
      </c>
      <c r="C36" s="52">
        <f>O36-N36-G36-B36</f>
        <v>1643</v>
      </c>
      <c r="D36" s="48">
        <v>0</v>
      </c>
      <c r="E36" s="48">
        <v>0</v>
      </c>
      <c r="F36" s="48">
        <v>0</v>
      </c>
      <c r="G36" s="52">
        <v>66700</v>
      </c>
      <c r="H36" s="48">
        <v>0</v>
      </c>
      <c r="I36" s="48"/>
      <c r="J36" s="48"/>
      <c r="K36" s="48"/>
      <c r="L36" s="48"/>
      <c r="M36" s="49"/>
      <c r="N36" s="48">
        <v>128625</v>
      </c>
      <c r="O36" s="48">
        <v>205464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48">
        <v>88103</v>
      </c>
      <c r="C37" s="48">
        <v>511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/>
      <c r="J37" s="48"/>
      <c r="K37" s="48"/>
      <c r="L37" s="48"/>
      <c r="M37" s="49"/>
      <c r="N37" s="48">
        <v>25776</v>
      </c>
      <c r="O37" s="48">
        <v>114391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/>
      <c r="J38" s="48"/>
      <c r="K38" s="48"/>
      <c r="L38" s="48"/>
      <c r="M38" s="49"/>
      <c r="N38" s="48">
        <v>11915</v>
      </c>
      <c r="O38" s="48">
        <v>11915</v>
      </c>
      <c r="P38" s="17">
        <f>SUM(P31:P35)</f>
        <v>0.630901602686051</v>
      </c>
      <c r="Q38" s="17"/>
      <c r="R38" s="3"/>
      <c r="S38" s="7" t="s">
        <v>47</v>
      </c>
      <c r="T38" s="18">
        <f>O45/1000</f>
        <v>50.840760000000003</v>
      </c>
      <c r="U38" s="7"/>
    </row>
    <row r="39" spans="1:48" ht="16" x14ac:dyDescent="0.2">
      <c r="A39" s="8" t="s">
        <v>16</v>
      </c>
      <c r="B39" s="48">
        <v>159144</v>
      </c>
      <c r="C39" s="52">
        <f>SUM(C31:C38)</f>
        <v>269999</v>
      </c>
      <c r="D39" s="48">
        <v>0</v>
      </c>
      <c r="E39" s="52">
        <f>SUM(E31:E38)</f>
        <v>2059</v>
      </c>
      <c r="F39" s="48">
        <v>19335</v>
      </c>
      <c r="G39" s="48">
        <v>67607</v>
      </c>
      <c r="H39" s="48">
        <v>0</v>
      </c>
      <c r="I39" s="48"/>
      <c r="J39" s="48"/>
      <c r="K39" s="48"/>
      <c r="L39" s="48"/>
      <c r="M39" s="49"/>
      <c r="N39" s="48">
        <v>380722</v>
      </c>
      <c r="O39" s="48">
        <v>898866</v>
      </c>
      <c r="P39" s="3"/>
      <c r="Q39" s="3"/>
      <c r="R39" s="3"/>
      <c r="S39" s="7" t="s">
        <v>48</v>
      </c>
      <c r="T39" s="19">
        <f>O41/1000</f>
        <v>331.77</v>
      </c>
      <c r="U39" s="14">
        <f>P41</f>
        <v>0.36909839731394889</v>
      </c>
    </row>
    <row r="40" spans="1:48" x14ac:dyDescent="0.2">
      <c r="E40" s="10"/>
      <c r="S40" s="7" t="s">
        <v>49</v>
      </c>
      <c r="T40" s="19">
        <f>O35/1000</f>
        <v>117.804</v>
      </c>
      <c r="U40" s="15">
        <f>P35</f>
        <v>0.13105846700175555</v>
      </c>
    </row>
    <row r="41" spans="1:48" ht="16" x14ac:dyDescent="0.2">
      <c r="A41" s="20" t="s">
        <v>50</v>
      </c>
      <c r="B41" s="21">
        <f>B38+B37+B36</f>
        <v>96599</v>
      </c>
      <c r="C41" s="21">
        <f t="shared" ref="C41:O41" si="0">C38+C37+C36</f>
        <v>2154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66700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0</v>
      </c>
      <c r="N41" s="21">
        <f t="shared" si="0"/>
        <v>166316</v>
      </c>
      <c r="O41" s="21">
        <f t="shared" si="0"/>
        <v>331770</v>
      </c>
      <c r="P41" s="16">
        <f>O41/O$39</f>
        <v>0.36909839731394889</v>
      </c>
      <c r="Q41" s="16" t="s">
        <v>51</v>
      </c>
      <c r="R41" s="7"/>
      <c r="S41" s="7" t="s">
        <v>52</v>
      </c>
      <c r="T41" s="19">
        <f>O33/1000</f>
        <v>65.355000000000004</v>
      </c>
      <c r="U41" s="14">
        <f>P33</f>
        <v>7.2708279098330567E-2</v>
      </c>
    </row>
    <row r="42" spans="1:48" ht="16" x14ac:dyDescent="0.2">
      <c r="A42" s="22" t="s">
        <v>53</v>
      </c>
      <c r="B42" s="21"/>
      <c r="C42" s="23">
        <f>C39+C23+C10</f>
        <v>274516</v>
      </c>
      <c r="D42" s="23">
        <f t="shared" ref="D42:M42" si="1">D39+D23+D10</f>
        <v>0</v>
      </c>
      <c r="E42" s="23">
        <f t="shared" si="1"/>
        <v>2059</v>
      </c>
      <c r="F42" s="23">
        <f t="shared" si="1"/>
        <v>19335</v>
      </c>
      <c r="G42" s="23">
        <f t="shared" si="1"/>
        <v>259669</v>
      </c>
      <c r="H42" s="23">
        <f t="shared" si="1"/>
        <v>0</v>
      </c>
      <c r="I42" s="23">
        <f t="shared" si="1"/>
        <v>0</v>
      </c>
      <c r="J42" s="23">
        <f t="shared" si="1"/>
        <v>0</v>
      </c>
      <c r="K42" s="23">
        <f t="shared" si="1"/>
        <v>0</v>
      </c>
      <c r="L42" s="23">
        <f t="shared" ref="L42" si="2">L39+L23+L10</f>
        <v>0</v>
      </c>
      <c r="M42" s="23">
        <f t="shared" si="1"/>
        <v>0</v>
      </c>
      <c r="N42" s="23">
        <f>N39+N23-B6+N45</f>
        <v>392130.76</v>
      </c>
      <c r="O42" s="24">
        <f>SUM(C42:N42)</f>
        <v>947709.76</v>
      </c>
      <c r="P42" s="7"/>
      <c r="Q42" s="7"/>
      <c r="R42" s="7"/>
      <c r="S42" s="7" t="s">
        <v>34</v>
      </c>
      <c r="T42" s="19">
        <f>O31/1000</f>
        <v>41.793999999999997</v>
      </c>
      <c r="U42" s="14">
        <f>P31</f>
        <v>4.6496363195403984E-2</v>
      </c>
    </row>
    <row r="43" spans="1:48" ht="16" x14ac:dyDescent="0.2">
      <c r="A43" s="22" t="s">
        <v>54</v>
      </c>
      <c r="B43" s="21"/>
      <c r="C43" s="16">
        <f t="shared" ref="C43:N43" si="3">C42/$O42</f>
        <v>0.28966252283821581</v>
      </c>
      <c r="D43" s="16">
        <f t="shared" si="3"/>
        <v>0</v>
      </c>
      <c r="E43" s="16">
        <f t="shared" si="3"/>
        <v>2.1726060940851764E-3</v>
      </c>
      <c r="F43" s="16">
        <f t="shared" si="3"/>
        <v>2.0401815847079594E-2</v>
      </c>
      <c r="G43" s="16">
        <f t="shared" si="3"/>
        <v>0.27399633406751028</v>
      </c>
      <c r="H43" s="16">
        <f t="shared" si="3"/>
        <v>0</v>
      </c>
      <c r="I43" s="16">
        <f t="shared" si="3"/>
        <v>0</v>
      </c>
      <c r="J43" s="16">
        <f t="shared" si="3"/>
        <v>0</v>
      </c>
      <c r="K43" s="16">
        <f t="shared" si="3"/>
        <v>0</v>
      </c>
      <c r="L43" s="16">
        <f t="shared" si="3"/>
        <v>0</v>
      </c>
      <c r="M43" s="16">
        <f t="shared" si="3"/>
        <v>0</v>
      </c>
      <c r="N43" s="16">
        <f t="shared" si="3"/>
        <v>0.41376672115310914</v>
      </c>
      <c r="O43" s="16">
        <f>SUM(C43:N43)</f>
        <v>1</v>
      </c>
      <c r="P43" s="7"/>
      <c r="Q43" s="7"/>
      <c r="R43" s="7"/>
      <c r="S43" s="7" t="s">
        <v>55</v>
      </c>
      <c r="T43" s="19">
        <f>O32/1000</f>
        <v>88.311000000000007</v>
      </c>
      <c r="U43" s="15">
        <f>P32</f>
        <v>9.8247124710468522E-2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253.83199999999999</v>
      </c>
      <c r="U44" s="15">
        <f>P34</f>
        <v>0.28239136868009246</v>
      </c>
    </row>
    <row r="45" spans="1:48" ht="16" x14ac:dyDescent="0.2">
      <c r="A45" s="6" t="s">
        <v>57</v>
      </c>
      <c r="B45" s="6">
        <f>B23-B39</f>
        <v>20383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5">
        <f>N39*0.08</f>
        <v>30457.760000000002</v>
      </c>
      <c r="O45" s="24">
        <f>B45+N45</f>
        <v>50840.76</v>
      </c>
      <c r="P45" s="7"/>
      <c r="Q45" s="7"/>
      <c r="R45" s="7"/>
      <c r="S45" s="7" t="s">
        <v>58</v>
      </c>
      <c r="T45" s="19">
        <f>SUM(T39:T44)</f>
        <v>898.86599999999999</v>
      </c>
      <c r="U45" s="14">
        <f>SUM(U39:U44)</f>
        <v>0.99999999999999978</v>
      </c>
    </row>
    <row r="46" spans="1:48" ht="16" x14ac:dyDescent="0.2">
      <c r="A46" s="6"/>
      <c r="B46" s="41">
        <f>B45/B23</f>
        <v>0.11353723952385993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/>
      <c r="O46" s="6"/>
      <c r="P46" s="7"/>
      <c r="Q46" s="7"/>
      <c r="R46" s="7"/>
    </row>
    <row r="47" spans="1:48" x14ac:dyDescent="0.2">
      <c r="A47" s="4"/>
      <c r="B47" s="4"/>
      <c r="C47" s="9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4"/>
      <c r="S47" s="4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4"/>
      <c r="AI47" s="4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2">
      <c r="A48" s="26"/>
      <c r="B48" s="4"/>
      <c r="C48" s="26"/>
      <c r="D48" s="27"/>
      <c r="E48" s="26"/>
      <c r="F48" s="26"/>
      <c r="G48" s="26"/>
      <c r="H48" s="27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4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4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2">
      <c r="A49" s="26"/>
      <c r="B49" s="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4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4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16" x14ac:dyDescent="0.2">
      <c r="A50" s="51"/>
      <c r="B50" s="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4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4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x14ac:dyDescent="0.2">
      <c r="A51" s="26"/>
      <c r="B51" s="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4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4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x14ac:dyDescent="0.2">
      <c r="A52" s="26"/>
      <c r="B52" s="4"/>
      <c r="C52" s="26"/>
      <c r="D52" s="27"/>
      <c r="E52" s="26"/>
      <c r="F52" s="26"/>
      <c r="G52" s="26"/>
      <c r="H52" s="27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4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4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</row>
    <row r="53" spans="1:48" x14ac:dyDescent="0.2">
      <c r="A53" s="26"/>
      <c r="B53" s="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4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4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</row>
    <row r="54" spans="1:48" x14ac:dyDescent="0.2">
      <c r="A54" s="26"/>
      <c r="B54" s="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4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4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</row>
    <row r="55" spans="1:48" x14ac:dyDescent="0.2">
      <c r="A55" s="26"/>
      <c r="B55" s="4"/>
      <c r="C55" s="26"/>
      <c r="D55" s="27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4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4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</row>
    <row r="56" spans="1:48" x14ac:dyDescent="0.2">
      <c r="A56" s="26"/>
      <c r="B56" s="4"/>
      <c r="C56" s="26"/>
      <c r="D56" s="27"/>
      <c r="E56" s="26"/>
      <c r="F56" s="26"/>
      <c r="G56" s="26"/>
      <c r="H56" s="27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4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4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29"/>
      <c r="N57" s="29"/>
      <c r="O57" s="7"/>
      <c r="P57" s="6"/>
      <c r="Q57" s="14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29"/>
      <c r="N58" s="29"/>
      <c r="O58" s="7"/>
      <c r="P58" s="6"/>
      <c r="Q58" s="14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29"/>
      <c r="N59" s="29"/>
      <c r="O59" s="7"/>
      <c r="P59" s="6"/>
      <c r="Q59" s="14"/>
      <c r="R59" s="7"/>
      <c r="S59" s="7"/>
      <c r="T59" s="6"/>
      <c r="U59" s="30"/>
    </row>
    <row r="60" spans="1:48" ht="16" x14ac:dyDescent="0.2">
      <c r="A60" s="22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29"/>
      <c r="N60" s="29"/>
      <c r="O60" s="7"/>
      <c r="P60" s="6"/>
      <c r="Q60" s="14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29"/>
      <c r="O61" s="7"/>
      <c r="P61" s="6"/>
      <c r="Q61" s="14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 enableFormatConditionsCalculation="0"/>
  <dimension ref="A1:AV70"/>
  <sheetViews>
    <sheetView zoomScale="90" zoomScaleNormal="90" zoomScalePageLayoutView="90" workbookViewId="0">
      <selection activeCell="A3" sqref="A3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70</v>
      </c>
      <c r="Q2" s="49"/>
      <c r="R2" s="8"/>
      <c r="AH2" s="49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73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9"/>
      <c r="R3" s="49"/>
      <c r="AH3" s="49"/>
      <c r="AI3" s="49"/>
    </row>
    <row r="4" spans="1:35" ht="16" x14ac:dyDescent="0.2">
      <c r="A4" s="49" t="s">
        <v>79</v>
      </c>
      <c r="B4" s="64">
        <f>1047*0.95</f>
        <v>994.65</v>
      </c>
      <c r="Q4" s="49"/>
      <c r="R4" s="49"/>
      <c r="AH4" s="49"/>
      <c r="AI4" s="49"/>
    </row>
    <row r="5" spans="1:35" ht="16" x14ac:dyDescent="0.2">
      <c r="A5" s="49"/>
      <c r="Q5" s="49"/>
      <c r="R5" s="49"/>
      <c r="AH5" s="49"/>
      <c r="AI5" s="49"/>
    </row>
    <row r="6" spans="1:35" ht="16" x14ac:dyDescent="0.2">
      <c r="A6" s="8" t="s">
        <v>12</v>
      </c>
      <c r="B6" s="48">
        <v>8554</v>
      </c>
      <c r="C6" s="48">
        <v>0</v>
      </c>
      <c r="D6" s="48">
        <v>0</v>
      </c>
      <c r="E6" s="48">
        <v>0</v>
      </c>
      <c r="F6" s="48">
        <v>0</v>
      </c>
      <c r="G6" s="56">
        <v>0</v>
      </c>
      <c r="H6" s="48">
        <v>0</v>
      </c>
      <c r="I6" s="48"/>
      <c r="J6" s="48"/>
      <c r="K6" s="48"/>
      <c r="L6" s="48"/>
      <c r="M6" s="48"/>
      <c r="N6" s="48"/>
      <c r="O6" s="56">
        <v>0</v>
      </c>
      <c r="Q6" s="49"/>
      <c r="R6" s="49"/>
      <c r="AH6" s="49"/>
      <c r="AI6" s="49"/>
    </row>
    <row r="7" spans="1:35" ht="16" x14ac:dyDescent="0.2">
      <c r="A7" s="8" t="s">
        <v>13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/>
      <c r="J7" s="48"/>
      <c r="K7" s="48"/>
      <c r="L7" s="48"/>
      <c r="M7" s="48"/>
      <c r="N7" s="48"/>
      <c r="O7" s="48">
        <v>0</v>
      </c>
      <c r="P7" s="48"/>
      <c r="Q7" s="49"/>
      <c r="R7" s="49"/>
      <c r="AH7" s="49"/>
      <c r="AI7" s="49"/>
    </row>
    <row r="8" spans="1:35" ht="16" x14ac:dyDescent="0.2">
      <c r="A8" s="8" t="s">
        <v>14</v>
      </c>
      <c r="B8" s="48">
        <v>36902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/>
      <c r="J8" s="48"/>
      <c r="K8" s="48"/>
      <c r="L8" s="48"/>
      <c r="M8" s="48"/>
      <c r="N8" s="48"/>
      <c r="O8" s="48">
        <v>0</v>
      </c>
      <c r="P8" s="48"/>
      <c r="Q8" s="49"/>
      <c r="R8" s="49"/>
      <c r="AH8" s="49"/>
      <c r="AI8" s="49"/>
    </row>
    <row r="9" spans="1:35" ht="16" x14ac:dyDescent="0.2">
      <c r="A9" s="8" t="s">
        <v>15</v>
      </c>
      <c r="B9" s="48">
        <v>235903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/>
      <c r="J9" s="48"/>
      <c r="K9" s="48"/>
      <c r="L9" s="48"/>
      <c r="M9" s="48"/>
      <c r="N9" s="48"/>
      <c r="O9" s="48">
        <v>0</v>
      </c>
      <c r="P9" s="48"/>
      <c r="Q9" s="49"/>
      <c r="R9" s="49"/>
      <c r="S9" s="8"/>
      <c r="T9" s="50"/>
      <c r="U9" s="48"/>
      <c r="V9" s="48"/>
      <c r="W9" s="48"/>
      <c r="X9" s="48"/>
      <c r="Y9" s="50"/>
      <c r="Z9" s="48"/>
      <c r="AA9" s="48"/>
      <c r="AB9" s="48"/>
      <c r="AC9" s="48"/>
      <c r="AD9" s="48"/>
      <c r="AE9" s="48"/>
      <c r="AF9" s="48"/>
      <c r="AG9" s="50"/>
      <c r="AH9" s="49"/>
      <c r="AI9" s="49"/>
    </row>
    <row r="10" spans="1:35" ht="16" x14ac:dyDescent="0.2">
      <c r="A10" s="8" t="s">
        <v>16</v>
      </c>
      <c r="B10" s="56">
        <f>SUM(B4:B9)</f>
        <v>282353.65000000002</v>
      </c>
      <c r="C10" s="48">
        <v>0</v>
      </c>
      <c r="D10" s="48">
        <v>0</v>
      </c>
      <c r="E10" s="48">
        <v>0</v>
      </c>
      <c r="F10" s="48">
        <v>0</v>
      </c>
      <c r="G10" s="56">
        <v>0</v>
      </c>
      <c r="H10" s="48">
        <v>0</v>
      </c>
      <c r="I10" s="48"/>
      <c r="J10" s="48"/>
      <c r="K10" s="48"/>
      <c r="L10" s="48"/>
      <c r="M10" s="48"/>
      <c r="N10" s="48"/>
      <c r="O10" s="56">
        <v>0</v>
      </c>
      <c r="P10" s="48"/>
      <c r="Q10" s="49"/>
      <c r="R10" s="49"/>
      <c r="S10" s="8"/>
      <c r="T10" s="50"/>
      <c r="U10" s="48"/>
      <c r="V10" s="48"/>
      <c r="W10" s="48"/>
      <c r="X10" s="48"/>
      <c r="Y10" s="50"/>
      <c r="Z10" s="48"/>
      <c r="AA10" s="48"/>
      <c r="AB10" s="48"/>
      <c r="AC10" s="48"/>
      <c r="AD10" s="48"/>
      <c r="AE10" s="48"/>
      <c r="AF10" s="48"/>
      <c r="AG10" s="50"/>
      <c r="AH10" s="49"/>
      <c r="AI10" s="49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70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73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53">
        <v>31600</v>
      </c>
      <c r="C17" s="56">
        <f>C23*B17/(B18+B17)</f>
        <v>1447.105354058722</v>
      </c>
      <c r="D17" s="48">
        <v>0</v>
      </c>
      <c r="E17" s="48">
        <v>0</v>
      </c>
      <c r="F17" s="48">
        <v>0</v>
      </c>
      <c r="G17" s="52">
        <f>120595*B17/(B17+B18)+15038</f>
        <v>47946.48013816926</v>
      </c>
      <c r="H17" s="48">
        <v>0</v>
      </c>
      <c r="I17" s="48"/>
      <c r="J17" s="48"/>
      <c r="K17" s="48"/>
      <c r="L17" s="48"/>
      <c r="M17" s="48"/>
      <c r="N17" s="48"/>
      <c r="O17" s="52">
        <f>SUM(C17:N17)</f>
        <v>49393.585492227983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57">
        <v>84200</v>
      </c>
      <c r="C18" s="56">
        <f>C23*B18/(B18+B17)</f>
        <v>3855.8946459412782</v>
      </c>
      <c r="D18" s="48">
        <v>0</v>
      </c>
      <c r="E18" s="48">
        <v>0</v>
      </c>
      <c r="F18" s="48">
        <v>0</v>
      </c>
      <c r="G18" s="52">
        <f>120595*B18/(B17+B18)</f>
        <v>87686.519861830748</v>
      </c>
      <c r="H18" s="48">
        <v>0</v>
      </c>
      <c r="I18" s="48"/>
      <c r="J18" s="48"/>
      <c r="K18" s="48"/>
      <c r="L18" s="48"/>
      <c r="M18" s="48"/>
      <c r="N18" s="48"/>
      <c r="O18" s="52">
        <f>SUM(C18:N18)</f>
        <v>91542.414507772031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/>
      <c r="J19" s="48"/>
      <c r="K19" s="48"/>
      <c r="L19" s="48"/>
      <c r="M19" s="48"/>
      <c r="N19" s="48"/>
      <c r="O19" s="48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/>
      <c r="J20" s="48"/>
      <c r="K20" s="48"/>
      <c r="L20" s="48"/>
      <c r="M20" s="48"/>
      <c r="N20" s="48"/>
      <c r="O20" s="48">
        <v>0</v>
      </c>
      <c r="P20" s="3"/>
      <c r="Q20" s="3"/>
      <c r="R20" s="3"/>
      <c r="S20" s="3" t="s">
        <v>26</v>
      </c>
      <c r="T20" s="12">
        <f>O42/1000</f>
        <v>956.33852000000002</v>
      </c>
      <c r="U20" s="3"/>
    </row>
    <row r="21" spans="1:21" ht="16" x14ac:dyDescent="0.2">
      <c r="A21" s="8" t="s">
        <v>24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/>
      <c r="J21" s="48"/>
      <c r="K21" s="48"/>
      <c r="L21" s="48"/>
      <c r="M21" s="48"/>
      <c r="N21" s="48"/>
      <c r="O21" s="48">
        <v>0</v>
      </c>
      <c r="P21" s="3"/>
      <c r="Q21" s="3"/>
      <c r="R21" s="3"/>
      <c r="S21" s="3"/>
      <c r="T21" s="3"/>
      <c r="U21" s="3"/>
    </row>
    <row r="22" spans="1:21" ht="16" x14ac:dyDescent="0.2">
      <c r="A22" s="8" t="s">
        <v>25</v>
      </c>
      <c r="B22" s="53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/>
      <c r="J22" s="48"/>
      <c r="K22" s="48"/>
      <c r="L22" s="48"/>
      <c r="M22" s="48"/>
      <c r="N22" s="48"/>
      <c r="O22" s="48">
        <v>0</v>
      </c>
      <c r="P22" s="3"/>
      <c r="Q22" s="3"/>
      <c r="R22" s="3"/>
      <c r="S22" s="3"/>
      <c r="T22" s="3" t="s">
        <v>27</v>
      </c>
      <c r="U22" s="3" t="s">
        <v>28</v>
      </c>
    </row>
    <row r="23" spans="1:21" ht="16" x14ac:dyDescent="0.2">
      <c r="A23" s="8" t="s">
        <v>16</v>
      </c>
      <c r="B23" s="57">
        <f>SUM(B17:B22)</f>
        <v>115800</v>
      </c>
      <c r="C23" s="53">
        <v>5303</v>
      </c>
      <c r="D23" s="48">
        <v>0</v>
      </c>
      <c r="E23" s="48">
        <v>0</v>
      </c>
      <c r="F23" s="48">
        <v>0</v>
      </c>
      <c r="G23" s="72">
        <f>SUM(G17:G22)</f>
        <v>135633</v>
      </c>
      <c r="H23" s="48">
        <v>0</v>
      </c>
      <c r="I23" s="48"/>
      <c r="J23" s="48"/>
      <c r="K23" s="48"/>
      <c r="L23" s="48"/>
      <c r="M23" s="48"/>
      <c r="N23" s="48"/>
      <c r="O23" s="72">
        <f>SUM(O17:O22)</f>
        <v>140936</v>
      </c>
      <c r="P23" s="3"/>
      <c r="Q23" s="3"/>
      <c r="R23" s="3"/>
      <c r="S23" s="3" t="s">
        <v>10</v>
      </c>
      <c r="T23" s="13">
        <f>N42/1000</f>
        <v>307.42052000000001</v>
      </c>
      <c r="U23" s="14">
        <f>N43</f>
        <v>0.32145575397297604</v>
      </c>
    </row>
    <row r="24" spans="1:21" ht="16" x14ac:dyDescent="0.2">
      <c r="A24" s="5" t="s">
        <v>71</v>
      </c>
      <c r="B24" s="57">
        <v>79900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73</v>
      </c>
      <c r="T24" s="13">
        <f>G42/1000</f>
        <v>163.43299999999999</v>
      </c>
      <c r="U24" s="15">
        <f>G43</f>
        <v>0.17089450710403256</v>
      </c>
    </row>
    <row r="25" spans="1:21" ht="16" x14ac:dyDescent="0.2">
      <c r="A25" s="5"/>
      <c r="B25" s="60"/>
      <c r="C25" s="5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</v>
      </c>
      <c r="T25" s="13">
        <f>J42/1000</f>
        <v>0</v>
      </c>
      <c r="U25" s="14">
        <f>J43</f>
        <v>0</v>
      </c>
    </row>
    <row r="26" spans="1:21" ht="16" x14ac:dyDescent="0.2">
      <c r="B26" s="10"/>
      <c r="C26" s="10"/>
      <c r="D26" s="57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31</v>
      </c>
      <c r="T26" s="13">
        <f>F42/1000</f>
        <v>35.624000000000002</v>
      </c>
      <c r="U26" s="14">
        <f>F43</f>
        <v>3.7250407941321867E-2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4</v>
      </c>
      <c r="T27" s="12">
        <f>E42/1000</f>
        <v>9.4339999999999993</v>
      </c>
      <c r="U27" s="14">
        <f>E43</f>
        <v>9.8647077396819688E-3</v>
      </c>
    </row>
    <row r="28" spans="1:21" ht="16" x14ac:dyDescent="0.2">
      <c r="A28" s="4" t="s">
        <v>70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2" t="s">
        <v>3</v>
      </c>
      <c r="T28" s="2">
        <f>D42/1000</f>
        <v>0</v>
      </c>
      <c r="U28" s="47">
        <f>D43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73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8</v>
      </c>
      <c r="T29" s="2">
        <f>K42/1000</f>
        <v>0</v>
      </c>
      <c r="U29" s="47">
        <f>K43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3" t="s">
        <v>5</v>
      </c>
      <c r="T30" s="13">
        <f>I42/1000</f>
        <v>0</v>
      </c>
      <c r="U30" s="14">
        <f>I43</f>
        <v>0</v>
      </c>
    </row>
    <row r="31" spans="1:21" ht="16" x14ac:dyDescent="0.2">
      <c r="A31" s="8" t="s">
        <v>33</v>
      </c>
      <c r="B31" s="48">
        <v>0</v>
      </c>
      <c r="C31" s="48">
        <v>21632</v>
      </c>
      <c r="D31" s="48">
        <v>0</v>
      </c>
      <c r="E31" s="48">
        <v>0</v>
      </c>
      <c r="F31" s="48">
        <v>2067</v>
      </c>
      <c r="G31" s="48">
        <v>0</v>
      </c>
      <c r="H31" s="48">
        <v>0</v>
      </c>
      <c r="I31" s="48"/>
      <c r="J31" s="48"/>
      <c r="K31" s="48"/>
      <c r="L31" s="48"/>
      <c r="M31" s="49"/>
      <c r="N31" s="48">
        <v>31911</v>
      </c>
      <c r="O31" s="48">
        <v>55609</v>
      </c>
      <c r="P31" s="16">
        <f>O31/O$39</f>
        <v>5.7575490891395617E-2</v>
      </c>
      <c r="Q31" s="17" t="s">
        <v>34</v>
      </c>
      <c r="R31" s="3"/>
      <c r="S31" s="10" t="str">
        <f>M29</f>
        <v>Övrigt</v>
      </c>
      <c r="T31" s="13">
        <f>M42/1000</f>
        <v>0</v>
      </c>
      <c r="U31" s="14">
        <f>M43</f>
        <v>0</v>
      </c>
    </row>
    <row r="32" spans="1:21" ht="16" x14ac:dyDescent="0.2">
      <c r="A32" s="8" t="s">
        <v>36</v>
      </c>
      <c r="B32" s="48">
        <v>27850</v>
      </c>
      <c r="C32" s="52">
        <f>O32-N32-E32-B32</f>
        <v>5740</v>
      </c>
      <c r="D32" s="48">
        <v>0</v>
      </c>
      <c r="E32" s="65">
        <v>9434</v>
      </c>
      <c r="F32" s="48">
        <v>0</v>
      </c>
      <c r="G32" s="48">
        <v>0</v>
      </c>
      <c r="H32" s="48">
        <v>0</v>
      </c>
      <c r="I32" s="48"/>
      <c r="J32" s="48"/>
      <c r="K32" s="48"/>
      <c r="L32" s="48"/>
      <c r="M32" s="49"/>
      <c r="N32" s="48">
        <v>51796</v>
      </c>
      <c r="O32" s="48">
        <v>94820</v>
      </c>
      <c r="P32" s="16">
        <f>O32/O$39</f>
        <v>9.8173102309376759E-2</v>
      </c>
      <c r="Q32" s="17" t="s">
        <v>37</v>
      </c>
      <c r="R32" s="3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8">
        <v>22928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/>
      <c r="J33" s="48"/>
      <c r="K33" s="48"/>
      <c r="L33" s="48"/>
      <c r="M33" s="49"/>
      <c r="N33" s="48">
        <v>27172</v>
      </c>
      <c r="O33" s="48">
        <v>50100</v>
      </c>
      <c r="P33" s="16">
        <f>O33/O$39</f>
        <v>5.1871677132459139E-2</v>
      </c>
      <c r="Q33" s="17" t="s">
        <v>39</v>
      </c>
      <c r="R33" s="3"/>
      <c r="S33" s="3" t="s">
        <v>35</v>
      </c>
      <c r="T33" s="13">
        <f>C42/1000</f>
        <v>440.42700000000002</v>
      </c>
      <c r="U33" s="15">
        <f>C43</f>
        <v>0.46053462324198757</v>
      </c>
    </row>
    <row r="34" spans="1:48" ht="16" x14ac:dyDescent="0.2">
      <c r="A34" s="8" t="s">
        <v>40</v>
      </c>
      <c r="B34" s="48">
        <v>0</v>
      </c>
      <c r="C34" s="48">
        <v>406694</v>
      </c>
      <c r="D34" s="48">
        <v>0</v>
      </c>
      <c r="E34" s="48">
        <v>0</v>
      </c>
      <c r="F34" s="48">
        <v>33557</v>
      </c>
      <c r="G34" s="48">
        <v>0</v>
      </c>
      <c r="H34" s="48">
        <v>0</v>
      </c>
      <c r="I34" s="48"/>
      <c r="J34" s="48"/>
      <c r="K34" s="48"/>
      <c r="L34" s="48"/>
      <c r="M34" s="49"/>
      <c r="N34" s="48">
        <v>50819</v>
      </c>
      <c r="O34" s="48">
        <v>491070</v>
      </c>
      <c r="P34" s="16">
        <f>O34/O$39</f>
        <v>0.508435618551631</v>
      </c>
      <c r="Q34" s="17" t="s">
        <v>41</v>
      </c>
      <c r="R34" s="3"/>
      <c r="S34" s="3"/>
      <c r="T34" s="13">
        <f>SUM(T23:T33)</f>
        <v>956.33852000000002</v>
      </c>
      <c r="U34" s="14">
        <f>SUM(U23:U33)</f>
        <v>1</v>
      </c>
    </row>
    <row r="35" spans="1:48" ht="16" x14ac:dyDescent="0.2">
      <c r="A35" s="8" t="s">
        <v>42</v>
      </c>
      <c r="B35" s="48">
        <v>20134</v>
      </c>
      <c r="C35" s="48">
        <v>824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/>
      <c r="J35" s="48"/>
      <c r="K35" s="48"/>
      <c r="L35" s="48"/>
      <c r="M35" s="49"/>
      <c r="N35" s="48">
        <v>49304</v>
      </c>
      <c r="O35" s="48">
        <v>70262</v>
      </c>
      <c r="P35" s="16">
        <f>O35/O$39</f>
        <v>7.2746662249118646E-2</v>
      </c>
      <c r="Q35" s="17" t="s">
        <v>43</v>
      </c>
      <c r="R35" s="17"/>
    </row>
    <row r="36" spans="1:48" ht="16" x14ac:dyDescent="0.2">
      <c r="A36" s="8" t="s">
        <v>44</v>
      </c>
      <c r="B36" s="48">
        <v>34655</v>
      </c>
      <c r="C36" s="48">
        <v>234</v>
      </c>
      <c r="D36" s="48">
        <v>0</v>
      </c>
      <c r="E36" s="48">
        <v>0</v>
      </c>
      <c r="F36" s="48">
        <v>0</v>
      </c>
      <c r="G36" s="48">
        <v>27800</v>
      </c>
      <c r="H36" s="48">
        <v>0</v>
      </c>
      <c r="I36" s="48"/>
      <c r="J36" s="48"/>
      <c r="K36" s="48"/>
      <c r="L36" s="48"/>
      <c r="M36" s="49"/>
      <c r="N36" s="48">
        <v>65314</v>
      </c>
      <c r="O36" s="48">
        <v>128003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48">
        <v>59728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/>
      <c r="J37" s="48"/>
      <c r="K37" s="48"/>
      <c r="L37" s="48"/>
      <c r="M37" s="49"/>
      <c r="N37" s="48">
        <v>13400</v>
      </c>
      <c r="O37" s="48">
        <v>73128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/>
      <c r="J38" s="48"/>
      <c r="K38" s="48"/>
      <c r="L38" s="48"/>
      <c r="M38" s="49"/>
      <c r="N38" s="48">
        <v>2853</v>
      </c>
      <c r="O38" s="48">
        <v>2853</v>
      </c>
      <c r="P38" s="17">
        <f>SUM(P31:P35)</f>
        <v>0.78880255113398112</v>
      </c>
      <c r="Q38" s="17"/>
      <c r="R38" s="3"/>
      <c r="S38" s="7" t="s">
        <v>47</v>
      </c>
      <c r="T38" s="18">
        <f>O45/1000</f>
        <v>53.810520000000004</v>
      </c>
      <c r="U38" s="7"/>
    </row>
    <row r="39" spans="1:48" ht="16" x14ac:dyDescent="0.2">
      <c r="A39" s="8" t="s">
        <v>16</v>
      </c>
      <c r="B39" s="48">
        <v>165295</v>
      </c>
      <c r="C39" s="52">
        <f>SUM(C31:C38)</f>
        <v>435124</v>
      </c>
      <c r="D39" s="48">
        <v>0</v>
      </c>
      <c r="E39" s="65">
        <f>SUM(E31:E38)</f>
        <v>9434</v>
      </c>
      <c r="F39" s="48">
        <v>35624</v>
      </c>
      <c r="G39" s="48">
        <v>27800</v>
      </c>
      <c r="H39" s="48">
        <v>0</v>
      </c>
      <c r="I39" s="48"/>
      <c r="J39" s="48"/>
      <c r="K39" s="48"/>
      <c r="L39" s="48"/>
      <c r="M39" s="49"/>
      <c r="N39" s="48">
        <v>292569</v>
      </c>
      <c r="O39" s="48">
        <v>965845</v>
      </c>
      <c r="P39" s="3"/>
      <c r="Q39" s="3"/>
      <c r="R39" s="3"/>
      <c r="S39" s="7" t="s">
        <v>48</v>
      </c>
      <c r="T39" s="19">
        <f>O41/1000</f>
        <v>203.98400000000001</v>
      </c>
      <c r="U39" s="14">
        <f>P41</f>
        <v>0.21119744886601888</v>
      </c>
    </row>
    <row r="40" spans="1:48" x14ac:dyDescent="0.2">
      <c r="S40" s="7" t="s">
        <v>49</v>
      </c>
      <c r="T40" s="19">
        <f>O35/1000</f>
        <v>70.262</v>
      </c>
      <c r="U40" s="15">
        <f>P35</f>
        <v>7.2746662249118646E-2</v>
      </c>
    </row>
    <row r="41" spans="1:48" ht="16" x14ac:dyDescent="0.2">
      <c r="A41" s="20" t="s">
        <v>50</v>
      </c>
      <c r="B41" s="21">
        <f>B38+B37+B36</f>
        <v>94383</v>
      </c>
      <c r="C41" s="21">
        <f t="shared" ref="C41:O41" si="0">C38+C37+C36</f>
        <v>234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27800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0</v>
      </c>
      <c r="N41" s="21">
        <f t="shared" si="0"/>
        <v>81567</v>
      </c>
      <c r="O41" s="21">
        <f t="shared" si="0"/>
        <v>203984</v>
      </c>
      <c r="P41" s="16">
        <f>O41/O$39</f>
        <v>0.21119744886601888</v>
      </c>
      <c r="Q41" s="16" t="s">
        <v>51</v>
      </c>
      <c r="R41" s="7"/>
      <c r="S41" s="7" t="s">
        <v>52</v>
      </c>
      <c r="T41" s="19">
        <f>O33/1000</f>
        <v>50.1</v>
      </c>
      <c r="U41" s="14">
        <f>P33</f>
        <v>5.1871677132459139E-2</v>
      </c>
    </row>
    <row r="42" spans="1:48" ht="16" x14ac:dyDescent="0.2">
      <c r="A42" s="22" t="s">
        <v>53</v>
      </c>
      <c r="B42" s="21"/>
      <c r="C42" s="23">
        <f>C39+C23+C10</f>
        <v>440427</v>
      </c>
      <c r="D42" s="23">
        <f t="shared" ref="D42:M42" si="1">D39+D23+D10</f>
        <v>0</v>
      </c>
      <c r="E42" s="23">
        <f t="shared" si="1"/>
        <v>9434</v>
      </c>
      <c r="F42" s="23">
        <f t="shared" si="1"/>
        <v>35624</v>
      </c>
      <c r="G42" s="23">
        <f t="shared" si="1"/>
        <v>163433</v>
      </c>
      <c r="H42" s="23">
        <f t="shared" si="1"/>
        <v>0</v>
      </c>
      <c r="I42" s="23">
        <f t="shared" si="1"/>
        <v>0</v>
      </c>
      <c r="J42" s="23">
        <f t="shared" si="1"/>
        <v>0</v>
      </c>
      <c r="K42" s="23">
        <f t="shared" si="1"/>
        <v>0</v>
      </c>
      <c r="L42" s="23">
        <f t="shared" ref="L42" si="2">L39+L23+L10</f>
        <v>0</v>
      </c>
      <c r="M42" s="23">
        <f t="shared" si="1"/>
        <v>0</v>
      </c>
      <c r="N42" s="23">
        <f>N39+N23-B6+N45</f>
        <v>307420.52</v>
      </c>
      <c r="O42" s="24">
        <f>SUM(C42:N42)</f>
        <v>956338.52</v>
      </c>
      <c r="P42" s="7"/>
      <c r="Q42" s="7"/>
      <c r="R42" s="7"/>
      <c r="S42" s="7" t="s">
        <v>34</v>
      </c>
      <c r="T42" s="19">
        <f>O31/1000</f>
        <v>55.609000000000002</v>
      </c>
      <c r="U42" s="14">
        <f>P31</f>
        <v>5.7575490891395617E-2</v>
      </c>
    </row>
    <row r="43" spans="1:48" ht="16" x14ac:dyDescent="0.2">
      <c r="A43" s="22" t="s">
        <v>54</v>
      </c>
      <c r="B43" s="21"/>
      <c r="C43" s="16">
        <f t="shared" ref="C43:N43" si="3">C42/$O42</f>
        <v>0.46053462324198757</v>
      </c>
      <c r="D43" s="16">
        <f t="shared" si="3"/>
        <v>0</v>
      </c>
      <c r="E43" s="16">
        <f t="shared" si="3"/>
        <v>9.8647077396819688E-3</v>
      </c>
      <c r="F43" s="16">
        <f t="shared" si="3"/>
        <v>3.7250407941321867E-2</v>
      </c>
      <c r="G43" s="16">
        <f t="shared" si="3"/>
        <v>0.17089450710403256</v>
      </c>
      <c r="H43" s="16">
        <f t="shared" si="3"/>
        <v>0</v>
      </c>
      <c r="I43" s="16">
        <f t="shared" si="3"/>
        <v>0</v>
      </c>
      <c r="J43" s="16">
        <f t="shared" si="3"/>
        <v>0</v>
      </c>
      <c r="K43" s="16">
        <f t="shared" si="3"/>
        <v>0</v>
      </c>
      <c r="L43" s="16">
        <f t="shared" si="3"/>
        <v>0</v>
      </c>
      <c r="M43" s="16">
        <f t="shared" si="3"/>
        <v>0</v>
      </c>
      <c r="N43" s="16">
        <f t="shared" si="3"/>
        <v>0.32145575397297604</v>
      </c>
      <c r="O43" s="16">
        <f>SUM(C43:N43)</f>
        <v>1</v>
      </c>
      <c r="P43" s="7"/>
      <c r="Q43" s="7"/>
      <c r="R43" s="7"/>
      <c r="S43" s="7" t="s">
        <v>55</v>
      </c>
      <c r="T43" s="19">
        <f>O32/1000</f>
        <v>94.82</v>
      </c>
      <c r="U43" s="15">
        <f>P32</f>
        <v>9.8173102309376759E-2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491.07</v>
      </c>
      <c r="U44" s="15">
        <f>P34</f>
        <v>0.508435618551631</v>
      </c>
    </row>
    <row r="45" spans="1:48" ht="16" x14ac:dyDescent="0.2">
      <c r="A45" s="6" t="s">
        <v>57</v>
      </c>
      <c r="B45" s="6">
        <f>B23+B24-B39</f>
        <v>30405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5">
        <f>N39*0.08</f>
        <v>23405.52</v>
      </c>
      <c r="O45" s="24">
        <f>B45+N45</f>
        <v>53810.520000000004</v>
      </c>
      <c r="P45" s="7"/>
      <c r="Q45" s="7"/>
      <c r="R45" s="7"/>
      <c r="S45" s="7" t="s">
        <v>58</v>
      </c>
      <c r="T45" s="19">
        <f>SUM(T39:T44)</f>
        <v>965.84500000000003</v>
      </c>
      <c r="U45" s="14">
        <f>SUM(U39:U44)</f>
        <v>1</v>
      </c>
    </row>
    <row r="46" spans="1:48" ht="16" x14ac:dyDescent="0.2">
      <c r="A46" s="6"/>
      <c r="B46" s="41">
        <f>B45/B23</f>
        <v>0.26256476683937824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/>
      <c r="O46" s="6"/>
      <c r="P46" s="7"/>
      <c r="Q46" s="7"/>
      <c r="R46" s="7"/>
    </row>
    <row r="47" spans="1:48" x14ac:dyDescent="0.2">
      <c r="A47" s="4"/>
      <c r="B47" s="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4"/>
      <c r="S47" s="4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4"/>
      <c r="AI47" s="4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2">
      <c r="A48" s="26"/>
      <c r="B48" s="4"/>
      <c r="C48" s="26"/>
      <c r="D48" s="27"/>
      <c r="E48" s="26"/>
      <c r="F48" s="27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4"/>
      <c r="T48" s="27"/>
      <c r="U48" s="26"/>
      <c r="V48" s="26"/>
      <c r="W48" s="26"/>
      <c r="X48" s="26"/>
      <c r="Y48" s="27"/>
      <c r="Z48" s="26"/>
      <c r="AA48" s="26"/>
      <c r="AB48" s="26"/>
      <c r="AC48" s="26"/>
      <c r="AD48" s="26"/>
      <c r="AE48" s="26"/>
      <c r="AF48" s="27"/>
      <c r="AG48" s="26"/>
      <c r="AH48" s="26"/>
      <c r="AI48" s="4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6"/>
      <c r="P49" s="26"/>
      <c r="Q49" s="26"/>
      <c r="R49" s="26"/>
      <c r="S49" s="4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4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16" x14ac:dyDescent="0.2">
      <c r="A50" s="4"/>
      <c r="B50" s="48"/>
      <c r="C50" s="48"/>
      <c r="D50" s="48"/>
      <c r="E50" s="64"/>
      <c r="F50" s="48"/>
      <c r="G50" s="48"/>
      <c r="H50" s="61"/>
      <c r="I50" s="48"/>
      <c r="J50" s="48"/>
      <c r="K50" s="48"/>
      <c r="L50" s="64"/>
      <c r="M50" s="48"/>
      <c r="N50" s="48"/>
      <c r="O50" s="26"/>
      <c r="P50" s="26"/>
      <c r="Q50" s="26"/>
      <c r="R50" s="48"/>
      <c r="S50" s="4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4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x14ac:dyDescent="0.2">
      <c r="A51" s="26"/>
      <c r="B51" s="4"/>
      <c r="C51" s="9"/>
      <c r="D51" s="9"/>
      <c r="E51" s="9"/>
      <c r="F51" s="9"/>
      <c r="G51" s="9"/>
      <c r="H51" s="9"/>
      <c r="I51" s="9"/>
      <c r="J51" s="9"/>
      <c r="K51" s="9"/>
      <c r="L51" s="9"/>
      <c r="M51" s="26"/>
      <c r="N51" s="9"/>
      <c r="O51" s="26"/>
      <c r="P51" s="26"/>
      <c r="Q51" s="26"/>
      <c r="R51" s="4"/>
      <c r="S51" s="4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4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x14ac:dyDescent="0.2">
      <c r="A52" s="26"/>
      <c r="B52" s="4"/>
      <c r="C52" s="9"/>
      <c r="D52" s="9"/>
      <c r="E52" s="9"/>
      <c r="F52" s="9"/>
      <c r="G52" s="9"/>
      <c r="H52" s="9"/>
      <c r="I52" s="9"/>
      <c r="J52" s="9"/>
      <c r="K52" s="9"/>
      <c r="L52" s="9"/>
      <c r="M52" s="26"/>
      <c r="N52" s="9"/>
      <c r="O52" s="26"/>
      <c r="P52" s="26"/>
      <c r="Q52" s="26"/>
      <c r="R52" s="4"/>
      <c r="S52" s="4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4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</row>
    <row r="53" spans="1:48" x14ac:dyDescent="0.2">
      <c r="A53" s="26"/>
      <c r="B53" s="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4"/>
      <c r="T53" s="27"/>
      <c r="U53" s="26"/>
      <c r="V53" s="26"/>
      <c r="W53" s="26"/>
      <c r="X53" s="26"/>
      <c r="Y53" s="27"/>
      <c r="Z53" s="26"/>
      <c r="AA53" s="26"/>
      <c r="AB53" s="26"/>
      <c r="AC53" s="26"/>
      <c r="AD53" s="26"/>
      <c r="AE53" s="26"/>
      <c r="AF53" s="27"/>
      <c r="AG53" s="26"/>
      <c r="AH53" s="26"/>
      <c r="AI53" s="4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</row>
    <row r="54" spans="1:48" x14ac:dyDescent="0.2">
      <c r="A54" s="26"/>
      <c r="B54" s="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4"/>
      <c r="T54" s="27"/>
      <c r="U54" s="26"/>
      <c r="V54" s="26"/>
      <c r="W54" s="26"/>
      <c r="X54" s="26"/>
      <c r="Y54" s="27"/>
      <c r="Z54" s="26"/>
      <c r="AA54" s="26"/>
      <c r="AB54" s="26"/>
      <c r="AC54" s="26"/>
      <c r="AD54" s="26"/>
      <c r="AE54" s="26"/>
      <c r="AF54" s="27"/>
      <c r="AG54" s="26"/>
      <c r="AH54" s="26"/>
      <c r="AI54" s="4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</row>
    <row r="55" spans="1:48" x14ac:dyDescent="0.2">
      <c r="A55" s="26"/>
      <c r="B55" s="4"/>
      <c r="C55" s="26"/>
      <c r="D55" s="27"/>
      <c r="E55" s="26"/>
      <c r="F55" s="27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4"/>
      <c r="T55" s="27"/>
      <c r="U55" s="26"/>
      <c r="V55" s="26"/>
      <c r="W55" s="26"/>
      <c r="X55" s="26"/>
      <c r="Y55" s="27"/>
      <c r="Z55" s="26"/>
      <c r="AA55" s="26"/>
      <c r="AB55" s="26"/>
      <c r="AC55" s="26"/>
      <c r="AD55" s="26"/>
      <c r="AE55" s="26"/>
      <c r="AF55" s="27"/>
      <c r="AG55" s="26"/>
      <c r="AH55" s="26"/>
      <c r="AI55" s="4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</row>
    <row r="56" spans="1:48" x14ac:dyDescent="0.2">
      <c r="A56" s="26"/>
      <c r="B56" s="4"/>
      <c r="C56" s="26"/>
      <c r="D56" s="27"/>
      <c r="E56" s="26"/>
      <c r="F56" s="27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4"/>
      <c r="T56" s="27"/>
      <c r="U56" s="26"/>
      <c r="V56" s="26"/>
      <c r="W56" s="26"/>
      <c r="X56" s="26"/>
      <c r="Y56" s="27"/>
      <c r="Z56" s="26"/>
      <c r="AA56" s="26"/>
      <c r="AB56" s="26"/>
      <c r="AC56" s="26"/>
      <c r="AD56" s="26"/>
      <c r="AE56" s="26"/>
      <c r="AF56" s="27"/>
      <c r="AG56" s="26"/>
      <c r="AH56" s="26"/>
      <c r="AI56" s="4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29"/>
      <c r="N57" s="29"/>
      <c r="O57" s="7"/>
      <c r="P57" s="6"/>
      <c r="Q57" s="14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29"/>
      <c r="N58" s="29"/>
      <c r="O58" s="7"/>
      <c r="P58" s="6"/>
      <c r="Q58" s="14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29"/>
      <c r="N59" s="29"/>
      <c r="O59" s="7"/>
      <c r="P59" s="6"/>
      <c r="Q59" s="14"/>
      <c r="R59" s="7"/>
      <c r="S59" s="7"/>
      <c r="T59" s="6"/>
      <c r="U59" s="30"/>
    </row>
    <row r="60" spans="1:48" ht="16" x14ac:dyDescent="0.2">
      <c r="A60" s="22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29"/>
      <c r="N60" s="29"/>
      <c r="O60" s="7"/>
      <c r="P60" s="6"/>
      <c r="Q60" s="14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29"/>
      <c r="O61" s="7"/>
      <c r="P61" s="6"/>
      <c r="Q61" s="14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 enableFormatConditionsCalculation="0"/>
  <dimension ref="A1:AV70"/>
  <sheetViews>
    <sheetView zoomScale="90" zoomScaleNormal="90" zoomScalePageLayoutView="90" workbookViewId="0">
      <selection activeCell="A3" sqref="A3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69</v>
      </c>
      <c r="Q2" s="49"/>
      <c r="R2" s="8"/>
      <c r="AH2" s="49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73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9"/>
      <c r="R3" s="49"/>
      <c r="AH3" s="49"/>
      <c r="AI3" s="49"/>
    </row>
    <row r="4" spans="1:35" ht="16" x14ac:dyDescent="0.2">
      <c r="A4" s="49" t="s">
        <v>79</v>
      </c>
      <c r="B4" s="64">
        <f>552*0.95</f>
        <v>524.4</v>
      </c>
      <c r="Q4" s="49"/>
      <c r="R4" s="49"/>
      <c r="AH4" s="49"/>
      <c r="AI4" s="49"/>
    </row>
    <row r="5" spans="1:35" ht="16" x14ac:dyDescent="0.2">
      <c r="A5" s="49"/>
      <c r="Q5" s="49"/>
      <c r="R5" s="49"/>
      <c r="AH5" s="49"/>
      <c r="AI5" s="49"/>
    </row>
    <row r="6" spans="1:35" ht="16" x14ac:dyDescent="0.2">
      <c r="A6" s="8" t="s">
        <v>12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/>
      <c r="J6" s="48"/>
      <c r="K6" s="48"/>
      <c r="L6" s="48"/>
      <c r="M6" s="48"/>
      <c r="N6" s="48"/>
      <c r="O6" s="48">
        <v>0</v>
      </c>
      <c r="Q6" s="49"/>
      <c r="R6" s="49"/>
      <c r="AH6" s="49"/>
      <c r="AI6" s="49"/>
    </row>
    <row r="7" spans="1:35" ht="16" x14ac:dyDescent="0.2">
      <c r="A7" s="8" t="s">
        <v>13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/>
      <c r="J7" s="48"/>
      <c r="K7" s="48"/>
      <c r="L7" s="48"/>
      <c r="M7" s="48"/>
      <c r="N7" s="48"/>
      <c r="O7" s="48">
        <v>0</v>
      </c>
      <c r="P7" s="48"/>
      <c r="Q7" s="49"/>
      <c r="R7" s="49"/>
      <c r="AH7" s="49"/>
      <c r="AI7" s="49"/>
    </row>
    <row r="8" spans="1:35" ht="16" x14ac:dyDescent="0.2">
      <c r="A8" s="8" t="s">
        <v>14</v>
      </c>
      <c r="B8" s="48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/>
      <c r="J8" s="48"/>
      <c r="K8" s="48"/>
      <c r="L8" s="48"/>
      <c r="M8" s="48"/>
      <c r="N8" s="48"/>
      <c r="O8" s="48">
        <v>0</v>
      </c>
      <c r="P8" s="48"/>
      <c r="Q8" s="49"/>
      <c r="R8" s="49"/>
      <c r="AH8" s="49"/>
      <c r="AI8" s="49"/>
    </row>
    <row r="9" spans="1:35" ht="16" x14ac:dyDescent="0.2">
      <c r="A9" s="8" t="s">
        <v>15</v>
      </c>
      <c r="B9" s="48">
        <v>61183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/>
      <c r="J9" s="48"/>
      <c r="K9" s="48"/>
      <c r="L9" s="48"/>
      <c r="M9" s="48"/>
      <c r="N9" s="48"/>
      <c r="O9" s="48">
        <v>0</v>
      </c>
      <c r="P9" s="48"/>
      <c r="Q9" s="49"/>
      <c r="R9" s="49"/>
      <c r="S9" s="8"/>
      <c r="T9" s="50"/>
      <c r="U9" s="50"/>
      <c r="V9" s="48"/>
      <c r="W9" s="48"/>
      <c r="X9" s="48"/>
      <c r="Y9" s="50"/>
      <c r="Z9" s="48"/>
      <c r="AA9" s="48"/>
      <c r="AB9" s="48"/>
      <c r="AC9" s="48"/>
      <c r="AD9" s="48"/>
      <c r="AE9" s="48"/>
      <c r="AF9" s="48"/>
      <c r="AG9" s="50"/>
      <c r="AH9" s="49"/>
      <c r="AI9" s="49"/>
    </row>
    <row r="10" spans="1:35" ht="16" x14ac:dyDescent="0.2">
      <c r="A10" s="8" t="s">
        <v>16</v>
      </c>
      <c r="B10" s="56">
        <f>SUM(B4:B9)</f>
        <v>61707.4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/>
      <c r="J10" s="48"/>
      <c r="K10" s="48"/>
      <c r="L10" s="48"/>
      <c r="M10" s="48"/>
      <c r="N10" s="48"/>
      <c r="O10" s="48">
        <v>0</v>
      </c>
      <c r="P10" s="48"/>
      <c r="Q10" s="49"/>
      <c r="R10" s="49"/>
      <c r="S10" s="8"/>
      <c r="T10" s="50"/>
      <c r="U10" s="50"/>
      <c r="V10" s="48"/>
      <c r="W10" s="48"/>
      <c r="X10" s="48"/>
      <c r="Y10" s="50"/>
      <c r="Z10" s="48"/>
      <c r="AA10" s="48"/>
      <c r="AB10" s="48"/>
      <c r="AC10" s="48"/>
      <c r="AD10" s="48"/>
      <c r="AE10" s="48"/>
      <c r="AF10" s="48"/>
      <c r="AG10" s="50"/>
      <c r="AH10" s="49"/>
      <c r="AI10" s="49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73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/>
      <c r="J17" s="48"/>
      <c r="K17" s="48"/>
      <c r="L17" s="48"/>
      <c r="M17" s="48"/>
      <c r="N17" s="48"/>
      <c r="O17" s="48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57">
        <v>40200</v>
      </c>
      <c r="C18" s="57">
        <v>1600</v>
      </c>
      <c r="D18" s="48">
        <v>0</v>
      </c>
      <c r="E18" s="48">
        <v>0</v>
      </c>
      <c r="F18" s="48">
        <v>0</v>
      </c>
      <c r="G18" s="57">
        <v>45700</v>
      </c>
      <c r="H18" s="48">
        <v>0</v>
      </c>
      <c r="I18" s="48"/>
      <c r="J18" s="48"/>
      <c r="K18" s="48"/>
      <c r="L18" s="48"/>
      <c r="M18" s="48"/>
      <c r="N18" s="48"/>
      <c r="O18" s="57">
        <f>SUM(C18:N18)</f>
        <v>47300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/>
      <c r="J19" s="48"/>
      <c r="K19" s="48"/>
      <c r="L19" s="48"/>
      <c r="M19" s="48"/>
      <c r="N19" s="48"/>
      <c r="O19" s="48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/>
      <c r="J20" s="48"/>
      <c r="K20" s="48"/>
      <c r="L20" s="48"/>
      <c r="M20" s="48"/>
      <c r="N20" s="48"/>
      <c r="O20" s="48">
        <v>0</v>
      </c>
      <c r="P20" s="3"/>
      <c r="Q20" s="3"/>
      <c r="R20" s="3"/>
      <c r="S20" s="3" t="s">
        <v>26</v>
      </c>
      <c r="T20" s="12">
        <f>O42/1000</f>
        <v>204.81</v>
      </c>
      <c r="U20" s="3"/>
    </row>
    <row r="21" spans="1:21" ht="16" x14ac:dyDescent="0.2">
      <c r="A21" s="8" t="s">
        <v>24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/>
      <c r="J21" s="48"/>
      <c r="K21" s="48"/>
      <c r="L21" s="48"/>
      <c r="M21" s="48"/>
      <c r="N21" s="48"/>
      <c r="O21" s="48">
        <v>0</v>
      </c>
      <c r="P21" s="3"/>
      <c r="Q21" s="3"/>
      <c r="R21" s="3"/>
      <c r="S21" s="3"/>
      <c r="T21" s="3"/>
      <c r="U21" s="3"/>
    </row>
    <row r="22" spans="1:21" ht="16" x14ac:dyDescent="0.2">
      <c r="A22" s="8" t="s">
        <v>25</v>
      </c>
      <c r="B22" s="52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/>
      <c r="J22" s="48"/>
      <c r="K22" s="48"/>
      <c r="L22" s="48"/>
      <c r="M22" s="48"/>
      <c r="N22" s="48"/>
      <c r="O22" s="48">
        <v>0</v>
      </c>
      <c r="P22" s="3"/>
      <c r="Q22" s="3"/>
      <c r="R22" s="3"/>
      <c r="S22" s="3"/>
      <c r="T22" s="3" t="s">
        <v>27</v>
      </c>
      <c r="U22" s="3" t="s">
        <v>28</v>
      </c>
    </row>
    <row r="23" spans="1:21" ht="16" x14ac:dyDescent="0.2">
      <c r="A23" s="8" t="s">
        <v>16</v>
      </c>
      <c r="B23" s="57">
        <f>SUM(B17:B22)</f>
        <v>40200</v>
      </c>
      <c r="C23" s="57">
        <f>SUM(C17:C22)</f>
        <v>1600</v>
      </c>
      <c r="D23" s="48">
        <v>0</v>
      </c>
      <c r="E23" s="48">
        <v>0</v>
      </c>
      <c r="F23" s="48">
        <v>0</v>
      </c>
      <c r="G23" s="57">
        <f>SUM(G17:G22)</f>
        <v>45700</v>
      </c>
      <c r="H23" s="48">
        <v>0</v>
      </c>
      <c r="I23" s="48"/>
      <c r="J23" s="48"/>
      <c r="K23" s="48"/>
      <c r="L23" s="48"/>
      <c r="M23" s="48"/>
      <c r="N23" s="48"/>
      <c r="O23" s="57">
        <f>SUM(O17:O22)</f>
        <v>47300</v>
      </c>
      <c r="P23" s="3"/>
      <c r="Q23" s="3"/>
      <c r="R23" s="3"/>
      <c r="S23" s="3" t="s">
        <v>10</v>
      </c>
      <c r="T23" s="13">
        <f>N42/1000</f>
        <v>98.468999999999994</v>
      </c>
      <c r="U23" s="14">
        <f>N43</f>
        <v>0.48078218836970849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73</v>
      </c>
      <c r="T24" s="13">
        <f>G42/1000</f>
        <v>50.692</v>
      </c>
      <c r="U24" s="15">
        <f>G43</f>
        <v>0.24750744592549193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</v>
      </c>
      <c r="T25" s="13">
        <f>J42/1000</f>
        <v>0</v>
      </c>
      <c r="U25" s="14">
        <f>J43</f>
        <v>0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31</v>
      </c>
      <c r="T26" s="13">
        <f>F42/1000</f>
        <v>3.4159999999999999</v>
      </c>
      <c r="U26" s="14">
        <f>F43</f>
        <v>1.6678873101899323E-2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4</v>
      </c>
      <c r="T27" s="12">
        <f>E42/1000</f>
        <v>0.53</v>
      </c>
      <c r="U27" s="14">
        <f>E43</f>
        <v>2.5877642693227869E-3</v>
      </c>
    </row>
    <row r="28" spans="1:21" ht="16" x14ac:dyDescent="0.2">
      <c r="A28" s="4" t="s">
        <v>69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2" t="s">
        <v>3</v>
      </c>
      <c r="T28" s="2">
        <f>D42/1000</f>
        <v>0</v>
      </c>
      <c r="U28" s="47">
        <f>D43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73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8</v>
      </c>
      <c r="T29" s="2">
        <f>K42/1000</f>
        <v>0</v>
      </c>
      <c r="U29" s="47">
        <f>K43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3" t="s">
        <v>5</v>
      </c>
      <c r="T30" s="13">
        <f>I42/1000</f>
        <v>0</v>
      </c>
      <c r="U30" s="14">
        <f>I43</f>
        <v>0</v>
      </c>
    </row>
    <row r="31" spans="1:21" ht="16" x14ac:dyDescent="0.2">
      <c r="A31" s="8" t="s">
        <v>33</v>
      </c>
      <c r="B31" s="48">
        <v>0</v>
      </c>
      <c r="C31" s="48">
        <v>11460</v>
      </c>
      <c r="D31" s="48">
        <v>0</v>
      </c>
      <c r="E31" s="48">
        <v>0</v>
      </c>
      <c r="F31" s="48">
        <v>882</v>
      </c>
      <c r="G31" s="48">
        <v>0</v>
      </c>
      <c r="H31" s="48">
        <v>0</v>
      </c>
      <c r="I31" s="48"/>
      <c r="J31" s="48"/>
      <c r="K31" s="48"/>
      <c r="L31" s="48"/>
      <c r="M31" s="49"/>
      <c r="N31" s="48">
        <v>19910</v>
      </c>
      <c r="O31" s="48">
        <v>32252</v>
      </c>
      <c r="P31" s="16">
        <f>O31/O$39</f>
        <v>0.1745672624138043</v>
      </c>
      <c r="Q31" s="17" t="s">
        <v>34</v>
      </c>
      <c r="R31" s="3"/>
      <c r="S31" s="10" t="str">
        <f>M29</f>
        <v>Övrigt</v>
      </c>
      <c r="T31" s="13">
        <f>M42/1000</f>
        <v>0</v>
      </c>
      <c r="U31" s="14">
        <f>M43</f>
        <v>0</v>
      </c>
    </row>
    <row r="32" spans="1:21" ht="16" x14ac:dyDescent="0.2">
      <c r="A32" s="8" t="s">
        <v>36</v>
      </c>
      <c r="B32" s="52">
        <f>(B39-B37-B36)*3321/(3231+9404+3321)</f>
        <v>2942.6108047129605</v>
      </c>
      <c r="C32" s="48">
        <v>1837</v>
      </c>
      <c r="D32" s="48">
        <v>0</v>
      </c>
      <c r="E32" s="52">
        <v>530</v>
      </c>
      <c r="F32" s="48">
        <v>0</v>
      </c>
      <c r="G32" s="48">
        <v>0</v>
      </c>
      <c r="H32" s="48">
        <v>0</v>
      </c>
      <c r="I32" s="48"/>
      <c r="J32" s="48"/>
      <c r="K32" s="48"/>
      <c r="L32" s="48"/>
      <c r="M32" s="49"/>
      <c r="N32" s="52">
        <f>O32-E32-C32-B32</f>
        <v>16623.38919528704</v>
      </c>
      <c r="O32" s="48">
        <v>21933</v>
      </c>
      <c r="P32" s="16">
        <f>O32/O$39</f>
        <v>0.1187146151098217</v>
      </c>
      <c r="Q32" s="17" t="s">
        <v>37</v>
      </c>
      <c r="R32" s="3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52">
        <f>(B39-B37-B36)*9404/(3231+9404+3321)</f>
        <v>8332.5239408373018</v>
      </c>
      <c r="C33" s="48">
        <v>170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/>
      <c r="J33" s="48"/>
      <c r="K33" s="48"/>
      <c r="L33" s="48"/>
      <c r="M33" s="49"/>
      <c r="N33" s="48">
        <v>8039</v>
      </c>
      <c r="O33" s="52">
        <f>SUM(B33:N33)</f>
        <v>16541.523940837302</v>
      </c>
      <c r="P33" s="16">
        <f>O33/O$39</f>
        <v>8.9532697212711509E-2</v>
      </c>
      <c r="Q33" s="17" t="s">
        <v>39</v>
      </c>
      <c r="R33" s="3"/>
      <c r="S33" s="3" t="s">
        <v>35</v>
      </c>
      <c r="T33" s="13">
        <f>C42/1000</f>
        <v>51.703000000000003</v>
      </c>
      <c r="U33" s="15">
        <f>C43</f>
        <v>0.25244372833357748</v>
      </c>
    </row>
    <row r="34" spans="1:48" ht="16" x14ac:dyDescent="0.2">
      <c r="A34" s="8" t="s">
        <v>40</v>
      </c>
      <c r="B34" s="48">
        <v>0</v>
      </c>
      <c r="C34" s="48">
        <v>34794</v>
      </c>
      <c r="D34" s="48">
        <v>0</v>
      </c>
      <c r="E34" s="48">
        <v>0</v>
      </c>
      <c r="F34" s="48">
        <v>2533</v>
      </c>
      <c r="G34" s="48">
        <v>0</v>
      </c>
      <c r="H34" s="48">
        <v>0</v>
      </c>
      <c r="I34" s="48"/>
      <c r="J34" s="48"/>
      <c r="K34" s="48"/>
      <c r="L34" s="48"/>
      <c r="M34" s="49"/>
      <c r="N34" s="48">
        <v>0</v>
      </c>
      <c r="O34" s="48">
        <v>37328</v>
      </c>
      <c r="P34" s="16">
        <f>O34/O$39</f>
        <v>0.20204163374000023</v>
      </c>
      <c r="Q34" s="17" t="s">
        <v>41</v>
      </c>
      <c r="R34" s="3"/>
      <c r="S34" s="3"/>
      <c r="T34" s="13">
        <f>SUM(T23:T33)</f>
        <v>204.81</v>
      </c>
      <c r="U34" s="14">
        <f>SUM(U23:U33)</f>
        <v>1</v>
      </c>
    </row>
    <row r="35" spans="1:48" ht="16" x14ac:dyDescent="0.2">
      <c r="A35" s="8" t="s">
        <v>42</v>
      </c>
      <c r="B35" s="52">
        <f>(B39-B37-B36)*3231/(3231+9404+3321)</f>
        <v>2862.8652544497368</v>
      </c>
      <c r="C35" s="48">
        <v>1283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/>
      <c r="J35" s="48"/>
      <c r="K35" s="48"/>
      <c r="L35" s="48"/>
      <c r="M35" s="49"/>
      <c r="N35" s="52">
        <f>N39-N38-N37-N36-N33-N32-N31</f>
        <v>13144.61080471296</v>
      </c>
      <c r="O35" s="52">
        <f>SUM(B35:N35)</f>
        <v>17290.476059162698</v>
      </c>
      <c r="P35" s="16">
        <f>O35/O$39</f>
        <v>9.3586477473628166E-2</v>
      </c>
      <c r="Q35" s="17" t="s">
        <v>43</v>
      </c>
      <c r="R35" s="17"/>
    </row>
    <row r="36" spans="1:48" ht="16" x14ac:dyDescent="0.2">
      <c r="A36" s="8" t="s">
        <v>44</v>
      </c>
      <c r="B36" s="57">
        <v>4400</v>
      </c>
      <c r="C36" s="48">
        <v>165</v>
      </c>
      <c r="D36" s="48">
        <v>0</v>
      </c>
      <c r="E36" s="48">
        <v>0</v>
      </c>
      <c r="F36" s="48">
        <v>0</v>
      </c>
      <c r="G36" s="48">
        <v>4992</v>
      </c>
      <c r="H36" s="48">
        <v>0</v>
      </c>
      <c r="I36" s="48"/>
      <c r="J36" s="48"/>
      <c r="K36" s="48"/>
      <c r="L36" s="48"/>
      <c r="M36" s="49"/>
      <c r="N36" s="48">
        <v>24171</v>
      </c>
      <c r="O36" s="52">
        <f>SUM(B36:N36)</f>
        <v>33728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57">
        <v>16000</v>
      </c>
      <c r="C37" s="48">
        <v>394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/>
      <c r="J37" s="48"/>
      <c r="K37" s="48"/>
      <c r="L37" s="48"/>
      <c r="M37" s="49"/>
      <c r="N37" s="48">
        <v>6592</v>
      </c>
      <c r="O37" s="52">
        <f>SUM(B37:N37)</f>
        <v>22986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/>
      <c r="J38" s="48"/>
      <c r="K38" s="48"/>
      <c r="L38" s="48"/>
      <c r="M38" s="49"/>
      <c r="N38" s="48">
        <v>2695</v>
      </c>
      <c r="O38" s="48">
        <v>2695</v>
      </c>
      <c r="P38" s="17">
        <f>SUM(P31:P35)</f>
        <v>0.67844268594996593</v>
      </c>
      <c r="Q38" s="17"/>
      <c r="R38" s="3"/>
      <c r="S38" s="7" t="s">
        <v>47</v>
      </c>
      <c r="T38" s="18">
        <f>O45/1000</f>
        <v>12.956</v>
      </c>
      <c r="U38" s="7"/>
    </row>
    <row r="39" spans="1:48" ht="16" x14ac:dyDescent="0.2">
      <c r="A39" s="8" t="s">
        <v>16</v>
      </c>
      <c r="B39" s="48">
        <v>34538</v>
      </c>
      <c r="C39" s="48">
        <v>50103</v>
      </c>
      <c r="D39" s="48">
        <v>0</v>
      </c>
      <c r="E39" s="52">
        <f>SUM(E31:E38)</f>
        <v>530</v>
      </c>
      <c r="F39" s="48">
        <v>3416</v>
      </c>
      <c r="G39" s="48">
        <v>4992</v>
      </c>
      <c r="H39" s="48">
        <v>0</v>
      </c>
      <c r="I39" s="48"/>
      <c r="J39" s="48"/>
      <c r="K39" s="48"/>
      <c r="L39" s="48"/>
      <c r="M39" s="49"/>
      <c r="N39" s="52">
        <f>O39-G39-F39-E39-C39-B39</f>
        <v>91175</v>
      </c>
      <c r="O39" s="48">
        <v>184754</v>
      </c>
      <c r="P39" s="3"/>
      <c r="Q39" s="3"/>
      <c r="R39" s="3"/>
      <c r="S39" s="7" t="s">
        <v>48</v>
      </c>
      <c r="T39" s="19">
        <f>O41/1000</f>
        <v>59.408999999999999</v>
      </c>
      <c r="U39" s="14">
        <f>P41</f>
        <v>0.32155731405003413</v>
      </c>
    </row>
    <row r="40" spans="1:48" x14ac:dyDescent="0.2">
      <c r="O40" s="10"/>
      <c r="S40" s="7" t="s">
        <v>49</v>
      </c>
      <c r="T40" s="19">
        <f>O35/1000</f>
        <v>17.2904760591627</v>
      </c>
      <c r="U40" s="15">
        <f>P35</f>
        <v>9.3586477473628166E-2</v>
      </c>
    </row>
    <row r="41" spans="1:48" ht="16" x14ac:dyDescent="0.2">
      <c r="A41" s="20" t="s">
        <v>50</v>
      </c>
      <c r="B41" s="21">
        <f>B38+B37+B36</f>
        <v>20400</v>
      </c>
      <c r="C41" s="21">
        <f t="shared" ref="C41:O41" si="0">C38+C37+C36</f>
        <v>559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4992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0</v>
      </c>
      <c r="N41" s="21">
        <f t="shared" si="0"/>
        <v>33458</v>
      </c>
      <c r="O41" s="21">
        <f t="shared" si="0"/>
        <v>59409</v>
      </c>
      <c r="P41" s="16">
        <f>O41/O$39</f>
        <v>0.32155731405003413</v>
      </c>
      <c r="Q41" s="16" t="s">
        <v>51</v>
      </c>
      <c r="R41" s="7"/>
      <c r="S41" s="7" t="s">
        <v>52</v>
      </c>
      <c r="T41" s="19">
        <f>O33/1000</f>
        <v>16.541523940837301</v>
      </c>
      <c r="U41" s="14">
        <f>P33</f>
        <v>8.9532697212711509E-2</v>
      </c>
    </row>
    <row r="42" spans="1:48" ht="16" x14ac:dyDescent="0.2">
      <c r="A42" s="22" t="s">
        <v>53</v>
      </c>
      <c r="B42" s="21"/>
      <c r="C42" s="23">
        <f>C39+C23+C10</f>
        <v>51703</v>
      </c>
      <c r="D42" s="23">
        <f t="shared" ref="D42:M42" si="1">D39+D23+D10</f>
        <v>0</v>
      </c>
      <c r="E42" s="23">
        <f t="shared" si="1"/>
        <v>530</v>
      </c>
      <c r="F42" s="23">
        <f t="shared" si="1"/>
        <v>3416</v>
      </c>
      <c r="G42" s="23">
        <f t="shared" si="1"/>
        <v>50692</v>
      </c>
      <c r="H42" s="23">
        <f t="shared" si="1"/>
        <v>0</v>
      </c>
      <c r="I42" s="23">
        <f t="shared" si="1"/>
        <v>0</v>
      </c>
      <c r="J42" s="23">
        <f t="shared" si="1"/>
        <v>0</v>
      </c>
      <c r="K42" s="23">
        <f t="shared" si="1"/>
        <v>0</v>
      </c>
      <c r="L42" s="23">
        <f t="shared" ref="L42" si="2">L39+L23+L10</f>
        <v>0</v>
      </c>
      <c r="M42" s="23">
        <f t="shared" si="1"/>
        <v>0</v>
      </c>
      <c r="N42" s="23">
        <f>N39+N23-B6+N45</f>
        <v>98469</v>
      </c>
      <c r="O42" s="24">
        <f>SUM(C42:N42)</f>
        <v>204810</v>
      </c>
      <c r="P42" s="7"/>
      <c r="Q42" s="7"/>
      <c r="R42" s="7"/>
      <c r="S42" s="7" t="s">
        <v>34</v>
      </c>
      <c r="T42" s="19">
        <f>O31/1000</f>
        <v>32.252000000000002</v>
      </c>
      <c r="U42" s="14">
        <f>P31</f>
        <v>0.1745672624138043</v>
      </c>
    </row>
    <row r="43" spans="1:48" ht="16" x14ac:dyDescent="0.2">
      <c r="A43" s="22" t="s">
        <v>54</v>
      </c>
      <c r="B43" s="21"/>
      <c r="C43" s="16">
        <f t="shared" ref="C43:N43" si="3">C42/$O42</f>
        <v>0.25244372833357748</v>
      </c>
      <c r="D43" s="16">
        <f t="shared" si="3"/>
        <v>0</v>
      </c>
      <c r="E43" s="16">
        <f t="shared" si="3"/>
        <v>2.5877642693227869E-3</v>
      </c>
      <c r="F43" s="16">
        <f t="shared" si="3"/>
        <v>1.6678873101899323E-2</v>
      </c>
      <c r="G43" s="16">
        <f t="shared" si="3"/>
        <v>0.24750744592549193</v>
      </c>
      <c r="H43" s="16">
        <f t="shared" si="3"/>
        <v>0</v>
      </c>
      <c r="I43" s="16">
        <f t="shared" si="3"/>
        <v>0</v>
      </c>
      <c r="J43" s="16">
        <f t="shared" si="3"/>
        <v>0</v>
      </c>
      <c r="K43" s="16">
        <f t="shared" si="3"/>
        <v>0</v>
      </c>
      <c r="L43" s="16">
        <f t="shared" si="3"/>
        <v>0</v>
      </c>
      <c r="M43" s="16">
        <f t="shared" si="3"/>
        <v>0</v>
      </c>
      <c r="N43" s="16">
        <f t="shared" si="3"/>
        <v>0.48078218836970849</v>
      </c>
      <c r="O43" s="16">
        <f>SUM(C43:N43)</f>
        <v>1</v>
      </c>
      <c r="P43" s="7"/>
      <c r="Q43" s="7"/>
      <c r="R43" s="7"/>
      <c r="S43" s="7" t="s">
        <v>55</v>
      </c>
      <c r="T43" s="19">
        <f>O32/1000</f>
        <v>21.933</v>
      </c>
      <c r="U43" s="15">
        <f>P32</f>
        <v>0.1187146151098217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37.328000000000003</v>
      </c>
      <c r="U44" s="15">
        <f>P34</f>
        <v>0.20204163374000023</v>
      </c>
    </row>
    <row r="45" spans="1:48" ht="16" x14ac:dyDescent="0.2">
      <c r="A45" s="6" t="s">
        <v>57</v>
      </c>
      <c r="B45" s="6">
        <f>B23-B39</f>
        <v>5662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5">
        <f>N39*0.08</f>
        <v>7294</v>
      </c>
      <c r="O45" s="24">
        <f>B45+N45</f>
        <v>12956</v>
      </c>
      <c r="P45" s="7"/>
      <c r="Q45" s="7"/>
      <c r="R45" s="7"/>
      <c r="S45" s="7" t="s">
        <v>58</v>
      </c>
      <c r="T45" s="19">
        <f>SUM(T39:T44)</f>
        <v>184.75399999999999</v>
      </c>
      <c r="U45" s="14">
        <f>SUM(U39:U44)</f>
        <v>1</v>
      </c>
    </row>
    <row r="46" spans="1:48" ht="16" x14ac:dyDescent="0.2">
      <c r="A46" s="6"/>
      <c r="B46" s="41">
        <f>B45/B23</f>
        <v>0.1408457711442786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/>
      <c r="O46" s="6"/>
      <c r="P46" s="7"/>
      <c r="Q46" s="7"/>
      <c r="R46" s="7"/>
    </row>
    <row r="47" spans="1:48" x14ac:dyDescent="0.2">
      <c r="A47" s="4"/>
      <c r="B47" s="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4"/>
      <c r="S47" s="4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4"/>
      <c r="AI47" s="4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2">
      <c r="A48" s="26"/>
      <c r="B48" s="4"/>
      <c r="C48" s="26"/>
      <c r="D48" s="26"/>
      <c r="E48" s="26"/>
      <c r="F48" s="27"/>
      <c r="G48" s="27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4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4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2">
      <c r="A49" s="26"/>
      <c r="B49" s="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4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4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16" x14ac:dyDescent="0.2">
      <c r="A50" s="51"/>
      <c r="B50" s="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4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4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x14ac:dyDescent="0.2">
      <c r="A51" s="26"/>
      <c r="B51" s="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4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4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x14ac:dyDescent="0.2">
      <c r="A52" s="61"/>
      <c r="B52" s="61"/>
      <c r="C52" s="61"/>
      <c r="D52" s="62"/>
      <c r="E52" s="62"/>
      <c r="F52" s="62"/>
      <c r="G52" s="62"/>
      <c r="H52" s="62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4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4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</row>
    <row r="53" spans="1:48" x14ac:dyDescent="0.2">
      <c r="A53" s="62"/>
      <c r="B53" s="62"/>
      <c r="C53" s="62"/>
      <c r="D53" s="63"/>
      <c r="E53" s="63"/>
      <c r="F53" s="63"/>
      <c r="G53" s="63"/>
      <c r="H53" s="63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4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4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</row>
    <row r="54" spans="1:48" x14ac:dyDescent="0.2">
      <c r="A54" s="61"/>
      <c r="B54" s="61"/>
      <c r="C54" s="62"/>
      <c r="D54" s="63"/>
      <c r="E54" s="63"/>
      <c r="F54" s="63"/>
      <c r="G54" s="63"/>
      <c r="H54" s="63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4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4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</row>
    <row r="55" spans="1:48" x14ac:dyDescent="0.2">
      <c r="A55" s="61"/>
      <c r="B55" s="61"/>
      <c r="E55" s="61"/>
      <c r="F55" s="61"/>
      <c r="G55" s="61"/>
      <c r="H55" s="61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4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4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</row>
    <row r="56" spans="1:48" x14ac:dyDescent="0.2">
      <c r="A56" s="26"/>
      <c r="B56" s="4"/>
      <c r="C56" s="26"/>
      <c r="D56" s="26"/>
      <c r="E56" s="26"/>
      <c r="F56" s="27"/>
      <c r="G56" s="27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4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4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29"/>
      <c r="N57" s="29"/>
      <c r="O57" s="7"/>
      <c r="P57" s="6"/>
      <c r="Q57" s="14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29"/>
      <c r="N58" s="29"/>
      <c r="O58" s="7"/>
      <c r="P58" s="6"/>
      <c r="Q58" s="14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29"/>
      <c r="N59" s="29"/>
      <c r="O59" s="7"/>
      <c r="P59" s="6"/>
      <c r="Q59" s="14"/>
      <c r="R59" s="7"/>
      <c r="S59" s="7"/>
      <c r="T59" s="6"/>
      <c r="U59" s="30"/>
    </row>
    <row r="60" spans="1:48" ht="16" x14ac:dyDescent="0.2">
      <c r="A60" s="22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29"/>
      <c r="N60" s="29"/>
      <c r="O60" s="7"/>
      <c r="P60" s="6"/>
      <c r="Q60" s="14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29"/>
      <c r="O61" s="7"/>
      <c r="P61" s="6"/>
      <c r="Q61" s="14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 enableFormatConditionsCalculation="0"/>
  <dimension ref="A1:AV70"/>
  <sheetViews>
    <sheetView zoomScale="90" zoomScaleNormal="90" zoomScalePageLayoutView="90" workbookViewId="0">
      <selection activeCell="A2" sqref="A2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1</v>
      </c>
      <c r="Q2" s="49"/>
      <c r="R2" s="8"/>
      <c r="AH2" s="49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73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9"/>
      <c r="R3" s="49"/>
      <c r="AH3" s="49"/>
      <c r="AI3" s="49"/>
    </row>
    <row r="4" spans="1:35" ht="16" x14ac:dyDescent="0.2">
      <c r="A4" s="49" t="s">
        <v>79</v>
      </c>
      <c r="B4" s="64">
        <f>305*0.95</f>
        <v>289.75</v>
      </c>
      <c r="Q4" s="49"/>
      <c r="R4" s="49"/>
      <c r="AH4" s="49"/>
      <c r="AI4" s="49"/>
    </row>
    <row r="5" spans="1:35" ht="16" x14ac:dyDescent="0.2">
      <c r="A5" s="49"/>
      <c r="Q5" s="49"/>
      <c r="R5" s="49"/>
      <c r="AH5" s="49"/>
      <c r="AI5" s="49"/>
    </row>
    <row r="6" spans="1:35" ht="16" x14ac:dyDescent="0.2">
      <c r="A6" s="8" t="s">
        <v>12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/>
      <c r="J6" s="48"/>
      <c r="K6" s="48"/>
      <c r="L6" s="48"/>
      <c r="M6" s="48"/>
      <c r="N6" s="48"/>
      <c r="O6" s="48">
        <v>0</v>
      </c>
      <c r="Q6" s="49"/>
      <c r="R6" s="49"/>
      <c r="AH6" s="49"/>
      <c r="AI6" s="49"/>
    </row>
    <row r="7" spans="1:35" ht="16" x14ac:dyDescent="0.2">
      <c r="A7" s="8" t="s">
        <v>13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/>
      <c r="J7" s="48"/>
      <c r="K7" s="48"/>
      <c r="L7" s="48"/>
      <c r="M7" s="48"/>
      <c r="N7" s="48"/>
      <c r="O7" s="48">
        <v>0</v>
      </c>
      <c r="P7" s="48"/>
      <c r="Q7" s="49"/>
      <c r="R7" s="49"/>
      <c r="AH7" s="49"/>
      <c r="AI7" s="49"/>
    </row>
    <row r="8" spans="1:35" ht="16" x14ac:dyDescent="0.2">
      <c r="A8" s="8" t="s">
        <v>14</v>
      </c>
      <c r="B8" s="48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/>
      <c r="J8" s="48"/>
      <c r="K8" s="48"/>
      <c r="L8" s="48"/>
      <c r="M8" s="48"/>
      <c r="N8" s="48"/>
      <c r="O8" s="48">
        <v>0</v>
      </c>
      <c r="P8" s="48"/>
      <c r="Q8" s="49"/>
      <c r="R8" s="49"/>
      <c r="AH8" s="49"/>
      <c r="AI8" s="49"/>
    </row>
    <row r="9" spans="1:35" ht="16" x14ac:dyDescent="0.2">
      <c r="A9" s="8" t="s">
        <v>15</v>
      </c>
      <c r="B9" s="48">
        <v>41014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/>
      <c r="J9" s="48"/>
      <c r="K9" s="48"/>
      <c r="L9" s="48"/>
      <c r="M9" s="48"/>
      <c r="N9" s="48"/>
      <c r="O9" s="48">
        <v>0</v>
      </c>
      <c r="P9" s="48"/>
      <c r="Q9" s="49"/>
      <c r="R9" s="49"/>
      <c r="S9" s="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</row>
    <row r="10" spans="1:35" ht="16" x14ac:dyDescent="0.2">
      <c r="A10" s="8" t="s">
        <v>16</v>
      </c>
      <c r="B10" s="56">
        <f>SUM(B4:B9)</f>
        <v>41303.75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/>
      <c r="J10" s="48"/>
      <c r="K10" s="48"/>
      <c r="L10" s="48"/>
      <c r="M10" s="48"/>
      <c r="N10" s="48"/>
      <c r="O10" s="48">
        <v>0</v>
      </c>
      <c r="P10" s="48"/>
      <c r="Q10" s="49"/>
      <c r="R10" s="49"/>
      <c r="S10" s="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9"/>
      <c r="AI10" s="49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76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/>
      <c r="J17" s="48"/>
      <c r="K17" s="48"/>
      <c r="L17" s="48"/>
      <c r="M17" s="48"/>
      <c r="N17" s="48"/>
      <c r="O17" s="48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8">
        <v>13625</v>
      </c>
      <c r="C18" s="48">
        <v>219</v>
      </c>
      <c r="D18" s="48">
        <v>0</v>
      </c>
      <c r="E18" s="48">
        <v>0</v>
      </c>
      <c r="F18" s="48">
        <v>560</v>
      </c>
      <c r="G18" s="48">
        <v>13987</v>
      </c>
      <c r="H18" s="48">
        <v>0</v>
      </c>
      <c r="I18" s="48"/>
      <c r="J18" s="48"/>
      <c r="K18" s="48"/>
      <c r="L18" s="48"/>
      <c r="M18" s="48"/>
      <c r="N18" s="48"/>
      <c r="O18" s="48">
        <v>14766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/>
      <c r="J19" s="48"/>
      <c r="K19" s="48"/>
      <c r="L19" s="48"/>
      <c r="M19" s="48"/>
      <c r="N19" s="48"/>
      <c r="O19" s="48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/>
      <c r="J20" s="48"/>
      <c r="K20" s="48"/>
      <c r="L20" s="48"/>
      <c r="M20" s="48"/>
      <c r="N20" s="48"/>
      <c r="O20" s="48">
        <v>0</v>
      </c>
      <c r="P20" s="3"/>
      <c r="Q20" s="3"/>
      <c r="R20" s="3"/>
      <c r="S20" s="3" t="s">
        <v>26</v>
      </c>
      <c r="T20" s="12">
        <f>O42/1000</f>
        <v>251.40653117423005</v>
      </c>
      <c r="U20" s="3"/>
    </row>
    <row r="21" spans="1:21" ht="16" x14ac:dyDescent="0.2">
      <c r="A21" s="8" t="s">
        <v>24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/>
      <c r="J21" s="48"/>
      <c r="K21" s="48"/>
      <c r="L21" s="48"/>
      <c r="M21" s="48"/>
      <c r="N21" s="48"/>
      <c r="O21" s="48">
        <v>0</v>
      </c>
      <c r="P21" s="3"/>
      <c r="Q21" s="3"/>
      <c r="R21" s="3"/>
      <c r="S21" s="3"/>
      <c r="T21" s="3"/>
      <c r="U21" s="3"/>
    </row>
    <row r="22" spans="1:21" ht="16" x14ac:dyDescent="0.2">
      <c r="A22" s="8" t="s">
        <v>25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/>
      <c r="J22" s="48"/>
      <c r="K22" s="48"/>
      <c r="L22" s="48"/>
      <c r="M22" s="48"/>
      <c r="N22" s="48"/>
      <c r="O22" s="48">
        <v>0</v>
      </c>
      <c r="P22" s="3"/>
      <c r="Q22" s="3"/>
      <c r="R22" s="3"/>
      <c r="S22" s="3"/>
      <c r="T22" s="3" t="s">
        <v>27</v>
      </c>
      <c r="U22" s="3" t="s">
        <v>28</v>
      </c>
    </row>
    <row r="23" spans="1:21" ht="16" x14ac:dyDescent="0.2">
      <c r="A23" s="8" t="s">
        <v>16</v>
      </c>
      <c r="B23" s="48">
        <v>13625</v>
      </c>
      <c r="C23" s="48">
        <v>219</v>
      </c>
      <c r="D23" s="48">
        <v>0</v>
      </c>
      <c r="E23" s="48">
        <v>0</v>
      </c>
      <c r="F23" s="48">
        <v>560</v>
      </c>
      <c r="G23" s="48">
        <v>13987</v>
      </c>
      <c r="H23" s="48">
        <v>0</v>
      </c>
      <c r="I23" s="48"/>
      <c r="J23" s="48"/>
      <c r="K23" s="48"/>
      <c r="L23" s="48"/>
      <c r="M23" s="48"/>
      <c r="N23" s="48"/>
      <c r="O23" s="48">
        <v>14766</v>
      </c>
      <c r="P23" s="3"/>
      <c r="Q23" s="3"/>
      <c r="R23" s="3"/>
      <c r="S23" s="3" t="s">
        <v>10</v>
      </c>
      <c r="T23" s="13">
        <f>N42/1000</f>
        <v>75.122640000000004</v>
      </c>
      <c r="U23" s="14">
        <f>N43</f>
        <v>0.29880942093719287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73</v>
      </c>
      <c r="T24" s="13">
        <f>G42/1000</f>
        <v>34.128999999999998</v>
      </c>
      <c r="U24" s="15">
        <f>G43</f>
        <v>0.13575224096444766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</v>
      </c>
      <c r="T25" s="13">
        <f>J42/1000</f>
        <v>0</v>
      </c>
      <c r="U25" s="14">
        <f>J43</f>
        <v>0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31</v>
      </c>
      <c r="T26" s="13">
        <f>F42/1000</f>
        <v>11.667</v>
      </c>
      <c r="U26" s="14">
        <f>F43</f>
        <v>4.6406908943485335E-2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4</v>
      </c>
      <c r="T27" s="12">
        <f>E42/1000</f>
        <v>11.689891174230057</v>
      </c>
      <c r="U27" s="14">
        <f>E43</f>
        <v>4.6497961368110664E-2</v>
      </c>
    </row>
    <row r="28" spans="1:21" ht="16" x14ac:dyDescent="0.2">
      <c r="A28" s="4" t="s">
        <v>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2" t="s">
        <v>3</v>
      </c>
      <c r="T28" s="2">
        <f>D42/1000</f>
        <v>0</v>
      </c>
      <c r="U28" s="47">
        <f>D43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73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8</v>
      </c>
      <c r="T29" s="2">
        <f>K42/1000</f>
        <v>0</v>
      </c>
      <c r="U29" s="47">
        <f>K43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3" t="s">
        <v>5</v>
      </c>
      <c r="T30" s="13">
        <f>I42/1000</f>
        <v>0</v>
      </c>
      <c r="U30" s="14">
        <f>I43</f>
        <v>0</v>
      </c>
    </row>
    <row r="31" spans="1:21" ht="16" x14ac:dyDescent="0.2">
      <c r="A31" s="8" t="s">
        <v>33</v>
      </c>
      <c r="B31" s="48">
        <v>0</v>
      </c>
      <c r="C31" s="48">
        <v>15315</v>
      </c>
      <c r="D31" s="48">
        <v>0</v>
      </c>
      <c r="E31" s="48">
        <v>0</v>
      </c>
      <c r="F31" s="48">
        <v>1396</v>
      </c>
      <c r="G31" s="48">
        <v>0</v>
      </c>
      <c r="H31" s="48">
        <v>0</v>
      </c>
      <c r="I31" s="48"/>
      <c r="J31" s="48"/>
      <c r="K31" s="48"/>
      <c r="L31" s="48"/>
      <c r="M31" s="49"/>
      <c r="N31" s="48">
        <v>16320</v>
      </c>
      <c r="O31" s="48">
        <v>33032</v>
      </c>
      <c r="P31" s="16">
        <f>O31/O$39</f>
        <v>0.13612692376911054</v>
      </c>
      <c r="Q31" s="17" t="s">
        <v>34</v>
      </c>
      <c r="R31" s="3"/>
      <c r="S31" s="10" t="str">
        <f>M29</f>
        <v>Övrigt</v>
      </c>
      <c r="T31" s="13">
        <f>M42/1000</f>
        <v>0</v>
      </c>
      <c r="U31" s="14">
        <f>M43</f>
        <v>0</v>
      </c>
    </row>
    <row r="32" spans="1:21" ht="16" x14ac:dyDescent="0.2">
      <c r="A32" s="8" t="s">
        <v>36</v>
      </c>
      <c r="B32" s="48">
        <v>2271</v>
      </c>
      <c r="C32" s="48">
        <v>2841</v>
      </c>
      <c r="D32" s="48">
        <v>0</v>
      </c>
      <c r="E32" s="52">
        <f>11990*8959/(230+8959)</f>
        <v>11689.891174230057</v>
      </c>
      <c r="F32" s="48">
        <v>0</v>
      </c>
      <c r="G32" s="48">
        <v>0</v>
      </c>
      <c r="H32" s="48">
        <v>0</v>
      </c>
      <c r="I32" s="48"/>
      <c r="J32" s="48"/>
      <c r="K32" s="48"/>
      <c r="L32" s="48"/>
      <c r="M32" s="49"/>
      <c r="N32" s="52">
        <v>6782</v>
      </c>
      <c r="O32" s="52">
        <f>SUM(B32:N32)</f>
        <v>23583.891174230055</v>
      </c>
      <c r="P32" s="16">
        <f>O32/O$39</f>
        <v>9.7190680432714144E-2</v>
      </c>
      <c r="Q32" s="17" t="s">
        <v>37</v>
      </c>
      <c r="R32" s="3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8">
        <v>3998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/>
      <c r="J33" s="48"/>
      <c r="K33" s="48"/>
      <c r="L33" s="48"/>
      <c r="M33" s="49"/>
      <c r="N33" s="48">
        <v>1382</v>
      </c>
      <c r="O33" s="48">
        <v>5380</v>
      </c>
      <c r="P33" s="16">
        <f>O33/O$39</f>
        <v>2.217131417648991E-2</v>
      </c>
      <c r="Q33" s="17" t="s">
        <v>39</v>
      </c>
      <c r="R33" s="3"/>
      <c r="S33" s="3" t="s">
        <v>35</v>
      </c>
      <c r="T33" s="13">
        <f>C42/1000</f>
        <v>118.798</v>
      </c>
      <c r="U33" s="15">
        <f>C43</f>
        <v>0.47253346778676358</v>
      </c>
    </row>
    <row r="34" spans="1:48" ht="16" x14ac:dyDescent="0.2">
      <c r="A34" s="8" t="s">
        <v>40</v>
      </c>
      <c r="B34" s="48">
        <v>0</v>
      </c>
      <c r="C34" s="48">
        <v>99595</v>
      </c>
      <c r="D34" s="48">
        <v>0</v>
      </c>
      <c r="E34" s="48">
        <v>0</v>
      </c>
      <c r="F34" s="48">
        <v>9711</v>
      </c>
      <c r="G34" s="48">
        <v>0</v>
      </c>
      <c r="H34" s="48">
        <v>0</v>
      </c>
      <c r="I34" s="48"/>
      <c r="J34" s="48"/>
      <c r="K34" s="48"/>
      <c r="L34" s="48"/>
      <c r="M34" s="49"/>
      <c r="N34" s="48">
        <v>0</v>
      </c>
      <c r="O34" s="48">
        <v>109305</v>
      </c>
      <c r="P34" s="16">
        <f>O34/O$39</f>
        <v>0.45045269443517283</v>
      </c>
      <c r="Q34" s="17" t="s">
        <v>41</v>
      </c>
      <c r="R34" s="3"/>
      <c r="S34" s="3"/>
      <c r="T34" s="13">
        <f>SUM(T23:T33)</f>
        <v>251.40653117423008</v>
      </c>
      <c r="U34" s="14">
        <f>SUM(U23:U33)</f>
        <v>1</v>
      </c>
    </row>
    <row r="35" spans="1:48" ht="16" x14ac:dyDescent="0.2">
      <c r="A35" s="8" t="s">
        <v>42</v>
      </c>
      <c r="B35" s="48">
        <v>297</v>
      </c>
      <c r="C35" s="48">
        <v>713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/>
      <c r="J35" s="48"/>
      <c r="K35" s="48"/>
      <c r="L35" s="48"/>
      <c r="M35" s="49"/>
      <c r="N35" s="48">
        <v>19857</v>
      </c>
      <c r="O35" s="48">
        <v>20868</v>
      </c>
      <c r="P35" s="16">
        <f>O35/O$39</f>
        <v>8.5998324207247484E-2</v>
      </c>
      <c r="Q35" s="17" t="s">
        <v>43</v>
      </c>
      <c r="R35" s="17"/>
    </row>
    <row r="36" spans="1:48" ht="16" x14ac:dyDescent="0.2">
      <c r="A36" s="8" t="s">
        <v>44</v>
      </c>
      <c r="B36" s="48">
        <v>776</v>
      </c>
      <c r="C36" s="48">
        <v>114</v>
      </c>
      <c r="D36" s="48">
        <v>0</v>
      </c>
      <c r="E36" s="48">
        <v>0</v>
      </c>
      <c r="F36" s="48">
        <v>0</v>
      </c>
      <c r="G36" s="48">
        <v>20142</v>
      </c>
      <c r="H36" s="48">
        <v>0</v>
      </c>
      <c r="I36" s="48"/>
      <c r="J36" s="48"/>
      <c r="K36" s="48"/>
      <c r="L36" s="48"/>
      <c r="M36" s="49"/>
      <c r="N36" s="48">
        <v>20334</v>
      </c>
      <c r="O36" s="48">
        <v>41367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48">
        <v>4237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/>
      <c r="J37" s="48"/>
      <c r="K37" s="48"/>
      <c r="L37" s="48"/>
      <c r="M37" s="49"/>
      <c r="N37" s="48">
        <v>1895</v>
      </c>
      <c r="O37" s="48">
        <v>6132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/>
      <c r="J38" s="48"/>
      <c r="K38" s="48"/>
      <c r="L38" s="48"/>
      <c r="M38" s="49"/>
      <c r="N38" s="48">
        <v>2988</v>
      </c>
      <c r="O38" s="48">
        <v>2988</v>
      </c>
      <c r="P38" s="17">
        <f>SUM(P31:P35)</f>
        <v>0.79193993702073495</v>
      </c>
      <c r="Q38" s="17"/>
      <c r="R38" s="3"/>
      <c r="S38" s="7" t="s">
        <v>47</v>
      </c>
      <c r="T38" s="18">
        <f>O45/1000</f>
        <v>7.6106400000000001</v>
      </c>
      <c r="U38" s="7"/>
    </row>
    <row r="39" spans="1:48" ht="16" x14ac:dyDescent="0.2">
      <c r="A39" s="8" t="s">
        <v>16</v>
      </c>
      <c r="B39" s="48">
        <v>11579</v>
      </c>
      <c r="C39" s="48">
        <v>118579</v>
      </c>
      <c r="D39" s="48">
        <v>0</v>
      </c>
      <c r="E39" s="52">
        <f>SUM(E31:E38)</f>
        <v>11689.891174230057</v>
      </c>
      <c r="F39" s="48">
        <v>11107</v>
      </c>
      <c r="G39" s="48">
        <v>20142</v>
      </c>
      <c r="H39" s="48">
        <v>0</v>
      </c>
      <c r="I39" s="48"/>
      <c r="J39" s="48"/>
      <c r="K39" s="48"/>
      <c r="L39" s="48"/>
      <c r="M39" s="49"/>
      <c r="N39" s="52">
        <f>SUM(N31:N38)</f>
        <v>69558</v>
      </c>
      <c r="O39" s="52">
        <f>SUM(O31:O38)</f>
        <v>242655.89117423006</v>
      </c>
      <c r="P39" s="3"/>
      <c r="Q39" s="3"/>
      <c r="R39" s="3"/>
      <c r="S39" s="7" t="s">
        <v>48</v>
      </c>
      <c r="T39" s="19">
        <f>O41/1000</f>
        <v>50.487000000000002</v>
      </c>
      <c r="U39" s="14">
        <f>P41</f>
        <v>0.20806006297926508</v>
      </c>
    </row>
    <row r="40" spans="1:48" x14ac:dyDescent="0.2">
      <c r="S40" s="7" t="s">
        <v>49</v>
      </c>
      <c r="T40" s="19">
        <f>O35/1000</f>
        <v>20.867999999999999</v>
      </c>
      <c r="U40" s="15">
        <f>P35</f>
        <v>8.5998324207247484E-2</v>
      </c>
    </row>
    <row r="41" spans="1:48" ht="16" x14ac:dyDescent="0.2">
      <c r="A41" s="20" t="s">
        <v>50</v>
      </c>
      <c r="B41" s="21">
        <f>B38+B37+B36</f>
        <v>5013</v>
      </c>
      <c r="C41" s="21">
        <f t="shared" ref="C41:O41" si="0">C38+C37+C36</f>
        <v>114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20142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0</v>
      </c>
      <c r="N41" s="21">
        <f t="shared" si="0"/>
        <v>25217</v>
      </c>
      <c r="O41" s="21">
        <f t="shared" si="0"/>
        <v>50487</v>
      </c>
      <c r="P41" s="16">
        <f>O41/O$39</f>
        <v>0.20806006297926508</v>
      </c>
      <c r="Q41" s="16" t="s">
        <v>51</v>
      </c>
      <c r="R41" s="7"/>
      <c r="S41" s="7" t="s">
        <v>52</v>
      </c>
      <c r="T41" s="19">
        <f>O33/1000</f>
        <v>5.38</v>
      </c>
      <c r="U41" s="14">
        <f>P33</f>
        <v>2.217131417648991E-2</v>
      </c>
    </row>
    <row r="42" spans="1:48" ht="16" x14ac:dyDescent="0.2">
      <c r="A42" s="22" t="s">
        <v>53</v>
      </c>
      <c r="B42" s="21"/>
      <c r="C42" s="23">
        <f>C39+C23+C10</f>
        <v>118798</v>
      </c>
      <c r="D42" s="23">
        <f t="shared" ref="D42:M42" si="1">D39+D23+D10</f>
        <v>0</v>
      </c>
      <c r="E42" s="23">
        <f t="shared" si="1"/>
        <v>11689.891174230057</v>
      </c>
      <c r="F42" s="23">
        <f t="shared" si="1"/>
        <v>11667</v>
      </c>
      <c r="G42" s="23">
        <f t="shared" si="1"/>
        <v>34129</v>
      </c>
      <c r="H42" s="23">
        <f t="shared" si="1"/>
        <v>0</v>
      </c>
      <c r="I42" s="23">
        <f t="shared" si="1"/>
        <v>0</v>
      </c>
      <c r="J42" s="23">
        <f t="shared" si="1"/>
        <v>0</v>
      </c>
      <c r="K42" s="23">
        <f t="shared" si="1"/>
        <v>0</v>
      </c>
      <c r="L42" s="23">
        <f t="shared" ref="L42" si="2">L39+L23+L10</f>
        <v>0</v>
      </c>
      <c r="M42" s="23">
        <f t="shared" si="1"/>
        <v>0</v>
      </c>
      <c r="N42" s="23">
        <f>N39+N23-B6+N45</f>
        <v>75122.64</v>
      </c>
      <c r="O42" s="24">
        <f>SUM(C42:N42)</f>
        <v>251406.53117423004</v>
      </c>
      <c r="P42" s="7"/>
      <c r="Q42" s="7"/>
      <c r="R42" s="7"/>
      <c r="S42" s="7" t="s">
        <v>34</v>
      </c>
      <c r="T42" s="19">
        <f>O31/1000</f>
        <v>33.031999999999996</v>
      </c>
      <c r="U42" s="14">
        <f>P31</f>
        <v>0.13612692376911054</v>
      </c>
    </row>
    <row r="43" spans="1:48" ht="16" x14ac:dyDescent="0.2">
      <c r="A43" s="22" t="s">
        <v>54</v>
      </c>
      <c r="B43" s="21"/>
      <c r="C43" s="16">
        <f t="shared" ref="C43:N43" si="3">C42/$O42</f>
        <v>0.47253346778676358</v>
      </c>
      <c r="D43" s="16">
        <f t="shared" si="3"/>
        <v>0</v>
      </c>
      <c r="E43" s="16">
        <f t="shared" si="3"/>
        <v>4.6497961368110664E-2</v>
      </c>
      <c r="F43" s="16">
        <f t="shared" si="3"/>
        <v>4.6406908943485335E-2</v>
      </c>
      <c r="G43" s="16">
        <f t="shared" si="3"/>
        <v>0.13575224096444766</v>
      </c>
      <c r="H43" s="16">
        <f t="shared" si="3"/>
        <v>0</v>
      </c>
      <c r="I43" s="16">
        <f t="shared" si="3"/>
        <v>0</v>
      </c>
      <c r="J43" s="16">
        <f t="shared" si="3"/>
        <v>0</v>
      </c>
      <c r="K43" s="16">
        <f t="shared" si="3"/>
        <v>0</v>
      </c>
      <c r="L43" s="16">
        <f t="shared" si="3"/>
        <v>0</v>
      </c>
      <c r="M43" s="16">
        <f t="shared" si="3"/>
        <v>0</v>
      </c>
      <c r="N43" s="16">
        <f t="shared" si="3"/>
        <v>0.29880942093719287</v>
      </c>
      <c r="O43" s="16">
        <f>SUM(C43:N43)</f>
        <v>1</v>
      </c>
      <c r="P43" s="7"/>
      <c r="Q43" s="7"/>
      <c r="R43" s="7"/>
      <c r="S43" s="7" t="s">
        <v>55</v>
      </c>
      <c r="T43" s="19">
        <f>O32/1000</f>
        <v>23.583891174230054</v>
      </c>
      <c r="U43" s="15">
        <f>P32</f>
        <v>9.7190680432714144E-2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109.30500000000001</v>
      </c>
      <c r="U44" s="15">
        <f>P34</f>
        <v>0.45045269443517283</v>
      </c>
    </row>
    <row r="45" spans="1:48" ht="16" x14ac:dyDescent="0.2">
      <c r="A45" s="6" t="s">
        <v>57</v>
      </c>
      <c r="B45" s="6">
        <f>B23-B39</f>
        <v>2046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5">
        <f>N39*0.08</f>
        <v>5564.64</v>
      </c>
      <c r="O45" s="24">
        <f>B45+N45</f>
        <v>7610.64</v>
      </c>
      <c r="P45" s="7"/>
      <c r="Q45" s="7"/>
      <c r="R45" s="7"/>
      <c r="S45" s="7" t="s">
        <v>58</v>
      </c>
      <c r="T45" s="19">
        <f>SUM(T39:T44)</f>
        <v>242.65589117423005</v>
      </c>
      <c r="U45" s="14">
        <f>SUM(U39:U44)</f>
        <v>1</v>
      </c>
    </row>
    <row r="46" spans="1:48" ht="16" x14ac:dyDescent="0.2">
      <c r="A46" s="6"/>
      <c r="B46" s="41">
        <f>B45/B23</f>
        <v>0.1501651376146789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/>
      <c r="O46" s="6"/>
      <c r="P46" s="7"/>
      <c r="Q46" s="7"/>
      <c r="R46" s="7"/>
    </row>
    <row r="47" spans="1:48" x14ac:dyDescent="0.2">
      <c r="A47" s="4"/>
      <c r="B47" s="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4"/>
      <c r="S47" s="4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4"/>
      <c r="AI47" s="4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2">
      <c r="A48" s="26"/>
      <c r="B48" s="4"/>
      <c r="C48" s="26"/>
      <c r="D48" s="27"/>
      <c r="E48" s="26"/>
      <c r="F48" s="27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4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4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6"/>
      <c r="P49" s="26"/>
      <c r="Q49" s="26"/>
      <c r="R49" s="26"/>
      <c r="S49" s="4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4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16" x14ac:dyDescent="0.2">
      <c r="A50" s="4"/>
      <c r="B50" s="48"/>
      <c r="C50" s="48"/>
      <c r="D50" s="48"/>
      <c r="E50" s="56"/>
      <c r="F50" s="48"/>
      <c r="G50" s="48"/>
      <c r="H50" s="61"/>
      <c r="I50" s="48"/>
      <c r="J50" s="48"/>
      <c r="K50" s="48"/>
      <c r="L50" s="64"/>
      <c r="M50" s="48"/>
      <c r="N50" s="48"/>
      <c r="O50" s="26"/>
      <c r="P50" s="26"/>
      <c r="Q50" s="26"/>
      <c r="R50" s="48"/>
      <c r="S50" s="4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4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x14ac:dyDescent="0.2">
      <c r="A51" s="26"/>
      <c r="B51" s="4"/>
      <c r="C51" s="9"/>
      <c r="D51" s="9"/>
      <c r="E51" s="9"/>
      <c r="F51" s="9"/>
      <c r="G51" s="9"/>
      <c r="H51" s="9"/>
      <c r="I51" s="9"/>
      <c r="J51" s="9"/>
      <c r="K51" s="9"/>
      <c r="L51" s="9"/>
      <c r="M51" s="26"/>
      <c r="N51" s="9"/>
      <c r="O51" s="26"/>
      <c r="P51" s="26"/>
      <c r="Q51" s="26"/>
      <c r="R51" s="4"/>
      <c r="S51" s="4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4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x14ac:dyDescent="0.2">
      <c r="A52" s="26"/>
      <c r="B52" s="4"/>
      <c r="C52" s="9"/>
      <c r="D52" s="9"/>
      <c r="E52" s="9"/>
      <c r="F52" s="9"/>
      <c r="G52" s="9"/>
      <c r="H52" s="9"/>
      <c r="I52" s="9"/>
      <c r="J52" s="9"/>
      <c r="K52" s="9"/>
      <c r="L52" s="9"/>
      <c r="M52" s="26"/>
      <c r="N52" s="9"/>
      <c r="O52" s="26"/>
      <c r="P52" s="26"/>
      <c r="Q52" s="26"/>
      <c r="R52" s="4"/>
      <c r="S52" s="4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4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</row>
    <row r="53" spans="1:48" x14ac:dyDescent="0.2">
      <c r="A53" s="26"/>
      <c r="B53" s="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4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4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</row>
    <row r="54" spans="1:48" x14ac:dyDescent="0.2">
      <c r="A54" s="26"/>
      <c r="B54" s="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</row>
    <row r="55" spans="1:48" x14ac:dyDescent="0.2">
      <c r="A55" s="26"/>
      <c r="B55" s="4"/>
      <c r="C55" s="26"/>
      <c r="D55" s="27"/>
      <c r="E55" s="26"/>
      <c r="F55" s="27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</row>
    <row r="56" spans="1:48" x14ac:dyDescent="0.2">
      <c r="A56" s="26"/>
      <c r="B56" s="4"/>
      <c r="C56" s="26"/>
      <c r="D56" s="27"/>
      <c r="E56" s="26"/>
      <c r="F56" s="27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29"/>
      <c r="N57" s="29"/>
      <c r="O57" s="7"/>
      <c r="P57" s="6"/>
      <c r="Q57" s="14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29"/>
      <c r="N58" s="29"/>
      <c r="O58" s="7"/>
      <c r="P58" s="6"/>
      <c r="Q58" s="14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29"/>
      <c r="N59" s="29"/>
      <c r="O59" s="7"/>
      <c r="P59" s="6"/>
      <c r="Q59" s="14"/>
      <c r="R59" s="7"/>
      <c r="S59" s="7"/>
      <c r="T59" s="6"/>
      <c r="U59" s="30"/>
    </row>
    <row r="60" spans="1:48" ht="16" x14ac:dyDescent="0.2">
      <c r="A60" s="22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29"/>
      <c r="N60" s="29"/>
      <c r="O60" s="7"/>
      <c r="P60" s="6"/>
      <c r="Q60" s="14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29"/>
      <c r="O61" s="7"/>
      <c r="P61" s="6"/>
      <c r="Q61" s="14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 enableFormatConditionsCalculation="0"/>
  <dimension ref="A1:AV70"/>
  <sheetViews>
    <sheetView zoomScale="90" zoomScaleNormal="90" zoomScalePageLayoutView="90" workbookViewId="0">
      <selection activeCell="A3" sqref="A3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59</v>
      </c>
      <c r="Q2" s="49"/>
      <c r="R2" s="8"/>
      <c r="AH2" s="49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73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9"/>
      <c r="R3" s="49"/>
      <c r="AH3" s="49"/>
      <c r="AI3" s="49"/>
    </row>
    <row r="4" spans="1:35" ht="16" x14ac:dyDescent="0.2">
      <c r="A4" s="49" t="s">
        <v>79</v>
      </c>
      <c r="B4" s="64">
        <f>121*0.95</f>
        <v>114.94999999999999</v>
      </c>
      <c r="Q4" s="49"/>
      <c r="R4" s="49"/>
      <c r="AH4" s="49"/>
      <c r="AI4" s="49"/>
    </row>
    <row r="5" spans="1:35" ht="16" x14ac:dyDescent="0.2">
      <c r="A5" s="49"/>
      <c r="Q5" s="49"/>
      <c r="R5" s="49"/>
      <c r="AH5" s="49"/>
      <c r="AI5" s="49"/>
    </row>
    <row r="6" spans="1:35" ht="16" x14ac:dyDescent="0.2">
      <c r="A6" s="8" t="s">
        <v>12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/>
      <c r="J6" s="48"/>
      <c r="K6" s="48"/>
      <c r="L6" s="48"/>
      <c r="M6" s="48"/>
      <c r="N6" s="48"/>
      <c r="O6" s="48">
        <v>0</v>
      </c>
      <c r="Q6" s="49"/>
      <c r="R6" s="49"/>
      <c r="AH6" s="49"/>
      <c r="AI6" s="49"/>
    </row>
    <row r="7" spans="1:35" ht="16" x14ac:dyDescent="0.2">
      <c r="A7" s="8" t="s">
        <v>13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/>
      <c r="J7" s="48"/>
      <c r="K7" s="48"/>
      <c r="L7" s="48"/>
      <c r="M7" s="48"/>
      <c r="N7" s="48"/>
      <c r="O7" s="48">
        <v>0</v>
      </c>
      <c r="P7" s="48"/>
      <c r="Q7" s="49"/>
      <c r="R7" s="49"/>
      <c r="AH7" s="49"/>
      <c r="AI7" s="49"/>
    </row>
    <row r="8" spans="1:35" ht="16" x14ac:dyDescent="0.2">
      <c r="A8" s="8" t="s">
        <v>14</v>
      </c>
      <c r="B8" s="52">
        <v>1366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/>
      <c r="J8" s="48"/>
      <c r="K8" s="48"/>
      <c r="L8" s="48"/>
      <c r="M8" s="48"/>
      <c r="N8" s="48"/>
      <c r="O8" s="48">
        <v>0</v>
      </c>
      <c r="P8" s="48"/>
      <c r="Q8" s="49"/>
      <c r="R8" s="49"/>
      <c r="AH8" s="49"/>
      <c r="AI8" s="49"/>
    </row>
    <row r="9" spans="1:35" ht="16" x14ac:dyDescent="0.2">
      <c r="A9" s="8" t="s">
        <v>15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/>
      <c r="J9" s="48"/>
      <c r="K9" s="48"/>
      <c r="L9" s="48"/>
      <c r="M9" s="48"/>
      <c r="N9" s="48"/>
      <c r="O9" s="48">
        <v>0</v>
      </c>
      <c r="P9" s="48"/>
      <c r="Q9" s="49"/>
      <c r="R9" s="49"/>
      <c r="S9" s="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</row>
    <row r="10" spans="1:35" ht="16" x14ac:dyDescent="0.2">
      <c r="A10" s="8" t="s">
        <v>16</v>
      </c>
      <c r="B10" s="52">
        <f>SUM(B4:B9)</f>
        <v>1480.95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/>
      <c r="J10" s="48"/>
      <c r="K10" s="48"/>
      <c r="L10" s="48"/>
      <c r="M10" s="48"/>
      <c r="N10" s="48"/>
      <c r="O10" s="48">
        <v>0</v>
      </c>
      <c r="P10" s="48"/>
      <c r="Q10" s="49"/>
      <c r="R10" s="49"/>
      <c r="S10" s="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9"/>
      <c r="AI10" s="49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59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73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/>
      <c r="J17" s="48"/>
      <c r="K17" s="48"/>
      <c r="L17" s="48"/>
      <c r="M17" s="48"/>
      <c r="N17" s="48"/>
      <c r="O17" s="48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53">
        <v>5000</v>
      </c>
      <c r="C18" s="48">
        <v>0</v>
      </c>
      <c r="D18" s="48">
        <v>0</v>
      </c>
      <c r="E18" s="48">
        <v>0</v>
      </c>
      <c r="F18" s="48">
        <v>0</v>
      </c>
      <c r="G18" s="53">
        <v>5000</v>
      </c>
      <c r="H18" s="48">
        <v>0</v>
      </c>
      <c r="I18" s="48"/>
      <c r="J18" s="48"/>
      <c r="K18" s="48"/>
      <c r="L18" s="48"/>
      <c r="M18" s="48"/>
      <c r="N18" s="48"/>
      <c r="O18" s="53">
        <v>5000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/>
      <c r="J19" s="48"/>
      <c r="K19" s="48"/>
      <c r="L19" s="48"/>
      <c r="M19" s="48"/>
      <c r="N19" s="48"/>
      <c r="O19" s="48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/>
      <c r="J20" s="48"/>
      <c r="K20" s="48"/>
      <c r="L20" s="48"/>
      <c r="M20" s="48"/>
      <c r="N20" s="48"/>
      <c r="O20" s="48">
        <v>0</v>
      </c>
      <c r="P20" s="3"/>
      <c r="Q20" s="3"/>
      <c r="R20" s="3"/>
      <c r="S20" s="3" t="s">
        <v>26</v>
      </c>
      <c r="T20" s="12">
        <f>O42/1000</f>
        <v>116.58619999999999</v>
      </c>
      <c r="U20" s="3"/>
    </row>
    <row r="21" spans="1:21" ht="16" x14ac:dyDescent="0.2">
      <c r="A21" s="8" t="s">
        <v>24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/>
      <c r="J21" s="48"/>
      <c r="K21" s="48"/>
      <c r="L21" s="48"/>
      <c r="M21" s="48"/>
      <c r="N21" s="48"/>
      <c r="O21" s="48">
        <v>0</v>
      </c>
      <c r="P21" s="3"/>
      <c r="Q21" s="3"/>
      <c r="R21" s="3"/>
      <c r="S21" s="3"/>
      <c r="T21" s="3"/>
      <c r="U21" s="3"/>
    </row>
    <row r="22" spans="1:21" ht="16" x14ac:dyDescent="0.2">
      <c r="A22" s="8" t="s">
        <v>25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/>
      <c r="J22" s="48"/>
      <c r="K22" s="48"/>
      <c r="L22" s="48"/>
      <c r="M22" s="48"/>
      <c r="N22" s="48"/>
      <c r="O22" s="48">
        <v>0</v>
      </c>
      <c r="P22" s="3"/>
      <c r="Q22" s="3"/>
      <c r="R22" s="3"/>
      <c r="S22" s="3"/>
      <c r="T22" s="3" t="s">
        <v>27</v>
      </c>
      <c r="U22" s="3" t="s">
        <v>28</v>
      </c>
    </row>
    <row r="23" spans="1:21" ht="16" x14ac:dyDescent="0.2">
      <c r="A23" s="8" t="s">
        <v>16</v>
      </c>
      <c r="B23" s="53">
        <v>5000</v>
      </c>
      <c r="C23" s="48">
        <v>0</v>
      </c>
      <c r="D23" s="48">
        <v>0</v>
      </c>
      <c r="E23" s="48">
        <v>0</v>
      </c>
      <c r="F23" s="48">
        <v>0</v>
      </c>
      <c r="G23" s="53">
        <f>SUM(G17:G22)</f>
        <v>5000</v>
      </c>
      <c r="H23" s="48">
        <v>0</v>
      </c>
      <c r="I23" s="48"/>
      <c r="J23" s="48"/>
      <c r="K23" s="48"/>
      <c r="L23" s="48"/>
      <c r="M23" s="48"/>
      <c r="N23" s="48"/>
      <c r="O23" s="53">
        <v>5000</v>
      </c>
      <c r="P23" s="3"/>
      <c r="Q23" s="3"/>
      <c r="R23" s="3"/>
      <c r="S23" s="3" t="s">
        <v>10</v>
      </c>
      <c r="T23" s="13">
        <f>N42/1000</f>
        <v>51.802199999999999</v>
      </c>
      <c r="U23" s="14">
        <f>N43</f>
        <v>0.44432531465988256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73</v>
      </c>
      <c r="T24" s="13">
        <f>G42/1000</f>
        <v>31.164999999999999</v>
      </c>
      <c r="U24" s="15">
        <f>G43</f>
        <v>0.26731294098272351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</v>
      </c>
      <c r="T25" s="13">
        <f>J42/1000</f>
        <v>0</v>
      </c>
      <c r="U25" s="14">
        <f>J43</f>
        <v>0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31</v>
      </c>
      <c r="T26" s="13">
        <f>F42/1000</f>
        <v>2.5950000000000002</v>
      </c>
      <c r="U26" s="14">
        <f>F43</f>
        <v>2.2258208947542678E-2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4</v>
      </c>
      <c r="T27" s="12">
        <f>E42/1000</f>
        <v>0</v>
      </c>
      <c r="U27" s="14">
        <f>E43</f>
        <v>0</v>
      </c>
    </row>
    <row r="28" spans="1:21" ht="16" x14ac:dyDescent="0.2">
      <c r="A28" s="4" t="s">
        <v>59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2" t="s">
        <v>3</v>
      </c>
      <c r="T28" s="2">
        <f>D42/1000</f>
        <v>0</v>
      </c>
      <c r="U28" s="47">
        <f>D43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73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8</v>
      </c>
      <c r="T29" s="2">
        <f>K42/1000</f>
        <v>0</v>
      </c>
      <c r="U29" s="47">
        <f>K43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3" t="s">
        <v>5</v>
      </c>
      <c r="T30" s="13">
        <f>I42/1000</f>
        <v>0</v>
      </c>
      <c r="U30" s="14">
        <f>I43</f>
        <v>0</v>
      </c>
    </row>
    <row r="31" spans="1:21" ht="16" x14ac:dyDescent="0.2">
      <c r="A31" s="8" t="s">
        <v>33</v>
      </c>
      <c r="B31" s="48">
        <v>0</v>
      </c>
      <c r="C31" s="48">
        <v>6453</v>
      </c>
      <c r="D31" s="48">
        <v>0</v>
      </c>
      <c r="E31" s="48">
        <v>0</v>
      </c>
      <c r="F31" s="48">
        <v>667</v>
      </c>
      <c r="G31" s="48">
        <v>0</v>
      </c>
      <c r="H31" s="48">
        <v>0</v>
      </c>
      <c r="I31" s="48"/>
      <c r="J31" s="48"/>
      <c r="K31" s="48"/>
      <c r="L31" s="48"/>
      <c r="M31" s="49"/>
      <c r="N31" s="48">
        <v>5757</v>
      </c>
      <c r="O31" s="48">
        <v>12877</v>
      </c>
      <c r="P31" s="16">
        <f>O31/O$39</f>
        <v>0.11420943866464447</v>
      </c>
      <c r="Q31" s="17" t="s">
        <v>34</v>
      </c>
      <c r="R31" s="3"/>
      <c r="S31" s="10" t="str">
        <f>M29</f>
        <v>Övrigt</v>
      </c>
      <c r="T31" s="13">
        <f>M42/1000</f>
        <v>0</v>
      </c>
      <c r="U31" s="14">
        <f>M43</f>
        <v>0</v>
      </c>
    </row>
    <row r="32" spans="1:21" ht="16" x14ac:dyDescent="0.2">
      <c r="A32" s="8" t="s">
        <v>36</v>
      </c>
      <c r="B32" s="48">
        <v>0</v>
      </c>
      <c r="C32" s="52">
        <f>O32-N32-G32</f>
        <v>56</v>
      </c>
      <c r="D32" s="48">
        <v>0</v>
      </c>
      <c r="E32" s="48">
        <v>0</v>
      </c>
      <c r="F32" s="48">
        <v>0</v>
      </c>
      <c r="G32" s="52">
        <f>G39-G36</f>
        <v>2415</v>
      </c>
      <c r="H32" s="48">
        <v>0</v>
      </c>
      <c r="I32" s="48"/>
      <c r="J32" s="48"/>
      <c r="K32" s="48"/>
      <c r="L32" s="48"/>
      <c r="M32" s="49"/>
      <c r="N32" s="48">
        <v>11491</v>
      </c>
      <c r="O32" s="48">
        <v>13962</v>
      </c>
      <c r="P32" s="16">
        <f>O32/O$39</f>
        <v>0.12383258388101002</v>
      </c>
      <c r="Q32" s="17" t="s">
        <v>37</v>
      </c>
      <c r="R32" s="3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53">
        <v>2600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/>
      <c r="J33" s="48"/>
      <c r="K33" s="48"/>
      <c r="L33" s="48"/>
      <c r="M33" s="49"/>
      <c r="N33" s="48">
        <v>5265</v>
      </c>
      <c r="O33" s="56">
        <f>SUM(B33:N33)</f>
        <v>7865</v>
      </c>
      <c r="P33" s="16">
        <f>O33/O$39</f>
        <v>6.975671624582036E-2</v>
      </c>
      <c r="Q33" s="17" t="s">
        <v>39</v>
      </c>
      <c r="R33" s="3"/>
      <c r="S33" s="3" t="s">
        <v>35</v>
      </c>
      <c r="T33" s="13">
        <f>C42/1000</f>
        <v>31.024000000000001</v>
      </c>
      <c r="U33" s="15">
        <f>C43</f>
        <v>0.26610353540985127</v>
      </c>
    </row>
    <row r="34" spans="1:48" ht="16" x14ac:dyDescent="0.2">
      <c r="A34" s="8" t="s">
        <v>40</v>
      </c>
      <c r="B34" s="48">
        <v>0</v>
      </c>
      <c r="C34" s="48">
        <v>23316</v>
      </c>
      <c r="D34" s="48">
        <v>0</v>
      </c>
      <c r="E34" s="48">
        <v>0</v>
      </c>
      <c r="F34" s="48">
        <v>1928</v>
      </c>
      <c r="G34" s="48">
        <v>0</v>
      </c>
      <c r="H34" s="48">
        <v>0</v>
      </c>
      <c r="I34" s="48"/>
      <c r="J34" s="48"/>
      <c r="K34" s="48"/>
      <c r="L34" s="48"/>
      <c r="M34" s="49"/>
      <c r="N34" s="48">
        <v>0</v>
      </c>
      <c r="O34" s="48">
        <v>25244</v>
      </c>
      <c r="P34" s="16">
        <f>O34/O$39</f>
        <v>0.22389555561468394</v>
      </c>
      <c r="Q34" s="17" t="s">
        <v>41</v>
      </c>
      <c r="R34" s="3"/>
      <c r="S34" s="3"/>
      <c r="T34" s="13">
        <f>SUM(T23:T33)</f>
        <v>116.58619999999999</v>
      </c>
      <c r="U34" s="14">
        <f>SUM(U23:U33)</f>
        <v>1</v>
      </c>
    </row>
    <row r="35" spans="1:48" ht="16" x14ac:dyDescent="0.2">
      <c r="A35" s="8" t="s">
        <v>42</v>
      </c>
      <c r="B35" s="48">
        <v>0</v>
      </c>
      <c r="C35" s="48">
        <v>1107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/>
      <c r="J35" s="48"/>
      <c r="K35" s="48"/>
      <c r="L35" s="48"/>
      <c r="M35" s="49"/>
      <c r="N35" s="48">
        <v>4332</v>
      </c>
      <c r="O35" s="48">
        <v>5439</v>
      </c>
      <c r="P35" s="16">
        <f>O35/O$39</f>
        <v>4.8239895697522815E-2</v>
      </c>
      <c r="Q35" s="17" t="s">
        <v>43</v>
      </c>
      <c r="R35" s="17"/>
    </row>
    <row r="36" spans="1:48" ht="16" x14ac:dyDescent="0.2">
      <c r="A36" s="8" t="s">
        <v>44</v>
      </c>
      <c r="B36" s="53">
        <v>100</v>
      </c>
      <c r="C36" s="52">
        <f>O36-N36-G36-B36</f>
        <v>92</v>
      </c>
      <c r="D36" s="48">
        <v>0</v>
      </c>
      <c r="E36" s="48">
        <v>0</v>
      </c>
      <c r="F36" s="48">
        <v>0</v>
      </c>
      <c r="G36" s="52">
        <v>23750</v>
      </c>
      <c r="H36" s="48">
        <v>0</v>
      </c>
      <c r="I36" s="48"/>
      <c r="J36" s="48"/>
      <c r="K36" s="48"/>
      <c r="L36" s="48"/>
      <c r="M36" s="49"/>
      <c r="N36" s="48">
        <v>18526</v>
      </c>
      <c r="O36" s="56">
        <f>42368+100</f>
        <v>42468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53">
        <v>2300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/>
      <c r="J37" s="48"/>
      <c r="K37" s="48"/>
      <c r="L37" s="48"/>
      <c r="M37" s="49"/>
      <c r="N37" s="48">
        <v>822</v>
      </c>
      <c r="O37" s="56">
        <f>SUM(B37:N37)</f>
        <v>3122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/>
      <c r="J38" s="48"/>
      <c r="K38" s="48"/>
      <c r="L38" s="48"/>
      <c r="M38" s="49"/>
      <c r="N38" s="48">
        <v>1772</v>
      </c>
      <c r="O38" s="48">
        <v>1772</v>
      </c>
      <c r="P38" s="17">
        <f>SUM(P31:P35)</f>
        <v>0.57993419010368163</v>
      </c>
      <c r="Q38" s="17"/>
      <c r="R38" s="3"/>
      <c r="S38" s="7" t="s">
        <v>47</v>
      </c>
      <c r="T38" s="18">
        <f>O45/1000</f>
        <v>3.8372000000000002</v>
      </c>
      <c r="U38" s="7"/>
    </row>
    <row r="39" spans="1:48" ht="16" x14ac:dyDescent="0.2">
      <c r="A39" s="8" t="s">
        <v>16</v>
      </c>
      <c r="B39" s="53">
        <v>5000</v>
      </c>
      <c r="C39" s="48">
        <v>31024</v>
      </c>
      <c r="D39" s="48">
        <v>0</v>
      </c>
      <c r="E39" s="48">
        <v>0</v>
      </c>
      <c r="F39" s="48">
        <v>2595</v>
      </c>
      <c r="G39" s="48">
        <v>26165</v>
      </c>
      <c r="H39" s="48">
        <v>0</v>
      </c>
      <c r="I39" s="48"/>
      <c r="J39" s="48"/>
      <c r="K39" s="48"/>
      <c r="L39" s="48"/>
      <c r="M39" s="49"/>
      <c r="N39" s="48">
        <v>47965</v>
      </c>
      <c r="O39" s="56">
        <f>SUM(O31:O38)</f>
        <v>112749</v>
      </c>
      <c r="P39" s="3"/>
      <c r="Q39" s="3"/>
      <c r="R39" s="3"/>
      <c r="S39" s="7" t="s">
        <v>48</v>
      </c>
      <c r="T39" s="19">
        <f>O41/1000</f>
        <v>47.362000000000002</v>
      </c>
      <c r="U39" s="14">
        <f>P41</f>
        <v>0.42006580989631837</v>
      </c>
    </row>
    <row r="40" spans="1:48" x14ac:dyDescent="0.2">
      <c r="S40" s="7" t="s">
        <v>49</v>
      </c>
      <c r="T40" s="19">
        <f>O35/1000</f>
        <v>5.4390000000000001</v>
      </c>
      <c r="U40" s="15">
        <f>P35</f>
        <v>4.8239895697522815E-2</v>
      </c>
    </row>
    <row r="41" spans="1:48" ht="16" x14ac:dyDescent="0.2">
      <c r="A41" s="20" t="s">
        <v>50</v>
      </c>
      <c r="B41" s="21">
        <f>B38+B37+B36</f>
        <v>2400</v>
      </c>
      <c r="C41" s="21">
        <f t="shared" ref="C41:O41" si="0">C38+C37+C36</f>
        <v>92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23750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0</v>
      </c>
      <c r="N41" s="21">
        <f t="shared" si="0"/>
        <v>21120</v>
      </c>
      <c r="O41" s="21">
        <f t="shared" si="0"/>
        <v>47362</v>
      </c>
      <c r="P41" s="16">
        <f>O41/O$39</f>
        <v>0.42006580989631837</v>
      </c>
      <c r="Q41" s="16" t="s">
        <v>51</v>
      </c>
      <c r="R41" s="7"/>
      <c r="S41" s="7" t="s">
        <v>52</v>
      </c>
      <c r="T41" s="19">
        <f>O33/1000</f>
        <v>7.8650000000000002</v>
      </c>
      <c r="U41" s="14">
        <f>P33</f>
        <v>6.975671624582036E-2</v>
      </c>
    </row>
    <row r="42" spans="1:48" ht="16" x14ac:dyDescent="0.2">
      <c r="A42" s="22" t="s">
        <v>53</v>
      </c>
      <c r="B42" s="21"/>
      <c r="C42" s="23">
        <f>C39+C23+C10</f>
        <v>31024</v>
      </c>
      <c r="D42" s="23">
        <f t="shared" ref="D42:M42" si="1">D39+D23+D10</f>
        <v>0</v>
      </c>
      <c r="E42" s="23">
        <f t="shared" si="1"/>
        <v>0</v>
      </c>
      <c r="F42" s="23">
        <f t="shared" si="1"/>
        <v>2595</v>
      </c>
      <c r="G42" s="23">
        <f t="shared" si="1"/>
        <v>31165</v>
      </c>
      <c r="H42" s="23">
        <f t="shared" si="1"/>
        <v>0</v>
      </c>
      <c r="I42" s="23">
        <f t="shared" si="1"/>
        <v>0</v>
      </c>
      <c r="J42" s="23">
        <f t="shared" si="1"/>
        <v>0</v>
      </c>
      <c r="K42" s="23">
        <f t="shared" si="1"/>
        <v>0</v>
      </c>
      <c r="L42" s="23">
        <f t="shared" ref="L42" si="2">L39+L23+L10</f>
        <v>0</v>
      </c>
      <c r="M42" s="23">
        <f t="shared" si="1"/>
        <v>0</v>
      </c>
      <c r="N42" s="23">
        <f>N39+N23-B6+N45</f>
        <v>51802.2</v>
      </c>
      <c r="O42" s="24">
        <f>SUM(C42:N42)</f>
        <v>116586.2</v>
      </c>
      <c r="P42" s="7"/>
      <c r="Q42" s="7"/>
      <c r="R42" s="7"/>
      <c r="S42" s="7" t="s">
        <v>34</v>
      </c>
      <c r="T42" s="19">
        <f>O31/1000</f>
        <v>12.877000000000001</v>
      </c>
      <c r="U42" s="14">
        <f>P31</f>
        <v>0.11420943866464447</v>
      </c>
    </row>
    <row r="43" spans="1:48" ht="16" x14ac:dyDescent="0.2">
      <c r="A43" s="22" t="s">
        <v>54</v>
      </c>
      <c r="B43" s="21"/>
      <c r="C43" s="16">
        <f t="shared" ref="C43:N43" si="3">C42/$O42</f>
        <v>0.26610353540985127</v>
      </c>
      <c r="D43" s="16">
        <f t="shared" si="3"/>
        <v>0</v>
      </c>
      <c r="E43" s="16">
        <f t="shared" si="3"/>
        <v>0</v>
      </c>
      <c r="F43" s="16">
        <f t="shared" si="3"/>
        <v>2.2258208947542678E-2</v>
      </c>
      <c r="G43" s="16">
        <f t="shared" si="3"/>
        <v>0.26731294098272351</v>
      </c>
      <c r="H43" s="16">
        <f t="shared" si="3"/>
        <v>0</v>
      </c>
      <c r="I43" s="16">
        <f t="shared" si="3"/>
        <v>0</v>
      </c>
      <c r="J43" s="16">
        <f t="shared" si="3"/>
        <v>0</v>
      </c>
      <c r="K43" s="16">
        <f t="shared" si="3"/>
        <v>0</v>
      </c>
      <c r="L43" s="16">
        <f t="shared" si="3"/>
        <v>0</v>
      </c>
      <c r="M43" s="16">
        <f t="shared" si="3"/>
        <v>0</v>
      </c>
      <c r="N43" s="16">
        <f t="shared" si="3"/>
        <v>0.44432531465988256</v>
      </c>
      <c r="O43" s="16">
        <f>SUM(C43:N43)</f>
        <v>1</v>
      </c>
      <c r="P43" s="7"/>
      <c r="Q43" s="7"/>
      <c r="R43" s="7"/>
      <c r="S43" s="7" t="s">
        <v>55</v>
      </c>
      <c r="T43" s="19">
        <f>O32/1000</f>
        <v>13.962</v>
      </c>
      <c r="U43" s="15">
        <f>P32</f>
        <v>0.12383258388101002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25.244</v>
      </c>
      <c r="U44" s="15">
        <f>P34</f>
        <v>0.22389555561468394</v>
      </c>
    </row>
    <row r="45" spans="1:48" ht="16" x14ac:dyDescent="0.2">
      <c r="A45" s="6" t="s">
        <v>57</v>
      </c>
      <c r="B45" s="6">
        <f>B23-B39</f>
        <v>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5">
        <f>N39*0.08</f>
        <v>3837.2000000000003</v>
      </c>
      <c r="O45" s="24">
        <f>B45+N45</f>
        <v>3837.2000000000003</v>
      </c>
      <c r="P45" s="7"/>
      <c r="Q45" s="7"/>
      <c r="R45" s="7"/>
      <c r="S45" s="7" t="s">
        <v>58</v>
      </c>
      <c r="T45" s="19">
        <f>SUM(T39:T44)</f>
        <v>112.74900000000001</v>
      </c>
      <c r="U45" s="14">
        <f>SUM(U39:U44)</f>
        <v>1</v>
      </c>
    </row>
    <row r="46" spans="1:48" ht="16" x14ac:dyDescent="0.2">
      <c r="A46" s="6"/>
      <c r="B46" s="41">
        <f>B45/B23</f>
        <v>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/>
      <c r="O46" s="6"/>
      <c r="P46" s="7"/>
      <c r="Q46" s="7"/>
      <c r="R46" s="7"/>
    </row>
    <row r="47" spans="1:48" x14ac:dyDescent="0.2">
      <c r="A47" s="4"/>
      <c r="B47" s="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4"/>
      <c r="S47" s="4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4"/>
      <c r="AI47" s="4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2">
      <c r="A48" s="26"/>
      <c r="B48" s="4"/>
      <c r="C48" s="26"/>
      <c r="D48" s="26"/>
      <c r="E48" s="26"/>
      <c r="F48" s="26"/>
      <c r="G48" s="26"/>
      <c r="H48" s="27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4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4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2">
      <c r="A49" s="26"/>
      <c r="B49" s="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4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4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16" x14ac:dyDescent="0.2">
      <c r="A50" s="51"/>
      <c r="B50" s="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4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4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x14ac:dyDescent="0.2">
      <c r="A51" s="26"/>
      <c r="B51" s="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4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4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x14ac:dyDescent="0.2">
      <c r="A52" s="26"/>
      <c r="B52" s="4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4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4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</row>
    <row r="53" spans="1:48" x14ac:dyDescent="0.2">
      <c r="A53" s="26"/>
      <c r="B53" s="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4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4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</row>
    <row r="54" spans="1:48" x14ac:dyDescent="0.2">
      <c r="A54" s="26"/>
      <c r="B54" s="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4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4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</row>
    <row r="55" spans="1:48" x14ac:dyDescent="0.2">
      <c r="A55" s="26"/>
      <c r="B55" s="4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7"/>
      <c r="Q55" s="26"/>
      <c r="R55" s="26"/>
      <c r="S55" s="4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4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</row>
    <row r="56" spans="1:48" x14ac:dyDescent="0.2">
      <c r="A56" s="26"/>
      <c r="B56" s="4"/>
      <c r="C56" s="26"/>
      <c r="D56" s="26"/>
      <c r="E56" s="26"/>
      <c r="F56" s="26"/>
      <c r="G56" s="26"/>
      <c r="H56" s="27"/>
      <c r="I56" s="26"/>
      <c r="J56" s="26"/>
      <c r="K56" s="26"/>
      <c r="L56" s="26"/>
      <c r="M56" s="26"/>
      <c r="N56" s="26"/>
      <c r="O56" s="26"/>
      <c r="P56" s="27"/>
      <c r="Q56" s="26"/>
      <c r="R56" s="26"/>
      <c r="S56" s="4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4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29"/>
      <c r="N57" s="29"/>
      <c r="O57" s="7"/>
      <c r="P57" s="6"/>
      <c r="Q57" s="14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29"/>
      <c r="N58" s="29"/>
      <c r="O58" s="7"/>
      <c r="P58" s="6"/>
      <c r="Q58" s="14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29"/>
      <c r="N59" s="29"/>
      <c r="O59" s="7"/>
      <c r="P59" s="6"/>
      <c r="Q59" s="14"/>
      <c r="R59" s="7"/>
      <c r="S59" s="7"/>
      <c r="T59" s="6"/>
      <c r="U59" s="30"/>
    </row>
    <row r="60" spans="1:48" ht="16" x14ac:dyDescent="0.2">
      <c r="A60" s="22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29"/>
      <c r="N60" s="29"/>
      <c r="O60" s="7"/>
      <c r="P60" s="6"/>
      <c r="Q60" s="14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29"/>
      <c r="O61" s="7"/>
      <c r="P61" s="6"/>
      <c r="Q61" s="14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 enableFormatConditionsCalculation="0"/>
  <dimension ref="A1:AV70"/>
  <sheetViews>
    <sheetView zoomScale="90" zoomScaleNormal="90" zoomScalePageLayoutView="90" workbookViewId="0">
      <selection activeCell="A3" sqref="A3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11" width="8.83203125" style="2"/>
    <col min="12" max="12" width="11.33203125" style="2" customWidth="1"/>
    <col min="13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60</v>
      </c>
      <c r="Q2" s="49"/>
      <c r="R2" s="8"/>
      <c r="AH2" s="49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73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9"/>
      <c r="R3" s="49"/>
      <c r="AH3" s="49"/>
      <c r="AI3" s="49"/>
    </row>
    <row r="4" spans="1:35" ht="16" x14ac:dyDescent="0.2">
      <c r="A4" s="49" t="s">
        <v>79</v>
      </c>
      <c r="B4" s="64">
        <f>264*0.95</f>
        <v>250.79999999999998</v>
      </c>
      <c r="Q4" s="49"/>
      <c r="R4" s="49"/>
      <c r="AH4" s="49"/>
      <c r="AI4" s="49"/>
    </row>
    <row r="5" spans="1:35" ht="16" x14ac:dyDescent="0.2">
      <c r="A5" s="49"/>
      <c r="Q5" s="49"/>
      <c r="R5" s="49"/>
      <c r="AH5" s="49"/>
      <c r="AI5" s="49"/>
    </row>
    <row r="6" spans="1:35" ht="16" x14ac:dyDescent="0.2">
      <c r="A6" s="8" t="s">
        <v>12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/>
      <c r="J6" s="48"/>
      <c r="K6" s="48"/>
      <c r="L6" s="48"/>
      <c r="M6" s="48"/>
      <c r="N6" s="48"/>
      <c r="O6" s="48">
        <v>0</v>
      </c>
      <c r="Q6" s="49"/>
      <c r="R6" s="49"/>
      <c r="AH6" s="49"/>
      <c r="AI6" s="49"/>
    </row>
    <row r="7" spans="1:35" ht="16" x14ac:dyDescent="0.2">
      <c r="A7" s="8" t="s">
        <v>13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/>
      <c r="J7" s="48"/>
      <c r="K7" s="48"/>
      <c r="L7" s="48"/>
      <c r="M7" s="48"/>
      <c r="N7" s="48"/>
      <c r="O7" s="48">
        <v>0</v>
      </c>
      <c r="P7" s="48"/>
      <c r="Q7" s="49"/>
      <c r="R7" s="49"/>
      <c r="AH7" s="49"/>
      <c r="AI7" s="49"/>
    </row>
    <row r="8" spans="1:35" ht="16" x14ac:dyDescent="0.2">
      <c r="A8" s="8" t="s">
        <v>14</v>
      </c>
      <c r="B8" s="48">
        <v>6833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/>
      <c r="J8" s="48"/>
      <c r="K8" s="48"/>
      <c r="L8" s="48"/>
      <c r="M8" s="48"/>
      <c r="N8" s="48"/>
      <c r="O8" s="48">
        <v>0</v>
      </c>
      <c r="P8" s="48"/>
      <c r="Q8" s="49"/>
      <c r="R8" s="49"/>
      <c r="AH8" s="49"/>
      <c r="AI8" s="49"/>
    </row>
    <row r="9" spans="1:35" ht="16" x14ac:dyDescent="0.2">
      <c r="A9" s="8" t="s">
        <v>15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/>
      <c r="J9" s="48"/>
      <c r="K9" s="48"/>
      <c r="L9" s="48"/>
      <c r="M9" s="48"/>
      <c r="N9" s="48"/>
      <c r="O9" s="48">
        <v>0</v>
      </c>
      <c r="P9" s="48"/>
      <c r="Q9" s="49"/>
      <c r="R9" s="49"/>
      <c r="S9" s="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</row>
    <row r="10" spans="1:35" ht="16" x14ac:dyDescent="0.2">
      <c r="A10" s="8" t="s">
        <v>16</v>
      </c>
      <c r="B10" s="56">
        <f>SUM(B4:B9)</f>
        <v>7083.8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/>
      <c r="J10" s="48"/>
      <c r="K10" s="48"/>
      <c r="L10" s="48"/>
      <c r="M10" s="48"/>
      <c r="N10" s="48"/>
      <c r="O10" s="48">
        <v>0</v>
      </c>
      <c r="P10" s="48"/>
      <c r="Q10" s="49"/>
      <c r="R10" s="49"/>
      <c r="S10" s="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9"/>
      <c r="AI10" s="49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73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/>
      <c r="J17" s="48"/>
      <c r="K17" s="48"/>
      <c r="L17" s="48"/>
      <c r="M17" s="48"/>
      <c r="N17" s="48"/>
      <c r="O17" s="48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53">
        <v>19188</v>
      </c>
      <c r="C18" s="53">
        <f>5154+290</f>
        <v>5444</v>
      </c>
      <c r="D18" s="48">
        <v>0</v>
      </c>
      <c r="E18" s="48">
        <v>0</v>
      </c>
      <c r="F18" s="48">
        <v>0</v>
      </c>
      <c r="G18" s="53">
        <f>64253+22588+770</f>
        <v>87611</v>
      </c>
      <c r="H18" s="48">
        <v>0</v>
      </c>
      <c r="I18" s="48"/>
      <c r="J18" s="48"/>
      <c r="K18" s="48"/>
      <c r="L18" s="48"/>
      <c r="M18" s="48"/>
      <c r="N18" s="48"/>
      <c r="O18" s="53">
        <f>SUM(C18:H18)</f>
        <v>93055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/>
      <c r="J19" s="48"/>
      <c r="K19" s="48"/>
      <c r="L19" s="48"/>
      <c r="M19" s="48"/>
      <c r="N19" s="48"/>
      <c r="O19" s="48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/>
      <c r="J20" s="48"/>
      <c r="K20" s="48"/>
      <c r="L20" s="48"/>
      <c r="M20" s="48"/>
      <c r="N20" s="48"/>
      <c r="O20" s="48">
        <v>0</v>
      </c>
      <c r="P20" s="3"/>
      <c r="Q20" s="3"/>
      <c r="R20" s="3"/>
      <c r="S20" s="3" t="s">
        <v>26</v>
      </c>
      <c r="T20" s="12">
        <f>O42/1000</f>
        <v>463.50804000000005</v>
      </c>
      <c r="U20" s="3"/>
    </row>
    <row r="21" spans="1:21" ht="16" x14ac:dyDescent="0.2">
      <c r="A21" s="8" t="s">
        <v>24</v>
      </c>
      <c r="B21" s="55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/>
      <c r="J21" s="48"/>
      <c r="K21" s="48"/>
      <c r="L21" s="48"/>
      <c r="M21" s="48"/>
      <c r="N21" s="48"/>
      <c r="O21" s="48">
        <v>0</v>
      </c>
      <c r="P21" s="3"/>
      <c r="Q21" s="3"/>
      <c r="R21" s="3"/>
      <c r="S21" s="3"/>
      <c r="T21" s="3"/>
      <c r="U21" s="3"/>
    </row>
    <row r="22" spans="1:21" ht="16" x14ac:dyDescent="0.2">
      <c r="A22" s="8" t="s">
        <v>25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/>
      <c r="J22" s="48"/>
      <c r="K22" s="48"/>
      <c r="L22" s="48"/>
      <c r="M22" s="48"/>
      <c r="N22" s="48"/>
      <c r="O22" s="48">
        <v>0</v>
      </c>
      <c r="P22" s="3"/>
      <c r="Q22" s="3"/>
      <c r="R22" s="3"/>
      <c r="S22" s="3"/>
      <c r="T22" s="3" t="s">
        <v>27</v>
      </c>
      <c r="U22" s="3" t="s">
        <v>28</v>
      </c>
    </row>
    <row r="23" spans="1:21" ht="16" x14ac:dyDescent="0.2">
      <c r="A23" s="8" t="s">
        <v>16</v>
      </c>
      <c r="B23" s="48">
        <f>SUM(B18:B22)</f>
        <v>19188</v>
      </c>
      <c r="C23" s="53">
        <f>SUM(C17:C22)</f>
        <v>5444</v>
      </c>
      <c r="D23" s="48">
        <v>0</v>
      </c>
      <c r="E23" s="48">
        <v>0</v>
      </c>
      <c r="F23" s="48">
        <v>0</v>
      </c>
      <c r="G23" s="53">
        <f>SUM(G17:G22)</f>
        <v>87611</v>
      </c>
      <c r="H23" s="48">
        <v>0</v>
      </c>
      <c r="I23" s="48"/>
      <c r="J23" s="48"/>
      <c r="K23" s="48"/>
      <c r="L23" s="48"/>
      <c r="M23" s="48"/>
      <c r="N23" s="48"/>
      <c r="O23" s="53">
        <f>SUM(O17:O22)</f>
        <v>93055</v>
      </c>
      <c r="P23" s="3"/>
      <c r="Q23" s="3"/>
      <c r="R23" s="3"/>
      <c r="S23" s="3" t="s">
        <v>10</v>
      </c>
      <c r="T23" s="13">
        <f>N42/1000</f>
        <v>175.00104000000002</v>
      </c>
      <c r="U23" s="14">
        <f>N43</f>
        <v>0.37755772262332277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73</v>
      </c>
      <c r="T24" s="13">
        <f>G42/1000</f>
        <v>132.334</v>
      </c>
      <c r="U24" s="15">
        <f>G43</f>
        <v>0.28550529565787036</v>
      </c>
    </row>
    <row r="25" spans="1:21" ht="16" x14ac:dyDescent="0.2">
      <c r="A25" s="2" t="s">
        <v>75</v>
      </c>
      <c r="B25" s="53">
        <v>55133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</v>
      </c>
      <c r="T25" s="13">
        <f>J42/1000</f>
        <v>0</v>
      </c>
      <c r="U25" s="14">
        <f>J43</f>
        <v>0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31</v>
      </c>
      <c r="T26" s="13">
        <f>F42/1000</f>
        <v>8.0259999999999998</v>
      </c>
      <c r="U26" s="14">
        <f>F43</f>
        <v>1.7315772990690731E-2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4</v>
      </c>
      <c r="T27" s="12">
        <f>E42/1000</f>
        <v>36.700000000000003</v>
      </c>
      <c r="U27" s="14">
        <f>E43</f>
        <v>7.9178777567698713E-2</v>
      </c>
    </row>
    <row r="28" spans="1:21" ht="16" x14ac:dyDescent="0.2">
      <c r="A28" s="4" t="s">
        <v>60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2" t="s">
        <v>3</v>
      </c>
      <c r="T28" s="2">
        <f>D42/1000</f>
        <v>0</v>
      </c>
      <c r="U28" s="47">
        <f>D43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73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75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8</v>
      </c>
      <c r="T29" s="2">
        <f>K42/1000</f>
        <v>0</v>
      </c>
      <c r="U29" s="47">
        <f>K43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3" t="s">
        <v>5</v>
      </c>
      <c r="T30" s="13">
        <f>I42/1000</f>
        <v>0</v>
      </c>
      <c r="U30" s="14">
        <f>I43</f>
        <v>0</v>
      </c>
    </row>
    <row r="31" spans="1:21" ht="16" x14ac:dyDescent="0.2">
      <c r="A31" s="8" t="s">
        <v>33</v>
      </c>
      <c r="B31" s="48">
        <v>0</v>
      </c>
      <c r="C31" s="48">
        <v>8801</v>
      </c>
      <c r="D31" s="48">
        <v>0</v>
      </c>
      <c r="E31" s="48">
        <v>0</v>
      </c>
      <c r="F31" s="48">
        <v>868</v>
      </c>
      <c r="G31" s="48">
        <v>0</v>
      </c>
      <c r="H31" s="48">
        <v>0</v>
      </c>
      <c r="I31" s="48"/>
      <c r="J31" s="48"/>
      <c r="K31" s="48"/>
      <c r="L31" s="48"/>
      <c r="M31" s="49"/>
      <c r="N31" s="48">
        <v>10986</v>
      </c>
      <c r="O31" s="48">
        <v>20655</v>
      </c>
      <c r="P31" s="16">
        <f>O31/O$39</f>
        <v>4.8030192399812113E-2</v>
      </c>
      <c r="Q31" s="17" t="s">
        <v>34</v>
      </c>
      <c r="R31" s="3"/>
      <c r="S31" s="10" t="str">
        <f>M29</f>
        <v>Övrigt</v>
      </c>
      <c r="T31" s="13">
        <f>M42/1000</f>
        <v>0</v>
      </c>
      <c r="U31" s="14">
        <f>M43</f>
        <v>0</v>
      </c>
    </row>
    <row r="32" spans="1:21" ht="16" x14ac:dyDescent="0.2">
      <c r="A32" s="8" t="s">
        <v>36</v>
      </c>
      <c r="B32" s="48">
        <v>1132</v>
      </c>
      <c r="C32" s="52">
        <v>4660</v>
      </c>
      <c r="D32" s="48">
        <v>0</v>
      </c>
      <c r="E32" s="65">
        <v>36700</v>
      </c>
      <c r="F32" s="48">
        <v>0</v>
      </c>
      <c r="G32" s="52">
        <f>O32-N32-L32-E32-C32-B32</f>
        <v>14510</v>
      </c>
      <c r="H32" s="48">
        <v>0</v>
      </c>
      <c r="I32" s="48"/>
      <c r="J32" s="48"/>
      <c r="K32" s="48"/>
      <c r="L32" s="53">
        <v>55133</v>
      </c>
      <c r="N32" s="48">
        <v>82146</v>
      </c>
      <c r="O32" s="48">
        <v>194281</v>
      </c>
      <c r="P32" s="16">
        <f>O32/O$39</f>
        <v>0.45177215248743147</v>
      </c>
      <c r="Q32" s="17" t="s">
        <v>37</v>
      </c>
      <c r="R32" s="3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8">
        <v>1840</v>
      </c>
      <c r="C33" s="48">
        <v>105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/>
      <c r="J33" s="48"/>
      <c r="K33" s="48"/>
      <c r="M33" s="49"/>
      <c r="N33" s="48">
        <v>9422</v>
      </c>
      <c r="O33" s="48">
        <v>11368</v>
      </c>
      <c r="P33" s="16">
        <f>O33/O$39</f>
        <v>2.6434627315471512E-2</v>
      </c>
      <c r="Q33" s="17" t="s">
        <v>39</v>
      </c>
      <c r="R33" s="3"/>
      <c r="S33" s="3" t="s">
        <v>35</v>
      </c>
      <c r="T33" s="13">
        <f>C42/1000</f>
        <v>111.447</v>
      </c>
      <c r="U33" s="15">
        <f>C43</f>
        <v>0.24044243116041739</v>
      </c>
    </row>
    <row r="34" spans="1:48" ht="16" x14ac:dyDescent="0.2">
      <c r="A34" s="8" t="s">
        <v>40</v>
      </c>
      <c r="B34" s="48">
        <v>0</v>
      </c>
      <c r="C34" s="48">
        <v>90864</v>
      </c>
      <c r="D34" s="48">
        <v>0</v>
      </c>
      <c r="E34" s="48">
        <v>0</v>
      </c>
      <c r="F34" s="48">
        <v>7158</v>
      </c>
      <c r="G34" s="48">
        <v>0</v>
      </c>
      <c r="H34" s="48">
        <v>0</v>
      </c>
      <c r="I34" s="48"/>
      <c r="J34" s="48"/>
      <c r="K34" s="48"/>
      <c r="L34" s="48"/>
      <c r="M34" s="49"/>
      <c r="N34" s="48">
        <v>41</v>
      </c>
      <c r="O34" s="48">
        <v>98063</v>
      </c>
      <c r="P34" s="16">
        <f>O34/O$39</f>
        <v>0.22803121555568992</v>
      </c>
      <c r="Q34" s="17" t="s">
        <v>41</v>
      </c>
      <c r="R34" s="3"/>
      <c r="S34" s="3"/>
      <c r="T34" s="13">
        <f>SUM(T23:T33)</f>
        <v>463.50804000000005</v>
      </c>
      <c r="U34" s="14">
        <f>SUM(U23:U33)</f>
        <v>1</v>
      </c>
    </row>
    <row r="35" spans="1:48" ht="16" x14ac:dyDescent="0.2">
      <c r="A35" s="8" t="s">
        <v>42</v>
      </c>
      <c r="B35" s="48">
        <v>983</v>
      </c>
      <c r="C35" s="48">
        <v>1124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/>
      <c r="J35" s="48"/>
      <c r="K35" s="48"/>
      <c r="L35" s="48"/>
      <c r="M35" s="49"/>
      <c r="N35" s="48">
        <v>16050</v>
      </c>
      <c r="O35" s="48">
        <v>18157</v>
      </c>
      <c r="P35" s="16">
        <f>O35/O$39</f>
        <v>4.2221457439040835E-2</v>
      </c>
      <c r="Q35" s="17" t="s">
        <v>43</v>
      </c>
      <c r="R35" s="17"/>
    </row>
    <row r="36" spans="1:48" ht="16" x14ac:dyDescent="0.2">
      <c r="A36" s="8" t="s">
        <v>44</v>
      </c>
      <c r="B36" s="48">
        <v>1947</v>
      </c>
      <c r="C36" s="48">
        <v>312</v>
      </c>
      <c r="D36" s="48">
        <v>0</v>
      </c>
      <c r="E36" s="48">
        <v>0</v>
      </c>
      <c r="F36" s="48">
        <v>0</v>
      </c>
      <c r="G36" s="48">
        <v>30213</v>
      </c>
      <c r="H36" s="48">
        <v>0</v>
      </c>
      <c r="I36" s="48"/>
      <c r="J36" s="48"/>
      <c r="K36" s="48"/>
      <c r="L36" s="48"/>
      <c r="M36" s="49"/>
      <c r="N36" s="48">
        <v>34398</v>
      </c>
      <c r="O36" s="48">
        <v>66870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48">
        <v>11515</v>
      </c>
      <c r="C37" s="48">
        <v>137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/>
      <c r="J37" s="48"/>
      <c r="K37" s="48"/>
      <c r="L37" s="48"/>
      <c r="M37" s="49"/>
      <c r="N37" s="48">
        <v>2355</v>
      </c>
      <c r="O37" s="48">
        <v>14008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/>
      <c r="J38" s="48"/>
      <c r="K38" s="48"/>
      <c r="L38" s="48"/>
      <c r="M38" s="49"/>
      <c r="N38" s="48">
        <v>6640</v>
      </c>
      <c r="O38" s="48">
        <v>6640</v>
      </c>
      <c r="P38" s="17">
        <f>SUM(P31:P35)</f>
        <v>0.79648964519744581</v>
      </c>
      <c r="Q38" s="17"/>
      <c r="R38" s="3"/>
      <c r="S38" s="7" t="s">
        <v>47</v>
      </c>
      <c r="T38" s="18">
        <f>O45/1000</f>
        <v>14.73404</v>
      </c>
      <c r="U38" s="7"/>
    </row>
    <row r="39" spans="1:48" ht="16" x14ac:dyDescent="0.2">
      <c r="A39" s="8" t="s">
        <v>16</v>
      </c>
      <c r="B39" s="48">
        <v>17417</v>
      </c>
      <c r="C39" s="52">
        <f>SUM(C31:C38)</f>
        <v>106003</v>
      </c>
      <c r="D39" s="48">
        <v>0</v>
      </c>
      <c r="E39" s="65">
        <f>SUM(E31:E38)</f>
        <v>36700</v>
      </c>
      <c r="F39" s="48">
        <v>8026</v>
      </c>
      <c r="G39" s="52">
        <f>SUM(G31:G38)</f>
        <v>44723</v>
      </c>
      <c r="H39" s="48">
        <v>0</v>
      </c>
      <c r="I39" s="48"/>
      <c r="J39" s="48"/>
      <c r="K39" s="48"/>
      <c r="L39" s="53">
        <f>SUM(L32:L38)</f>
        <v>55133</v>
      </c>
      <c r="N39" s="48">
        <v>162038</v>
      </c>
      <c r="O39" s="48">
        <v>430042</v>
      </c>
      <c r="P39" s="3"/>
      <c r="Q39" s="3"/>
      <c r="R39" s="3"/>
      <c r="S39" s="7" t="s">
        <v>48</v>
      </c>
      <c r="T39" s="19">
        <f>O41/1000</f>
        <v>87.518000000000001</v>
      </c>
      <c r="U39" s="14">
        <f>P41</f>
        <v>0.20351035480255417</v>
      </c>
    </row>
    <row r="40" spans="1:48" x14ac:dyDescent="0.2">
      <c r="S40" s="7" t="s">
        <v>49</v>
      </c>
      <c r="T40" s="19">
        <f>O35/1000</f>
        <v>18.157</v>
      </c>
      <c r="U40" s="15">
        <f>P35</f>
        <v>4.2221457439040835E-2</v>
      </c>
    </row>
    <row r="41" spans="1:48" ht="16" x14ac:dyDescent="0.2">
      <c r="A41" s="20" t="s">
        <v>50</v>
      </c>
      <c r="B41" s="21">
        <f>B38+B37+B36</f>
        <v>13462</v>
      </c>
      <c r="C41" s="21">
        <f t="shared" ref="C41:O41" si="0">C38+C37+C36</f>
        <v>449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30213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0</v>
      </c>
      <c r="N41" s="21">
        <f t="shared" si="0"/>
        <v>43393</v>
      </c>
      <c r="O41" s="21">
        <f t="shared" si="0"/>
        <v>87518</v>
      </c>
      <c r="P41" s="16">
        <f>O41/O$39</f>
        <v>0.20351035480255417</v>
      </c>
      <c r="Q41" s="16" t="s">
        <v>51</v>
      </c>
      <c r="R41" s="7"/>
      <c r="S41" s="7" t="s">
        <v>52</v>
      </c>
      <c r="T41" s="19">
        <f>O33/1000</f>
        <v>11.368</v>
      </c>
      <c r="U41" s="14">
        <f>P33</f>
        <v>2.6434627315471512E-2</v>
      </c>
    </row>
    <row r="42" spans="1:48" ht="16" x14ac:dyDescent="0.2">
      <c r="A42" s="22" t="s">
        <v>53</v>
      </c>
      <c r="B42" s="21"/>
      <c r="C42" s="23">
        <f>C39+C23+C10</f>
        <v>111447</v>
      </c>
      <c r="D42" s="23">
        <f t="shared" ref="D42:M42" si="1">D39+D23+D10</f>
        <v>0</v>
      </c>
      <c r="E42" s="23">
        <f t="shared" si="1"/>
        <v>36700</v>
      </c>
      <c r="F42" s="23">
        <f t="shared" si="1"/>
        <v>8026</v>
      </c>
      <c r="G42" s="23">
        <f t="shared" si="1"/>
        <v>132334</v>
      </c>
      <c r="H42" s="23">
        <f t="shared" si="1"/>
        <v>0</v>
      </c>
      <c r="I42" s="23">
        <f t="shared" si="1"/>
        <v>0</v>
      </c>
      <c r="J42" s="23">
        <f t="shared" si="1"/>
        <v>0</v>
      </c>
      <c r="K42" s="23">
        <f t="shared" si="1"/>
        <v>0</v>
      </c>
      <c r="L42" s="21">
        <v>0</v>
      </c>
      <c r="M42" s="23">
        <f t="shared" si="1"/>
        <v>0</v>
      </c>
      <c r="N42" s="23">
        <f>N39+N23-B6+N45</f>
        <v>175001.04</v>
      </c>
      <c r="O42" s="24">
        <f>SUM(C42:N42)</f>
        <v>463508.04000000004</v>
      </c>
      <c r="P42" s="7"/>
      <c r="Q42" s="7"/>
      <c r="R42" s="7"/>
      <c r="S42" s="7" t="s">
        <v>34</v>
      </c>
      <c r="T42" s="19">
        <f>O31/1000</f>
        <v>20.655000000000001</v>
      </c>
      <c r="U42" s="14">
        <f>P31</f>
        <v>4.8030192399812113E-2</v>
      </c>
    </row>
    <row r="43" spans="1:48" ht="16" x14ac:dyDescent="0.2">
      <c r="A43" s="22" t="s">
        <v>54</v>
      </c>
      <c r="B43" s="21"/>
      <c r="C43" s="16">
        <f t="shared" ref="C43:N43" si="2">C42/$O42</f>
        <v>0.24044243116041739</v>
      </c>
      <c r="D43" s="16">
        <f t="shared" si="2"/>
        <v>0</v>
      </c>
      <c r="E43" s="16">
        <f t="shared" si="2"/>
        <v>7.9178777567698713E-2</v>
      </c>
      <c r="F43" s="16">
        <f t="shared" si="2"/>
        <v>1.7315772990690731E-2</v>
      </c>
      <c r="G43" s="16">
        <f t="shared" si="2"/>
        <v>0.28550529565787036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0.37755772262332277</v>
      </c>
      <c r="O43" s="16">
        <f>SUM(C43:N43)</f>
        <v>0.99999999999999989</v>
      </c>
      <c r="P43" s="7"/>
      <c r="Q43" s="7"/>
      <c r="R43" s="7"/>
      <c r="S43" s="7" t="s">
        <v>55</v>
      </c>
      <c r="T43" s="19">
        <f>O32/1000</f>
        <v>194.28100000000001</v>
      </c>
      <c r="U43" s="15">
        <f>P32</f>
        <v>0.45177215248743147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98.063000000000002</v>
      </c>
      <c r="U44" s="15">
        <f>P34</f>
        <v>0.22803121555568992</v>
      </c>
    </row>
    <row r="45" spans="1:48" ht="16" x14ac:dyDescent="0.2">
      <c r="A45" s="6" t="s">
        <v>57</v>
      </c>
      <c r="B45" s="6">
        <f>B23-B39</f>
        <v>1771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5">
        <f>N39*0.08</f>
        <v>12963.04</v>
      </c>
      <c r="O45" s="24">
        <f>B45+N45</f>
        <v>14734.04</v>
      </c>
      <c r="P45" s="7"/>
      <c r="Q45" s="7"/>
      <c r="R45" s="7"/>
      <c r="S45" s="7" t="s">
        <v>58</v>
      </c>
      <c r="T45" s="19">
        <f>SUM(T39:T44)</f>
        <v>430.04199999999997</v>
      </c>
      <c r="U45" s="14">
        <f>SUM(U39:U44)</f>
        <v>1</v>
      </c>
    </row>
    <row r="46" spans="1:48" ht="16" x14ac:dyDescent="0.2">
      <c r="A46" s="6"/>
      <c r="B46" s="41">
        <f>B45/B23</f>
        <v>9.2297269126537421E-2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/>
      <c r="O46" s="6"/>
      <c r="P46" s="7"/>
      <c r="Q46" s="7"/>
      <c r="R46" s="7"/>
    </row>
    <row r="47" spans="1:48" x14ac:dyDescent="0.2">
      <c r="A47" s="4"/>
      <c r="B47" s="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4"/>
      <c r="S47" s="4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4"/>
      <c r="AI47" s="4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2">
      <c r="A48" s="26"/>
      <c r="B48" s="4"/>
      <c r="C48" s="26"/>
      <c r="D48" s="26"/>
      <c r="E48" s="26"/>
      <c r="F48" s="27"/>
      <c r="G48" s="27"/>
      <c r="H48" s="27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4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4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2">
      <c r="A49" s="26"/>
      <c r="B49" s="9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4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4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16" x14ac:dyDescent="0.2">
      <c r="A50" s="51"/>
      <c r="B50" s="9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4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4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x14ac:dyDescent="0.2">
      <c r="A51" s="26"/>
      <c r="B51" s="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4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4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26"/>
      <c r="P52" s="26"/>
      <c r="Q52" s="26"/>
      <c r="R52" s="26"/>
      <c r="S52" s="4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4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</row>
    <row r="53" spans="1:48" x14ac:dyDescent="0.2">
      <c r="A53" s="26"/>
      <c r="B53" s="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4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4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</row>
    <row r="54" spans="1:48" x14ac:dyDescent="0.2">
      <c r="A54" s="26"/>
      <c r="B54" s="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4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4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</row>
    <row r="55" spans="1:48" x14ac:dyDescent="0.2">
      <c r="A55" s="26"/>
      <c r="B55" s="4"/>
      <c r="C55" s="26"/>
      <c r="D55" s="26"/>
      <c r="E55" s="26"/>
      <c r="F55" s="27"/>
      <c r="G55" s="27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4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4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</row>
    <row r="56" spans="1:48" x14ac:dyDescent="0.2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26"/>
      <c r="Q56" s="26"/>
      <c r="R56" s="26"/>
      <c r="S56" s="4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4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</row>
    <row r="57" spans="1:48" ht="16" x14ac:dyDescent="0.2">
      <c r="A57" s="4"/>
      <c r="B57" s="48"/>
      <c r="C57" s="48"/>
      <c r="D57" s="48"/>
      <c r="E57" s="64"/>
      <c r="F57" s="48"/>
      <c r="G57" s="48"/>
      <c r="H57" s="61"/>
      <c r="I57" s="48"/>
      <c r="J57" s="48"/>
      <c r="K57" s="48"/>
      <c r="L57" s="64"/>
      <c r="M57" s="48"/>
      <c r="N57" s="48"/>
      <c r="O57" s="48"/>
      <c r="P57" s="48"/>
      <c r="Q57" s="48"/>
      <c r="R57" s="48"/>
      <c r="S57" s="7"/>
      <c r="T57" s="6"/>
      <c r="U57" s="30"/>
    </row>
    <row r="58" spans="1:48" ht="16" x14ac:dyDescent="0.2">
      <c r="A58" s="26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26"/>
      <c r="N58" s="9"/>
      <c r="O58" s="9"/>
      <c r="P58" s="26"/>
      <c r="Q58" s="26"/>
      <c r="R58" s="4"/>
      <c r="S58" s="7"/>
      <c r="T58" s="6"/>
      <c r="U58" s="30"/>
    </row>
    <row r="59" spans="1:48" ht="16" x14ac:dyDescent="0.2">
      <c r="A59" s="26"/>
      <c r="B59" s="4"/>
      <c r="C59" s="9"/>
      <c r="D59" s="9"/>
      <c r="E59" s="9"/>
      <c r="F59" s="9"/>
      <c r="G59" s="9"/>
      <c r="H59" s="9"/>
      <c r="I59" s="9"/>
      <c r="J59" s="9"/>
      <c r="K59" s="9"/>
      <c r="L59" s="9"/>
      <c r="M59" s="26"/>
      <c r="N59" s="9"/>
      <c r="O59" s="9"/>
      <c r="P59" s="26"/>
      <c r="Q59" s="26"/>
      <c r="R59" s="4"/>
      <c r="S59" s="7"/>
      <c r="T59" s="6"/>
      <c r="U59" s="30"/>
    </row>
    <row r="60" spans="1:48" ht="16" x14ac:dyDescent="0.2">
      <c r="A60" s="22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29"/>
      <c r="N60" s="29"/>
      <c r="O60" s="7"/>
      <c r="P60" s="6"/>
      <c r="Q60" s="14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29"/>
      <c r="O61" s="7"/>
      <c r="P61" s="6"/>
      <c r="Q61" s="14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" enableFormatConditionsCalculation="0"/>
  <dimension ref="A1:AV71"/>
  <sheetViews>
    <sheetView zoomScale="90" zoomScaleNormal="90" zoomScalePageLayoutView="90" workbookViewId="0">
      <selection activeCell="A3" sqref="A3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61</v>
      </c>
      <c r="Q2" s="49"/>
      <c r="R2" s="8"/>
      <c r="AH2" s="49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73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9"/>
      <c r="R3" s="49"/>
      <c r="AH3" s="49"/>
      <c r="AI3" s="49"/>
    </row>
    <row r="4" spans="1:35" ht="16" x14ac:dyDescent="0.2">
      <c r="A4" s="49" t="s">
        <v>79</v>
      </c>
      <c r="B4" s="64">
        <f>318*0.95</f>
        <v>302.09999999999997</v>
      </c>
      <c r="Q4" s="49"/>
      <c r="R4" s="49"/>
      <c r="AH4" s="49"/>
      <c r="AI4" s="49"/>
    </row>
    <row r="5" spans="1:35" ht="16" x14ac:dyDescent="0.2">
      <c r="A5" s="49"/>
      <c r="Q5" s="49"/>
      <c r="R5" s="49"/>
      <c r="AH5" s="49"/>
      <c r="AI5" s="49"/>
    </row>
    <row r="6" spans="1:35" ht="16" x14ac:dyDescent="0.2">
      <c r="A6" s="8" t="s">
        <v>12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/>
      <c r="J6" s="48"/>
      <c r="K6" s="48"/>
      <c r="L6" s="48"/>
      <c r="M6" s="48"/>
      <c r="N6" s="48"/>
      <c r="O6" s="48">
        <v>0</v>
      </c>
      <c r="Q6" s="49"/>
      <c r="R6" s="49"/>
      <c r="AH6" s="49"/>
      <c r="AI6" s="49"/>
    </row>
    <row r="7" spans="1:35" ht="16" x14ac:dyDescent="0.2">
      <c r="A7" s="8" t="s">
        <v>13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/>
      <c r="J7" s="48"/>
      <c r="K7" s="48"/>
      <c r="L7" s="48"/>
      <c r="M7" s="48"/>
      <c r="N7" s="48"/>
      <c r="O7" s="48">
        <v>0</v>
      </c>
      <c r="P7" s="48"/>
      <c r="Q7" s="49"/>
      <c r="R7" s="49"/>
      <c r="AH7" s="49"/>
      <c r="AI7" s="49"/>
    </row>
    <row r="8" spans="1:35" ht="16" x14ac:dyDescent="0.2">
      <c r="A8" s="8" t="s">
        <v>14</v>
      </c>
      <c r="B8" s="48">
        <v>36519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/>
      <c r="J8" s="48"/>
      <c r="K8" s="48"/>
      <c r="L8" s="48"/>
      <c r="M8" s="48"/>
      <c r="N8" s="48"/>
      <c r="O8" s="48">
        <v>0</v>
      </c>
      <c r="P8" s="48"/>
      <c r="Q8" s="49"/>
      <c r="R8" s="49"/>
      <c r="AH8" s="49"/>
      <c r="AI8" s="49"/>
    </row>
    <row r="9" spans="1:35" ht="16" x14ac:dyDescent="0.2">
      <c r="A9" s="8" t="s">
        <v>15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/>
      <c r="J9" s="48"/>
      <c r="K9" s="48"/>
      <c r="L9" s="48"/>
      <c r="M9" s="48"/>
      <c r="N9" s="48"/>
      <c r="O9" s="48">
        <v>0</v>
      </c>
      <c r="P9" s="48"/>
      <c r="Q9" s="49"/>
      <c r="R9" s="49"/>
      <c r="S9" s="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</row>
    <row r="10" spans="1:35" ht="16" x14ac:dyDescent="0.2">
      <c r="A10" s="8" t="s">
        <v>16</v>
      </c>
      <c r="B10" s="56">
        <f>SUM(B4:B9)</f>
        <v>36821.1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/>
      <c r="J10" s="48"/>
      <c r="K10" s="48"/>
      <c r="L10" s="48"/>
      <c r="M10" s="48"/>
      <c r="N10" s="48"/>
      <c r="O10" s="48">
        <v>0</v>
      </c>
      <c r="P10" s="48"/>
      <c r="Q10" s="49"/>
      <c r="R10" s="49"/>
      <c r="S10" s="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9"/>
      <c r="AI10" s="49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73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/>
      <c r="J17" s="48"/>
      <c r="K17" s="48"/>
      <c r="L17" s="48"/>
      <c r="M17" s="48"/>
      <c r="N17" s="48"/>
      <c r="O17" s="48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8">
        <v>61004</v>
      </c>
      <c r="C18" s="48">
        <v>299</v>
      </c>
      <c r="D18" s="48">
        <v>0</v>
      </c>
      <c r="E18" s="48">
        <v>0</v>
      </c>
      <c r="F18" s="48">
        <v>0</v>
      </c>
      <c r="G18" s="48">
        <v>71444</v>
      </c>
      <c r="H18" s="48">
        <v>0</v>
      </c>
      <c r="I18" s="48"/>
      <c r="J18" s="48"/>
      <c r="K18" s="48"/>
      <c r="L18" s="48"/>
      <c r="M18" s="48"/>
      <c r="N18" s="48"/>
      <c r="O18" s="48">
        <v>71743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/>
      <c r="J19" s="48"/>
      <c r="K19" s="48"/>
      <c r="L19" s="48"/>
      <c r="M19" s="48"/>
      <c r="N19" s="48"/>
      <c r="O19" s="48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/>
      <c r="J20" s="48"/>
      <c r="K20" s="48"/>
      <c r="L20" s="48"/>
      <c r="M20" s="48"/>
      <c r="N20" s="48"/>
      <c r="O20" s="48">
        <v>0</v>
      </c>
      <c r="P20" s="3"/>
      <c r="Q20" s="3"/>
      <c r="R20" s="3"/>
      <c r="S20" s="3" t="s">
        <v>26</v>
      </c>
      <c r="T20" s="12">
        <f>O42/1000</f>
        <v>316.78064000000001</v>
      </c>
      <c r="U20" s="3"/>
    </row>
    <row r="21" spans="1:21" ht="16" x14ac:dyDescent="0.2">
      <c r="A21" s="8" t="s">
        <v>24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/>
      <c r="J21" s="48"/>
      <c r="K21" s="48"/>
      <c r="L21" s="48"/>
      <c r="M21" s="48"/>
      <c r="N21" s="48"/>
      <c r="O21" s="48">
        <v>0</v>
      </c>
      <c r="P21" s="3"/>
      <c r="Q21" s="3"/>
      <c r="R21" s="3"/>
      <c r="S21" s="3"/>
      <c r="T21" s="3"/>
      <c r="U21" s="3"/>
    </row>
    <row r="22" spans="1:21" ht="16" x14ac:dyDescent="0.2">
      <c r="A22" s="8" t="s">
        <v>25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/>
      <c r="J22" s="48"/>
      <c r="K22" s="48"/>
      <c r="L22" s="48"/>
      <c r="M22" s="48"/>
      <c r="N22" s="48"/>
      <c r="O22" s="48">
        <v>0</v>
      </c>
      <c r="P22" s="3"/>
      <c r="Q22" s="3"/>
      <c r="R22" s="3"/>
      <c r="S22" s="3"/>
      <c r="T22" s="3" t="s">
        <v>27</v>
      </c>
      <c r="U22" s="3" t="s">
        <v>28</v>
      </c>
    </row>
    <row r="23" spans="1:21" ht="16" x14ac:dyDescent="0.2">
      <c r="A23" s="8" t="s">
        <v>16</v>
      </c>
      <c r="B23" s="48">
        <v>61004</v>
      </c>
      <c r="C23" s="48">
        <v>299</v>
      </c>
      <c r="D23" s="48">
        <v>0</v>
      </c>
      <c r="E23" s="48">
        <v>0</v>
      </c>
      <c r="F23" s="48">
        <v>0</v>
      </c>
      <c r="G23" s="48">
        <v>71444</v>
      </c>
      <c r="H23" s="48">
        <v>0</v>
      </c>
      <c r="I23" s="48"/>
      <c r="J23" s="48"/>
      <c r="K23" s="48"/>
      <c r="L23" s="48"/>
      <c r="M23" s="48"/>
      <c r="N23" s="48"/>
      <c r="O23" s="48">
        <v>71743</v>
      </c>
      <c r="P23" s="3"/>
      <c r="Q23" s="3"/>
      <c r="R23" s="3"/>
      <c r="S23" s="3" t="s">
        <v>10</v>
      </c>
      <c r="T23" s="13">
        <f>N42/1000</f>
        <v>98.342640000000003</v>
      </c>
      <c r="U23" s="14">
        <f>N43</f>
        <v>0.31044397157604076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73</v>
      </c>
      <c r="T24" s="13">
        <f>G42/1000</f>
        <v>89.528000000000006</v>
      </c>
      <c r="U24" s="15">
        <f>G43</f>
        <v>0.28261828121819565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</v>
      </c>
      <c r="T25" s="13">
        <f>J42/1000</f>
        <v>0</v>
      </c>
      <c r="U25" s="14">
        <f>J43</f>
        <v>0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31</v>
      </c>
      <c r="T26" s="13">
        <f>F42/1000</f>
        <v>2.5830000000000002</v>
      </c>
      <c r="U26" s="14">
        <f>F43</f>
        <v>8.1539073852492996E-3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4</v>
      </c>
      <c r="T27" s="12">
        <f>E42/1000</f>
        <v>0</v>
      </c>
      <c r="U27" s="14">
        <f>E43</f>
        <v>0</v>
      </c>
    </row>
    <row r="28" spans="1:21" ht="16" x14ac:dyDescent="0.2">
      <c r="A28" s="4" t="s">
        <v>61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2" t="s">
        <v>3</v>
      </c>
      <c r="T28" s="2">
        <f>D42/1000</f>
        <v>0</v>
      </c>
      <c r="U28" s="47">
        <f>D43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73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8</v>
      </c>
      <c r="T29" s="2">
        <f>K42/1000</f>
        <v>0</v>
      </c>
      <c r="U29" s="47">
        <f>K43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3" t="s">
        <v>5</v>
      </c>
      <c r="T30" s="13">
        <f>I42/1000</f>
        <v>0</v>
      </c>
      <c r="U30" s="14">
        <f>I43</f>
        <v>0</v>
      </c>
    </row>
    <row r="31" spans="1:21" ht="16" x14ac:dyDescent="0.2">
      <c r="A31" s="8" t="s">
        <v>33</v>
      </c>
      <c r="B31" s="48">
        <v>0</v>
      </c>
      <c r="C31" s="48">
        <v>3708</v>
      </c>
      <c r="D31" s="48">
        <v>0</v>
      </c>
      <c r="E31" s="48">
        <v>0</v>
      </c>
      <c r="F31" s="48">
        <v>369</v>
      </c>
      <c r="G31" s="48">
        <v>0</v>
      </c>
      <c r="H31" s="48">
        <v>0</v>
      </c>
      <c r="I31" s="48"/>
      <c r="J31" s="48"/>
      <c r="K31" s="48"/>
      <c r="L31" s="48"/>
      <c r="M31" s="49"/>
      <c r="N31" s="48">
        <v>4080</v>
      </c>
      <c r="O31" s="48">
        <v>8157</v>
      </c>
      <c r="P31" s="16">
        <f>O31/O$39</f>
        <v>2.7508827308505578E-2</v>
      </c>
      <c r="Q31" s="17" t="s">
        <v>34</v>
      </c>
      <c r="R31" s="3"/>
      <c r="S31" s="10" t="str">
        <f>M29</f>
        <v>Övrigt</v>
      </c>
      <c r="T31" s="13">
        <f>M42/1000</f>
        <v>0</v>
      </c>
      <c r="U31" s="14">
        <f>M43</f>
        <v>0</v>
      </c>
    </row>
    <row r="32" spans="1:21" ht="16" x14ac:dyDescent="0.2">
      <c r="A32" s="8" t="s">
        <v>36</v>
      </c>
      <c r="B32" s="56">
        <f>B39*2433/(9070+1910+1250+1956+2433)</f>
        <v>8603.8516156206751</v>
      </c>
      <c r="C32" s="52">
        <v>90930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/>
      <c r="J32" s="48"/>
      <c r="K32" s="48"/>
      <c r="L32" s="48"/>
      <c r="M32" s="49"/>
      <c r="N32" s="52">
        <v>49000</v>
      </c>
      <c r="O32" s="52">
        <f>SUM(B32:N32)</f>
        <v>148533.85161562066</v>
      </c>
      <c r="P32" s="16">
        <f>O32/O$39</f>
        <v>0.50091848394768923</v>
      </c>
      <c r="Q32" s="17" t="s">
        <v>37</v>
      </c>
      <c r="R32" s="3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56">
        <f>B39*1956/(9070+1910+1250+1956+2433)</f>
        <v>6917.0299055298156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/>
      <c r="J33" s="48"/>
      <c r="K33" s="48"/>
      <c r="L33" s="48"/>
      <c r="M33" s="49"/>
      <c r="N33" s="48">
        <v>1333</v>
      </c>
      <c r="O33" s="56">
        <f>SUM(B33:N33)</f>
        <v>8250.0299055298165</v>
      </c>
      <c r="P33" s="16">
        <f>O33/O$39</f>
        <v>2.7822563192500468E-2</v>
      </c>
      <c r="Q33" s="17" t="s">
        <v>39</v>
      </c>
      <c r="R33" s="3"/>
      <c r="S33" s="3" t="s">
        <v>35</v>
      </c>
      <c r="T33" s="13">
        <f>C42/1000</f>
        <v>126.327</v>
      </c>
      <c r="U33" s="15">
        <f>C43</f>
        <v>0.39878383982051424</v>
      </c>
    </row>
    <row r="34" spans="1:48" ht="16" x14ac:dyDescent="0.2">
      <c r="A34" s="8" t="s">
        <v>40</v>
      </c>
      <c r="B34" s="48">
        <v>0</v>
      </c>
      <c r="C34" s="48">
        <v>31257</v>
      </c>
      <c r="D34" s="48">
        <v>0</v>
      </c>
      <c r="E34" s="48">
        <v>0</v>
      </c>
      <c r="F34" s="48">
        <v>2214</v>
      </c>
      <c r="G34" s="48">
        <v>0</v>
      </c>
      <c r="H34" s="48">
        <v>0</v>
      </c>
      <c r="I34" s="48"/>
      <c r="J34" s="48"/>
      <c r="K34" s="48"/>
      <c r="L34" s="48"/>
      <c r="M34" s="49"/>
      <c r="N34" s="48">
        <v>36</v>
      </c>
      <c r="O34" s="48">
        <v>33507</v>
      </c>
      <c r="P34" s="16">
        <f>O34/O$39</f>
        <v>0.11299966613045194</v>
      </c>
      <c r="Q34" s="17" t="s">
        <v>41</v>
      </c>
      <c r="R34" s="3"/>
      <c r="S34" s="3"/>
      <c r="T34" s="13">
        <f>SUM(T23:T33)</f>
        <v>316.78064000000001</v>
      </c>
      <c r="U34" s="14">
        <f>SUM(U23:U33)</f>
        <v>1</v>
      </c>
    </row>
    <row r="35" spans="1:48" ht="16" x14ac:dyDescent="0.2">
      <c r="A35" s="8" t="s">
        <v>42</v>
      </c>
      <c r="B35" s="56">
        <f>B39*1250/(9070+1910+1250+1956+2433)</f>
        <v>4420.392322041037</v>
      </c>
      <c r="C35" s="48">
        <v>49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/>
      <c r="J35" s="48"/>
      <c r="K35" s="48"/>
      <c r="L35" s="48"/>
      <c r="M35" s="49"/>
      <c r="N35" s="48">
        <v>11363</v>
      </c>
      <c r="O35" s="56">
        <f>SUM(B35:N35)</f>
        <v>15832.392322041036</v>
      </c>
      <c r="P35" s="16">
        <f>O35/O$39</f>
        <v>5.3393471407078154E-2</v>
      </c>
      <c r="Q35" s="17" t="s">
        <v>43</v>
      </c>
      <c r="R35" s="17"/>
    </row>
    <row r="36" spans="1:48" ht="16" x14ac:dyDescent="0.2">
      <c r="A36" s="8" t="s">
        <v>44</v>
      </c>
      <c r="B36" s="56">
        <f>B39*1910/(9070+1910+1250+1956+2433)</f>
        <v>6754.3594680787055</v>
      </c>
      <c r="C36" s="48">
        <v>84</v>
      </c>
      <c r="D36" s="48">
        <v>0</v>
      </c>
      <c r="E36" s="48">
        <v>0</v>
      </c>
      <c r="F36" s="48">
        <v>0</v>
      </c>
      <c r="G36" s="48">
        <v>18084</v>
      </c>
      <c r="H36" s="48">
        <v>0</v>
      </c>
      <c r="I36" s="48"/>
      <c r="J36" s="48"/>
      <c r="K36" s="48"/>
      <c r="L36" s="48"/>
      <c r="M36" s="49"/>
      <c r="N36" s="48">
        <v>18724</v>
      </c>
      <c r="O36" s="56">
        <f>SUM(B36:N36)</f>
        <v>43646.359468078706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56">
        <f>B39*9070/(9070+1910+1250+1956+2433)</f>
        <v>32074.366688729766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/>
      <c r="J37" s="48"/>
      <c r="K37" s="48"/>
      <c r="L37" s="48"/>
      <c r="M37" s="49"/>
      <c r="N37" s="48">
        <v>1365</v>
      </c>
      <c r="O37" s="56">
        <f>SUM(B37:N37)</f>
        <v>33439.366688729766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/>
      <c r="J38" s="48"/>
      <c r="K38" s="48"/>
      <c r="L38" s="48"/>
      <c r="M38" s="49"/>
      <c r="N38" s="48">
        <v>5157</v>
      </c>
      <c r="O38" s="48">
        <v>5157</v>
      </c>
      <c r="P38" s="17">
        <f>SUM(P31:P35)</f>
        <v>0.72264301198622538</v>
      </c>
      <c r="Q38" s="17"/>
      <c r="R38" s="3"/>
      <c r="S38" s="7" t="s">
        <v>47</v>
      </c>
      <c r="T38" s="18">
        <f>O45/1000</f>
        <v>9.5186399999999995</v>
      </c>
      <c r="U38" s="7"/>
    </row>
    <row r="39" spans="1:48" ht="16" x14ac:dyDescent="0.2">
      <c r="A39" s="8" t="s">
        <v>16</v>
      </c>
      <c r="B39" s="53">
        <v>58770</v>
      </c>
      <c r="C39" s="52">
        <f>SUM(C31:C38)</f>
        <v>126028</v>
      </c>
      <c r="D39" s="48">
        <v>0</v>
      </c>
      <c r="E39" s="48">
        <v>0</v>
      </c>
      <c r="F39" s="48">
        <v>2583</v>
      </c>
      <c r="G39" s="48">
        <v>18084</v>
      </c>
      <c r="H39" s="48">
        <v>0</v>
      </c>
      <c r="I39" s="48"/>
      <c r="J39" s="48"/>
      <c r="K39" s="48"/>
      <c r="L39" s="48"/>
      <c r="M39" s="49"/>
      <c r="N39" s="52">
        <f>SUM(N31:N38)</f>
        <v>91058</v>
      </c>
      <c r="O39" s="52">
        <f>SUM(O31:O38)</f>
        <v>296523</v>
      </c>
      <c r="P39" s="3"/>
      <c r="Q39" s="3"/>
      <c r="R39" s="3"/>
      <c r="S39" s="7" t="s">
        <v>48</v>
      </c>
      <c r="T39" s="19">
        <f>O41/1000</f>
        <v>82.242726156808459</v>
      </c>
      <c r="U39" s="14">
        <f>P41</f>
        <v>0.27735698801377451</v>
      </c>
    </row>
    <row r="40" spans="1:48" x14ac:dyDescent="0.2">
      <c r="S40" s="7" t="s">
        <v>49</v>
      </c>
      <c r="T40" s="19">
        <f>O35/1000</f>
        <v>15.832392322041036</v>
      </c>
      <c r="U40" s="15">
        <f>P35</f>
        <v>5.3393471407078154E-2</v>
      </c>
    </row>
    <row r="41" spans="1:48" ht="16" x14ac:dyDescent="0.2">
      <c r="A41" s="20" t="s">
        <v>50</v>
      </c>
      <c r="B41" s="21">
        <f>B38+B37+B36</f>
        <v>38828.726156808472</v>
      </c>
      <c r="C41" s="21">
        <f t="shared" ref="C41:O41" si="0">C38+C37+C36</f>
        <v>84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18084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0</v>
      </c>
      <c r="N41" s="21">
        <f t="shared" si="0"/>
        <v>25246</v>
      </c>
      <c r="O41" s="21">
        <f t="shared" si="0"/>
        <v>82242.726156808465</v>
      </c>
      <c r="P41" s="16">
        <f>O41/O$39</f>
        <v>0.27735698801377451</v>
      </c>
      <c r="Q41" s="16" t="s">
        <v>51</v>
      </c>
      <c r="R41" s="7"/>
      <c r="S41" s="7" t="s">
        <v>52</v>
      </c>
      <c r="T41" s="19">
        <f>O33/1000</f>
        <v>8.2500299055298161</v>
      </c>
      <c r="U41" s="14">
        <f>P33</f>
        <v>2.7822563192500468E-2</v>
      </c>
    </row>
    <row r="42" spans="1:48" ht="16" x14ac:dyDescent="0.2">
      <c r="A42" s="22" t="s">
        <v>53</v>
      </c>
      <c r="B42" s="21"/>
      <c r="C42" s="23">
        <f>C39+C23+C10</f>
        <v>126327</v>
      </c>
      <c r="D42" s="23">
        <f t="shared" ref="D42:M42" si="1">D39+D23+D10</f>
        <v>0</v>
      </c>
      <c r="E42" s="23">
        <f t="shared" si="1"/>
        <v>0</v>
      </c>
      <c r="F42" s="23">
        <f t="shared" si="1"/>
        <v>2583</v>
      </c>
      <c r="G42" s="23">
        <f t="shared" si="1"/>
        <v>89528</v>
      </c>
      <c r="H42" s="23">
        <f t="shared" si="1"/>
        <v>0</v>
      </c>
      <c r="I42" s="23">
        <f t="shared" si="1"/>
        <v>0</v>
      </c>
      <c r="J42" s="23">
        <f t="shared" si="1"/>
        <v>0</v>
      </c>
      <c r="K42" s="23">
        <f t="shared" si="1"/>
        <v>0</v>
      </c>
      <c r="L42" s="23">
        <f t="shared" ref="L42" si="2">L39+L23+L10</f>
        <v>0</v>
      </c>
      <c r="M42" s="23">
        <f t="shared" si="1"/>
        <v>0</v>
      </c>
      <c r="N42" s="23">
        <f>N39+N23-B6+N45</f>
        <v>98342.64</v>
      </c>
      <c r="O42" s="24">
        <f>SUM(C42:N42)</f>
        <v>316780.64</v>
      </c>
      <c r="P42" s="7"/>
      <c r="Q42" s="7"/>
      <c r="R42" s="7"/>
      <c r="S42" s="7" t="s">
        <v>34</v>
      </c>
      <c r="T42" s="19">
        <f>O31/1000</f>
        <v>8.157</v>
      </c>
      <c r="U42" s="14">
        <f>P31</f>
        <v>2.7508827308505578E-2</v>
      </c>
    </row>
    <row r="43" spans="1:48" ht="16" x14ac:dyDescent="0.2">
      <c r="A43" s="22" t="s">
        <v>54</v>
      </c>
      <c r="B43" s="21"/>
      <c r="C43" s="16">
        <f t="shared" ref="C43:N43" si="3">C42/$O42</f>
        <v>0.39878383982051424</v>
      </c>
      <c r="D43" s="16">
        <f t="shared" si="3"/>
        <v>0</v>
      </c>
      <c r="E43" s="16">
        <f t="shared" si="3"/>
        <v>0</v>
      </c>
      <c r="F43" s="16">
        <f t="shared" si="3"/>
        <v>8.1539073852492996E-3</v>
      </c>
      <c r="G43" s="16">
        <f t="shared" si="3"/>
        <v>0.28261828121819565</v>
      </c>
      <c r="H43" s="16">
        <f t="shared" si="3"/>
        <v>0</v>
      </c>
      <c r="I43" s="16">
        <f t="shared" si="3"/>
        <v>0</v>
      </c>
      <c r="J43" s="16">
        <f t="shared" si="3"/>
        <v>0</v>
      </c>
      <c r="K43" s="16">
        <f t="shared" si="3"/>
        <v>0</v>
      </c>
      <c r="L43" s="16">
        <f t="shared" si="3"/>
        <v>0</v>
      </c>
      <c r="M43" s="16">
        <f t="shared" si="3"/>
        <v>0</v>
      </c>
      <c r="N43" s="16">
        <f t="shared" si="3"/>
        <v>0.31044397157604076</v>
      </c>
      <c r="O43" s="16">
        <f>SUM(C43:N43)</f>
        <v>1</v>
      </c>
      <c r="P43" s="7"/>
      <c r="Q43" s="7"/>
      <c r="R43" s="7"/>
      <c r="S43" s="7" t="s">
        <v>55</v>
      </c>
      <c r="T43" s="19">
        <f>O32/1000</f>
        <v>148.53385161562065</v>
      </c>
      <c r="U43" s="15">
        <f>P32</f>
        <v>0.50091848394768923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33.506999999999998</v>
      </c>
      <c r="U44" s="15">
        <f>P34</f>
        <v>0.11299966613045194</v>
      </c>
    </row>
    <row r="45" spans="1:48" ht="16" x14ac:dyDescent="0.2">
      <c r="A45" s="6" t="s">
        <v>57</v>
      </c>
      <c r="B45" s="6">
        <f>B23-B39</f>
        <v>2234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5">
        <f>N39*0.08</f>
        <v>7284.64</v>
      </c>
      <c r="O45" s="24">
        <f>B45+N45</f>
        <v>9518.64</v>
      </c>
      <c r="P45" s="7"/>
      <c r="Q45" s="7"/>
      <c r="R45" s="7"/>
      <c r="S45" s="7" t="s">
        <v>58</v>
      </c>
      <c r="T45" s="19">
        <f>SUM(T39:T44)</f>
        <v>296.52299999999997</v>
      </c>
      <c r="U45" s="14">
        <f>SUM(U39:U44)</f>
        <v>1</v>
      </c>
    </row>
    <row r="46" spans="1:48" ht="16" x14ac:dyDescent="0.2">
      <c r="A46" s="6"/>
      <c r="B46" s="41">
        <f>B45/B23</f>
        <v>3.662054947216576E-2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/>
      <c r="O46" s="6"/>
      <c r="P46" s="7"/>
      <c r="Q46" s="7"/>
      <c r="R46" s="7"/>
    </row>
    <row r="47" spans="1:48" x14ac:dyDescent="0.2">
      <c r="A47" s="4"/>
      <c r="B47" s="26"/>
      <c r="C47" s="26"/>
      <c r="D47" s="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4"/>
      <c r="S47" s="4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4"/>
      <c r="AI47" s="4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2">
      <c r="A48" s="26"/>
      <c r="B48" s="26"/>
      <c r="C48" s="26"/>
      <c r="D48" s="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4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4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2">
      <c r="A49" s="26"/>
      <c r="B49" s="26"/>
      <c r="C49" s="26"/>
      <c r="D49" s="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4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4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16" x14ac:dyDescent="0.2">
      <c r="A50" s="51"/>
      <c r="B50" s="26"/>
      <c r="C50" s="26"/>
      <c r="D50" s="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4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4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x14ac:dyDescent="0.2">
      <c r="A51" s="26"/>
      <c r="B51" s="26"/>
      <c r="C51" s="26"/>
      <c r="D51" s="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4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4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x14ac:dyDescent="0.2">
      <c r="A52" s="26"/>
      <c r="B52" s="4"/>
      <c r="C52" s="26"/>
      <c r="D52" s="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4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4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</row>
    <row r="53" spans="1:48" x14ac:dyDescent="0.2">
      <c r="A53" s="26"/>
      <c r="B53" s="4"/>
      <c r="C53" s="26"/>
      <c r="D53" s="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4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4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</row>
    <row r="54" spans="1:48" x14ac:dyDescent="0.2">
      <c r="A54" s="26"/>
      <c r="B54" s="9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4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4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</row>
    <row r="55" spans="1:48" x14ac:dyDescent="0.2">
      <c r="A55" s="26"/>
      <c r="B55" s="9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4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4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</row>
    <row r="56" spans="1:48" x14ac:dyDescent="0.2">
      <c r="A56" s="26"/>
      <c r="B56" s="4"/>
      <c r="C56" s="26"/>
      <c r="D56" s="27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7"/>
      <c r="Q56" s="26"/>
      <c r="R56" s="26"/>
      <c r="S56" s="4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4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</row>
    <row r="57" spans="1:48" x14ac:dyDescent="0.2">
      <c r="A57" s="26"/>
      <c r="B57" s="4"/>
      <c r="C57" s="26"/>
      <c r="D57" s="27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7"/>
      <c r="Q57" s="26"/>
      <c r="R57" s="26"/>
      <c r="S57" s="4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4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</row>
    <row r="58" spans="1:48" ht="16" x14ac:dyDescent="0.2">
      <c r="A58" s="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26"/>
      <c r="Q58" s="26"/>
      <c r="R58" s="26"/>
      <c r="S58" s="7"/>
      <c r="T58" s="6"/>
      <c r="U58" s="30"/>
    </row>
    <row r="59" spans="1:48" ht="16" x14ac:dyDescent="0.2">
      <c r="A59" s="4"/>
      <c r="B59" s="48"/>
      <c r="C59" s="48"/>
      <c r="D59" s="48"/>
      <c r="E59" s="56"/>
      <c r="F59" s="48"/>
      <c r="G59" s="48"/>
      <c r="H59" s="61"/>
      <c r="I59" s="48"/>
      <c r="J59" s="48"/>
      <c r="K59" s="48"/>
      <c r="L59" s="64"/>
      <c r="M59" s="48"/>
      <c r="N59" s="48"/>
      <c r="O59" s="48"/>
      <c r="P59" s="48"/>
      <c r="Q59" s="48"/>
      <c r="R59" s="48"/>
      <c r="S59" s="7"/>
      <c r="T59" s="6"/>
      <c r="U59" s="30"/>
    </row>
    <row r="60" spans="1:48" ht="16" x14ac:dyDescent="0.2">
      <c r="A60" s="4"/>
      <c r="B60" s="4"/>
      <c r="C60" s="9"/>
      <c r="D60" s="9"/>
      <c r="E60" s="9"/>
      <c r="F60" s="9"/>
      <c r="G60" s="9"/>
      <c r="H60" s="9"/>
      <c r="I60" s="9"/>
      <c r="J60" s="9"/>
      <c r="K60" s="9"/>
      <c r="L60" s="9"/>
      <c r="M60" s="26"/>
      <c r="N60" s="9"/>
      <c r="O60" s="9"/>
      <c r="P60" s="26"/>
      <c r="Q60" s="26"/>
      <c r="R60" s="4"/>
      <c r="S60" s="7"/>
      <c r="T60" s="6"/>
      <c r="U60" s="30"/>
    </row>
    <row r="61" spans="1:48" ht="16" x14ac:dyDescent="0.2">
      <c r="A61" s="26"/>
      <c r="B61" s="4"/>
      <c r="C61" s="9"/>
      <c r="D61" s="9"/>
      <c r="E61" s="9"/>
      <c r="F61" s="9"/>
      <c r="G61" s="9"/>
      <c r="H61" s="9"/>
      <c r="I61" s="9"/>
      <c r="J61" s="9"/>
      <c r="K61" s="9"/>
      <c r="L61" s="9"/>
      <c r="M61" s="26"/>
      <c r="N61" s="9"/>
      <c r="O61" s="9"/>
      <c r="P61" s="26"/>
      <c r="Q61" s="26"/>
      <c r="R61" s="4"/>
      <c r="S61" s="7"/>
      <c r="T61" s="6"/>
      <c r="U61" s="30"/>
    </row>
    <row r="62" spans="1:48" ht="16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6"/>
      <c r="M62" s="29"/>
      <c r="N62" s="29"/>
      <c r="O62" s="7"/>
      <c r="P62" s="6"/>
      <c r="Q62" s="14"/>
      <c r="R62" s="7"/>
      <c r="S62" s="7"/>
      <c r="T62" s="31"/>
      <c r="U62" s="32"/>
    </row>
    <row r="63" spans="1:48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6"/>
    </row>
    <row r="64" spans="1:48" x14ac:dyDescent="0.2">
      <c r="A64" s="7"/>
      <c r="B64" s="33"/>
      <c r="C64" s="33"/>
      <c r="D64" s="33"/>
      <c r="E64" s="33"/>
      <c r="F64" s="33"/>
      <c r="G64" s="33"/>
      <c r="H64" s="33"/>
      <c r="I64" s="33"/>
      <c r="J64" s="7"/>
      <c r="K64" s="7"/>
      <c r="L64" s="7"/>
      <c r="M64" s="7"/>
      <c r="N64" s="7"/>
      <c r="O64" s="7"/>
      <c r="P64" s="7"/>
      <c r="Q64" s="7"/>
      <c r="R64" s="7"/>
      <c r="S64" s="7"/>
      <c r="T64" s="33"/>
      <c r="U64" s="34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6"/>
      <c r="C70" s="6"/>
      <c r="D70" s="6"/>
      <c r="E70" s="6"/>
      <c r="F70" s="6"/>
      <c r="G70" s="6"/>
      <c r="H70" s="6"/>
      <c r="I70" s="6"/>
      <c r="J70" s="7"/>
      <c r="K70" s="7"/>
      <c r="L70" s="7"/>
      <c r="M70" s="7"/>
      <c r="N70" s="7"/>
      <c r="O70" s="7"/>
      <c r="P70" s="6"/>
      <c r="Q70" s="29"/>
      <c r="R70" s="7"/>
      <c r="S70" s="7"/>
      <c r="T70" s="6"/>
      <c r="U70" s="30"/>
    </row>
    <row r="71" spans="1:21" ht="16" x14ac:dyDescent="0.2">
      <c r="A71" s="7"/>
      <c r="B71" s="31"/>
      <c r="C71" s="31"/>
      <c r="D71" s="31"/>
      <c r="E71" s="31"/>
      <c r="F71" s="31"/>
      <c r="G71" s="31"/>
      <c r="H71" s="31"/>
      <c r="I71" s="31"/>
      <c r="J71" s="7"/>
      <c r="K71" s="7"/>
      <c r="L71" s="7"/>
      <c r="M71" s="7"/>
      <c r="N71" s="7"/>
      <c r="O71" s="7"/>
      <c r="P71" s="31"/>
      <c r="Q71" s="35"/>
      <c r="R71" s="7"/>
      <c r="S71" s="36"/>
      <c r="T71" s="31"/>
      <c r="U71" s="35"/>
    </row>
  </sheetData>
  <pageMargins left="0.75" right="0.75" top="0.75" bottom="0.5" header="0.5" footer="0.7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 enableFormatConditionsCalculation="0"/>
  <dimension ref="A1:AV70"/>
  <sheetViews>
    <sheetView zoomScale="90" zoomScaleNormal="90" zoomScalePageLayoutView="90" workbookViewId="0">
      <selection activeCell="A3" sqref="A3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62</v>
      </c>
      <c r="Q2" s="49"/>
      <c r="R2" s="8"/>
      <c r="AH2" s="49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73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9"/>
      <c r="R3" s="49"/>
      <c r="AH3" s="49"/>
      <c r="AI3" s="49"/>
    </row>
    <row r="4" spans="1:35" ht="16" x14ac:dyDescent="0.2">
      <c r="A4" s="49" t="s">
        <v>79</v>
      </c>
      <c r="B4" s="64">
        <f>256*0.95</f>
        <v>243.2</v>
      </c>
      <c r="Q4" s="49"/>
      <c r="R4" s="49"/>
      <c r="AH4" s="49"/>
      <c r="AI4" s="49"/>
    </row>
    <row r="5" spans="1:35" ht="16" x14ac:dyDescent="0.2">
      <c r="A5" s="49"/>
      <c r="Q5" s="49"/>
      <c r="R5" s="49"/>
      <c r="AH5" s="49"/>
      <c r="AI5" s="49"/>
    </row>
    <row r="6" spans="1:35" ht="16" x14ac:dyDescent="0.2">
      <c r="A6" s="8" t="s">
        <v>12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/>
      <c r="J6" s="48"/>
      <c r="K6" s="48"/>
      <c r="L6" s="48"/>
      <c r="M6" s="48"/>
      <c r="N6" s="48"/>
      <c r="O6" s="48">
        <v>0</v>
      </c>
      <c r="Q6" s="49"/>
      <c r="R6" s="49"/>
      <c r="AH6" s="49"/>
      <c r="AI6" s="49"/>
    </row>
    <row r="7" spans="1:35" ht="16" x14ac:dyDescent="0.2">
      <c r="A7" s="8" t="s">
        <v>13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/>
      <c r="J7" s="48"/>
      <c r="K7" s="48"/>
      <c r="L7" s="48"/>
      <c r="M7" s="48"/>
      <c r="N7" s="48"/>
      <c r="O7" s="48">
        <v>0</v>
      </c>
      <c r="P7" s="48"/>
      <c r="Q7" s="49"/>
      <c r="R7" s="49"/>
      <c r="AH7" s="49"/>
      <c r="AI7" s="49"/>
    </row>
    <row r="8" spans="1:35" ht="16" x14ac:dyDescent="0.2">
      <c r="A8" s="8" t="s">
        <v>14</v>
      </c>
      <c r="B8" s="48">
        <v>3005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/>
      <c r="J8" s="48"/>
      <c r="K8" s="48"/>
      <c r="L8" s="48"/>
      <c r="M8" s="48"/>
      <c r="N8" s="48"/>
      <c r="O8" s="48">
        <v>0</v>
      </c>
      <c r="P8" s="48"/>
      <c r="Q8" s="49"/>
      <c r="R8" s="49"/>
      <c r="AH8" s="49"/>
      <c r="AI8" s="49"/>
    </row>
    <row r="9" spans="1:35" ht="16" x14ac:dyDescent="0.2">
      <c r="A9" s="8" t="s">
        <v>15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/>
      <c r="J9" s="48"/>
      <c r="K9" s="48"/>
      <c r="L9" s="48"/>
      <c r="M9" s="48"/>
      <c r="N9" s="48"/>
      <c r="O9" s="48">
        <v>0</v>
      </c>
      <c r="P9" s="48"/>
      <c r="Q9" s="49"/>
      <c r="R9" s="49"/>
      <c r="S9" s="8"/>
      <c r="T9" s="50"/>
      <c r="U9" s="48"/>
      <c r="V9" s="48"/>
      <c r="W9" s="48"/>
      <c r="X9" s="48"/>
      <c r="Y9" s="50"/>
      <c r="Z9" s="48"/>
      <c r="AA9" s="48"/>
      <c r="AB9" s="48"/>
      <c r="AC9" s="48"/>
      <c r="AD9" s="48"/>
      <c r="AE9" s="48"/>
      <c r="AF9" s="48"/>
      <c r="AG9" s="50"/>
      <c r="AH9" s="49"/>
      <c r="AI9" s="49"/>
    </row>
    <row r="10" spans="1:35" ht="16" x14ac:dyDescent="0.2">
      <c r="A10" s="8" t="s">
        <v>16</v>
      </c>
      <c r="B10" s="56">
        <f>SUM(B4:B8)</f>
        <v>3248.2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/>
      <c r="J10" s="48"/>
      <c r="K10" s="48"/>
      <c r="L10" s="48"/>
      <c r="M10" s="48"/>
      <c r="N10" s="48"/>
      <c r="O10" s="48">
        <v>0</v>
      </c>
      <c r="P10" s="48"/>
      <c r="Q10" s="49"/>
      <c r="R10" s="49"/>
      <c r="S10" s="8"/>
      <c r="T10" s="50"/>
      <c r="U10" s="48"/>
      <c r="V10" s="48"/>
      <c r="W10" s="48"/>
      <c r="X10" s="48"/>
      <c r="Y10" s="50"/>
      <c r="Z10" s="48"/>
      <c r="AA10" s="48"/>
      <c r="AB10" s="48"/>
      <c r="AC10" s="48"/>
      <c r="AD10" s="48"/>
      <c r="AE10" s="48"/>
      <c r="AF10" s="48"/>
      <c r="AG10" s="50"/>
      <c r="AH10" s="49"/>
      <c r="AI10" s="49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73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/>
      <c r="J17" s="48"/>
      <c r="K17" s="48"/>
      <c r="L17" s="48"/>
      <c r="M17" s="48"/>
      <c r="N17" s="48"/>
      <c r="O17" s="48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57">
        <v>28000</v>
      </c>
      <c r="C18" s="48">
        <v>667</v>
      </c>
      <c r="D18" s="48">
        <v>0</v>
      </c>
      <c r="E18" s="48">
        <v>0</v>
      </c>
      <c r="F18" s="48">
        <v>0</v>
      </c>
      <c r="G18" s="57">
        <v>32235</v>
      </c>
      <c r="H18" s="48">
        <v>0</v>
      </c>
      <c r="I18" s="48"/>
      <c r="J18" s="48"/>
      <c r="K18" s="48"/>
      <c r="L18" s="48"/>
      <c r="M18" s="48"/>
      <c r="N18" s="48"/>
      <c r="O18" s="57">
        <f>SUM(C18:N18)</f>
        <v>32902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/>
      <c r="J19" s="48"/>
      <c r="K19" s="48"/>
      <c r="L19" s="48"/>
      <c r="M19" s="48"/>
      <c r="N19" s="48"/>
      <c r="O19" s="48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/>
      <c r="J20" s="48"/>
      <c r="K20" s="48"/>
      <c r="L20" s="48"/>
      <c r="M20" s="48"/>
      <c r="N20" s="48"/>
      <c r="O20" s="48">
        <v>0</v>
      </c>
      <c r="P20" s="3"/>
      <c r="Q20" s="3"/>
      <c r="R20" s="3"/>
      <c r="S20" s="3" t="s">
        <v>26</v>
      </c>
      <c r="T20" s="12">
        <f>O42/1000</f>
        <v>255.27964</v>
      </c>
      <c r="U20" s="3"/>
    </row>
    <row r="21" spans="1:21" ht="16" x14ac:dyDescent="0.2">
      <c r="A21" s="8" t="s">
        <v>24</v>
      </c>
      <c r="B21" s="53">
        <v>4000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/>
      <c r="J21" s="48"/>
      <c r="K21" s="48"/>
      <c r="L21" s="48"/>
      <c r="M21" s="48"/>
      <c r="N21" s="48"/>
      <c r="O21" s="48">
        <v>0</v>
      </c>
      <c r="P21" s="3"/>
      <c r="Q21" s="3"/>
      <c r="R21" s="3"/>
      <c r="S21" s="3"/>
      <c r="T21" s="3"/>
      <c r="U21" s="3"/>
    </row>
    <row r="22" spans="1:21" ht="16" x14ac:dyDescent="0.2">
      <c r="A22" s="8" t="s">
        <v>25</v>
      </c>
      <c r="B22" s="56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/>
      <c r="J22" s="48"/>
      <c r="K22" s="48"/>
      <c r="L22" s="48"/>
      <c r="M22" s="48"/>
      <c r="N22" s="48"/>
      <c r="O22" s="48">
        <v>0</v>
      </c>
      <c r="P22" s="3"/>
      <c r="Q22" s="3"/>
      <c r="R22" s="3"/>
      <c r="S22" s="3"/>
      <c r="T22" s="3" t="s">
        <v>27</v>
      </c>
      <c r="U22" s="3" t="s">
        <v>28</v>
      </c>
    </row>
    <row r="23" spans="1:21" ht="16" x14ac:dyDescent="0.2">
      <c r="A23" s="8" t="s">
        <v>16</v>
      </c>
      <c r="B23" s="57">
        <f>SUM(B17:B22)</f>
        <v>32000</v>
      </c>
      <c r="C23" s="48">
        <v>667</v>
      </c>
      <c r="D23" s="48">
        <v>0</v>
      </c>
      <c r="E23" s="48">
        <v>0</v>
      </c>
      <c r="F23" s="48">
        <v>0</v>
      </c>
      <c r="G23" s="57">
        <f>SUM(G17:G22)</f>
        <v>32235</v>
      </c>
      <c r="H23" s="48">
        <v>0</v>
      </c>
      <c r="I23" s="48"/>
      <c r="J23" s="48"/>
      <c r="K23" s="48"/>
      <c r="L23" s="48"/>
      <c r="M23" s="48"/>
      <c r="N23" s="48"/>
      <c r="O23" s="57">
        <f>SUM(O18)</f>
        <v>32902</v>
      </c>
      <c r="P23" s="3"/>
      <c r="Q23" s="3"/>
      <c r="R23" s="3"/>
      <c r="S23" s="3" t="s">
        <v>10</v>
      </c>
      <c r="T23" s="13">
        <f>N42/1000</f>
        <v>98.666640000000001</v>
      </c>
      <c r="U23" s="14">
        <f>N43</f>
        <v>0.38650414894035418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73</v>
      </c>
      <c r="T24" s="13">
        <f>G42/1000</f>
        <v>67.242000000000004</v>
      </c>
      <c r="U24" s="15">
        <f>G43</f>
        <v>0.26340526020798211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</v>
      </c>
      <c r="T25" s="13">
        <f>J42/1000</f>
        <v>0</v>
      </c>
      <c r="U25" s="14">
        <f>J43</f>
        <v>0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31</v>
      </c>
      <c r="T26" s="13">
        <f>F42/1000</f>
        <v>6.0659999999999998</v>
      </c>
      <c r="U26" s="14">
        <f>F43</f>
        <v>2.3762177038482189E-2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4</v>
      </c>
      <c r="T27" s="12">
        <f>E42/1000</f>
        <v>0</v>
      </c>
      <c r="U27" s="14">
        <f>E43</f>
        <v>0</v>
      </c>
    </row>
    <row r="28" spans="1:21" ht="16" x14ac:dyDescent="0.2">
      <c r="A28" s="4" t="s">
        <v>62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2" t="s">
        <v>3</v>
      </c>
      <c r="T28" s="2">
        <f>D42/1000</f>
        <v>0</v>
      </c>
      <c r="U28" s="47">
        <f>D43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73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8</v>
      </c>
      <c r="T29" s="2">
        <f>K42/1000</f>
        <v>0</v>
      </c>
      <c r="U29" s="47">
        <f>K43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3" t="s">
        <v>5</v>
      </c>
      <c r="T30" s="13">
        <f>I42/1000</f>
        <v>0</v>
      </c>
      <c r="U30" s="14">
        <f>I43</f>
        <v>0</v>
      </c>
    </row>
    <row r="31" spans="1:21" ht="16" x14ac:dyDescent="0.2">
      <c r="A31" s="8" t="s">
        <v>33</v>
      </c>
      <c r="B31" s="48">
        <v>0</v>
      </c>
      <c r="C31" s="48">
        <v>6872</v>
      </c>
      <c r="D31" s="48">
        <v>0</v>
      </c>
      <c r="E31" s="48">
        <v>0</v>
      </c>
      <c r="F31" s="48">
        <v>701</v>
      </c>
      <c r="G31" s="48">
        <v>0</v>
      </c>
      <c r="H31" s="48">
        <v>0</v>
      </c>
      <c r="I31" s="48"/>
      <c r="J31" s="48"/>
      <c r="K31" s="48"/>
      <c r="L31" s="48"/>
      <c r="M31" s="49"/>
      <c r="N31" s="48">
        <v>6229</v>
      </c>
      <c r="O31" s="48">
        <v>13802</v>
      </c>
      <c r="P31" s="16">
        <f>O31/O$39</f>
        <v>5.6494492585149013E-2</v>
      </c>
      <c r="Q31" s="17" t="s">
        <v>34</v>
      </c>
      <c r="R31" s="3"/>
      <c r="S31" s="10" t="str">
        <f>M29</f>
        <v>Övrigt</v>
      </c>
      <c r="T31" s="13">
        <f>M42/1000</f>
        <v>0</v>
      </c>
      <c r="U31" s="14">
        <f>M43</f>
        <v>0</v>
      </c>
    </row>
    <row r="32" spans="1:21" ht="16" x14ac:dyDescent="0.2">
      <c r="A32" s="8" t="s">
        <v>36</v>
      </c>
      <c r="B32" s="48">
        <v>100</v>
      </c>
      <c r="C32" s="48">
        <v>751</v>
      </c>
      <c r="D32" s="48">
        <v>0</v>
      </c>
      <c r="E32" s="48">
        <v>0</v>
      </c>
      <c r="F32" s="48">
        <v>0</v>
      </c>
      <c r="G32" s="48">
        <v>2784</v>
      </c>
      <c r="H32" s="48">
        <v>0</v>
      </c>
      <c r="I32" s="48"/>
      <c r="J32" s="48"/>
      <c r="K32" s="48"/>
      <c r="L32" s="48"/>
      <c r="M32" s="49"/>
      <c r="N32" s="48">
        <v>7864</v>
      </c>
      <c r="O32" s="48">
        <v>11500</v>
      </c>
      <c r="P32" s="16">
        <f>O32/O$39</f>
        <v>4.7071921803304856E-2</v>
      </c>
      <c r="Q32" s="17" t="s">
        <v>37</v>
      </c>
      <c r="R32" s="3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8">
        <v>7732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/>
      <c r="J33" s="48"/>
      <c r="K33" s="48"/>
      <c r="L33" s="48"/>
      <c r="M33" s="49"/>
      <c r="N33" s="48">
        <v>6756</v>
      </c>
      <c r="O33" s="48">
        <v>14488</v>
      </c>
      <c r="P33" s="16">
        <f>O33/O$39</f>
        <v>5.9302435050980935E-2</v>
      </c>
      <c r="Q33" s="17" t="s">
        <v>39</v>
      </c>
      <c r="R33" s="3"/>
      <c r="S33" s="3" t="s">
        <v>35</v>
      </c>
      <c r="T33" s="13">
        <f>C42/1000</f>
        <v>83.305000000000007</v>
      </c>
      <c r="U33" s="15">
        <f>C43</f>
        <v>0.32632841381318151</v>
      </c>
    </row>
    <row r="34" spans="1:48" ht="16" x14ac:dyDescent="0.2">
      <c r="A34" s="8" t="s">
        <v>40</v>
      </c>
      <c r="B34" s="48">
        <v>0</v>
      </c>
      <c r="C34" s="48">
        <v>73903</v>
      </c>
      <c r="D34" s="48">
        <v>0</v>
      </c>
      <c r="E34" s="48">
        <v>0</v>
      </c>
      <c r="F34" s="48">
        <v>5365</v>
      </c>
      <c r="G34" s="48">
        <v>0</v>
      </c>
      <c r="H34" s="48">
        <v>0</v>
      </c>
      <c r="I34" s="48"/>
      <c r="J34" s="48"/>
      <c r="K34" s="48"/>
      <c r="L34" s="48"/>
      <c r="M34" s="49"/>
      <c r="N34" s="48">
        <v>20</v>
      </c>
      <c r="O34" s="48">
        <v>79288</v>
      </c>
      <c r="P34" s="16">
        <f>O34/O$39</f>
        <v>0.32454248138612485</v>
      </c>
      <c r="Q34" s="17" t="s">
        <v>41</v>
      </c>
      <c r="R34" s="3"/>
      <c r="S34" s="3"/>
      <c r="T34" s="13">
        <f>SUM(T23:T33)</f>
        <v>255.27964</v>
      </c>
      <c r="U34" s="14">
        <f>SUM(U23:U33)</f>
        <v>1</v>
      </c>
    </row>
    <row r="35" spans="1:48" ht="16" x14ac:dyDescent="0.2">
      <c r="A35" s="8" t="s">
        <v>42</v>
      </c>
      <c r="B35" s="48">
        <v>7027</v>
      </c>
      <c r="C35" s="48">
        <v>708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/>
      <c r="J35" s="48"/>
      <c r="K35" s="48"/>
      <c r="L35" s="48"/>
      <c r="M35" s="49"/>
      <c r="N35" s="48">
        <v>20865</v>
      </c>
      <c r="O35" s="48">
        <v>28600</v>
      </c>
      <c r="P35" s="16">
        <f>O35/O$39</f>
        <v>0.11706582291952339</v>
      </c>
      <c r="Q35" s="17" t="s">
        <v>43</v>
      </c>
      <c r="R35" s="17"/>
    </row>
    <row r="36" spans="1:48" ht="16" x14ac:dyDescent="0.2">
      <c r="A36" s="8" t="s">
        <v>44</v>
      </c>
      <c r="B36" s="48">
        <v>1020</v>
      </c>
      <c r="C36" s="48">
        <v>404</v>
      </c>
      <c r="D36" s="48">
        <v>0</v>
      </c>
      <c r="E36" s="48">
        <v>0</v>
      </c>
      <c r="F36" s="48">
        <v>0</v>
      </c>
      <c r="G36" s="48">
        <v>32223</v>
      </c>
      <c r="H36" s="48">
        <v>0</v>
      </c>
      <c r="I36" s="48"/>
      <c r="J36" s="48"/>
      <c r="K36" s="48"/>
      <c r="L36" s="48"/>
      <c r="M36" s="49"/>
      <c r="N36" s="48">
        <v>43118</v>
      </c>
      <c r="O36" s="48">
        <v>76765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48">
        <v>13358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/>
      <c r="J37" s="48"/>
      <c r="K37" s="48"/>
      <c r="L37" s="48"/>
      <c r="M37" s="49"/>
      <c r="N37" s="48">
        <v>3691</v>
      </c>
      <c r="O37" s="48">
        <v>17049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/>
      <c r="J38" s="48"/>
      <c r="K38" s="48"/>
      <c r="L38" s="48"/>
      <c r="M38" s="49"/>
      <c r="N38" s="48">
        <v>2815</v>
      </c>
      <c r="O38" s="48">
        <v>2815</v>
      </c>
      <c r="P38" s="17">
        <f>SUM(P31:P35)</f>
        <v>0.60447715374508304</v>
      </c>
      <c r="Q38" s="17"/>
      <c r="R38" s="3"/>
      <c r="S38" s="7" t="s">
        <v>47</v>
      </c>
      <c r="T38" s="18">
        <f>O45/1000</f>
        <v>10.071639999999999</v>
      </c>
      <c r="U38" s="7"/>
    </row>
    <row r="39" spans="1:48" ht="16" x14ac:dyDescent="0.2">
      <c r="A39" s="8" t="s">
        <v>16</v>
      </c>
      <c r="B39" s="48">
        <v>29237</v>
      </c>
      <c r="C39" s="48">
        <v>82638</v>
      </c>
      <c r="D39" s="48">
        <v>0</v>
      </c>
      <c r="E39" s="48">
        <v>0</v>
      </c>
      <c r="F39" s="48">
        <v>6066</v>
      </c>
      <c r="G39" s="48">
        <v>35007</v>
      </c>
      <c r="H39" s="48">
        <v>0</v>
      </c>
      <c r="I39" s="48"/>
      <c r="J39" s="48"/>
      <c r="K39" s="48"/>
      <c r="L39" s="48"/>
      <c r="M39" s="49"/>
      <c r="N39" s="48">
        <v>91358</v>
      </c>
      <c r="O39" s="48">
        <v>244307</v>
      </c>
      <c r="P39" s="3"/>
      <c r="Q39" s="3"/>
      <c r="R39" s="3"/>
      <c r="S39" s="7" t="s">
        <v>48</v>
      </c>
      <c r="T39" s="19">
        <f>O41/1000</f>
        <v>96.629000000000005</v>
      </c>
      <c r="U39" s="14">
        <f>P41</f>
        <v>0.39552284625491696</v>
      </c>
    </row>
    <row r="40" spans="1:48" x14ac:dyDescent="0.2">
      <c r="S40" s="7" t="s">
        <v>49</v>
      </c>
      <c r="T40" s="19">
        <f>O35/1000</f>
        <v>28.6</v>
      </c>
      <c r="U40" s="15">
        <f>P35</f>
        <v>0.11706582291952339</v>
      </c>
    </row>
    <row r="41" spans="1:48" ht="16" x14ac:dyDescent="0.2">
      <c r="A41" s="20" t="s">
        <v>50</v>
      </c>
      <c r="B41" s="21">
        <f>B38+B37+B36</f>
        <v>14378</v>
      </c>
      <c r="C41" s="21">
        <f t="shared" ref="C41:O41" si="0">C38+C37+C36</f>
        <v>404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32223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0</v>
      </c>
      <c r="N41" s="21">
        <f t="shared" si="0"/>
        <v>49624</v>
      </c>
      <c r="O41" s="21">
        <f t="shared" si="0"/>
        <v>96629</v>
      </c>
      <c r="P41" s="16">
        <f>O41/O$39</f>
        <v>0.39552284625491696</v>
      </c>
      <c r="Q41" s="16" t="s">
        <v>51</v>
      </c>
      <c r="R41" s="7"/>
      <c r="S41" s="7" t="s">
        <v>52</v>
      </c>
      <c r="T41" s="19">
        <f>O33/1000</f>
        <v>14.488</v>
      </c>
      <c r="U41" s="14">
        <f>P33</f>
        <v>5.9302435050980935E-2</v>
      </c>
    </row>
    <row r="42" spans="1:48" ht="16" x14ac:dyDescent="0.2">
      <c r="A42" s="22" t="s">
        <v>53</v>
      </c>
      <c r="B42" s="21"/>
      <c r="C42" s="23">
        <f>C39+C23+C10</f>
        <v>83305</v>
      </c>
      <c r="D42" s="23">
        <f t="shared" ref="D42:M42" si="1">D39+D23+D10</f>
        <v>0</v>
      </c>
      <c r="E42" s="23">
        <f t="shared" si="1"/>
        <v>0</v>
      </c>
      <c r="F42" s="23">
        <f t="shared" si="1"/>
        <v>6066</v>
      </c>
      <c r="G42" s="23">
        <f t="shared" si="1"/>
        <v>67242</v>
      </c>
      <c r="H42" s="23">
        <f t="shared" si="1"/>
        <v>0</v>
      </c>
      <c r="I42" s="23">
        <f t="shared" si="1"/>
        <v>0</v>
      </c>
      <c r="J42" s="23">
        <f t="shared" si="1"/>
        <v>0</v>
      </c>
      <c r="K42" s="23">
        <f t="shared" si="1"/>
        <v>0</v>
      </c>
      <c r="L42" s="23">
        <f t="shared" ref="L42" si="2">L39+L23+L10</f>
        <v>0</v>
      </c>
      <c r="M42" s="23">
        <f t="shared" si="1"/>
        <v>0</v>
      </c>
      <c r="N42" s="23">
        <f>N39+N23-B6+N45</f>
        <v>98666.64</v>
      </c>
      <c r="O42" s="24">
        <f>SUM(C42:N42)</f>
        <v>255279.64</v>
      </c>
      <c r="P42" s="7"/>
      <c r="Q42" s="7"/>
      <c r="R42" s="7"/>
      <c r="S42" s="7" t="s">
        <v>34</v>
      </c>
      <c r="T42" s="19">
        <f>O31/1000</f>
        <v>13.802</v>
      </c>
      <c r="U42" s="14">
        <f>P31</f>
        <v>5.6494492585149013E-2</v>
      </c>
    </row>
    <row r="43" spans="1:48" ht="16" x14ac:dyDescent="0.2">
      <c r="A43" s="22" t="s">
        <v>54</v>
      </c>
      <c r="B43" s="21"/>
      <c r="C43" s="16">
        <f t="shared" ref="C43:N43" si="3">C42/$O42</f>
        <v>0.32632841381318151</v>
      </c>
      <c r="D43" s="16">
        <f t="shared" si="3"/>
        <v>0</v>
      </c>
      <c r="E43" s="16">
        <f t="shared" si="3"/>
        <v>0</v>
      </c>
      <c r="F43" s="16">
        <f t="shared" si="3"/>
        <v>2.3762177038482189E-2</v>
      </c>
      <c r="G43" s="16">
        <f t="shared" si="3"/>
        <v>0.26340526020798211</v>
      </c>
      <c r="H43" s="16">
        <f t="shared" si="3"/>
        <v>0</v>
      </c>
      <c r="I43" s="16">
        <f t="shared" si="3"/>
        <v>0</v>
      </c>
      <c r="J43" s="16">
        <f t="shared" si="3"/>
        <v>0</v>
      </c>
      <c r="K43" s="16">
        <f t="shared" si="3"/>
        <v>0</v>
      </c>
      <c r="L43" s="16">
        <f t="shared" si="3"/>
        <v>0</v>
      </c>
      <c r="M43" s="16">
        <f t="shared" si="3"/>
        <v>0</v>
      </c>
      <c r="N43" s="16">
        <f t="shared" si="3"/>
        <v>0.38650414894035418</v>
      </c>
      <c r="O43" s="16">
        <f>SUM(C43:N43)</f>
        <v>1</v>
      </c>
      <c r="P43" s="7"/>
      <c r="Q43" s="7"/>
      <c r="R43" s="7"/>
      <c r="S43" s="7" t="s">
        <v>55</v>
      </c>
      <c r="T43" s="19">
        <f>O32/1000</f>
        <v>11.5</v>
      </c>
      <c r="U43" s="15">
        <f>P32</f>
        <v>4.7071921803304856E-2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79.287999999999997</v>
      </c>
      <c r="U44" s="15">
        <f>P34</f>
        <v>0.32454248138612485</v>
      </c>
    </row>
    <row r="45" spans="1:48" ht="16" x14ac:dyDescent="0.2">
      <c r="A45" s="6" t="s">
        <v>57</v>
      </c>
      <c r="B45" s="6">
        <f>B23-B39</f>
        <v>2763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5">
        <f>N39*0.08</f>
        <v>7308.64</v>
      </c>
      <c r="O45" s="24">
        <f>B45+N45</f>
        <v>10071.64</v>
      </c>
      <c r="P45" s="7"/>
      <c r="Q45" s="7"/>
      <c r="R45" s="7"/>
      <c r="S45" s="7" t="s">
        <v>58</v>
      </c>
      <c r="T45" s="19">
        <f>SUM(T39:T44)</f>
        <v>244.30700000000002</v>
      </c>
      <c r="U45" s="14">
        <f>SUM(U39:U44)</f>
        <v>1</v>
      </c>
    </row>
    <row r="46" spans="1:48" ht="16" x14ac:dyDescent="0.2">
      <c r="A46" s="6"/>
      <c r="B46" s="41">
        <f>B45/B23</f>
        <v>8.6343749999999997E-2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/>
      <c r="O46" s="6"/>
      <c r="P46" s="7"/>
      <c r="Q46" s="7"/>
      <c r="R46" s="7"/>
    </row>
    <row r="47" spans="1:48" x14ac:dyDescent="0.2">
      <c r="A47" s="4"/>
      <c r="B47" s="4"/>
      <c r="C47" s="26"/>
      <c r="D47" s="27"/>
      <c r="E47" s="26"/>
      <c r="F47" s="26"/>
      <c r="G47" s="27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4"/>
      <c r="S47" s="4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4"/>
      <c r="AI47" s="4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2">
      <c r="A48" s="26"/>
      <c r="B48" s="4"/>
      <c r="C48" s="26"/>
      <c r="D48" s="27"/>
      <c r="E48" s="26"/>
      <c r="F48" s="26"/>
      <c r="G48" s="27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4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4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2">
      <c r="A49" s="26"/>
      <c r="B49" s="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S49" s="4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4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16" x14ac:dyDescent="0.2">
      <c r="A50" s="51"/>
      <c r="B50" s="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51"/>
      <c r="S50" s="4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4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x14ac:dyDescent="0.2">
      <c r="A51" s="26"/>
      <c r="B51" s="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4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4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x14ac:dyDescent="0.2">
      <c r="A52" s="26"/>
      <c r="B52" s="4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4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4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</row>
    <row r="53" spans="1:48" x14ac:dyDescent="0.2">
      <c r="A53" s="26"/>
      <c r="B53" s="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4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4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</row>
    <row r="54" spans="1:48" x14ac:dyDescent="0.2">
      <c r="A54" s="26"/>
      <c r="B54" s="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4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4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</row>
    <row r="55" spans="1:48" x14ac:dyDescent="0.2">
      <c r="A55" s="26"/>
      <c r="B55" s="4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4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4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</row>
    <row r="56" spans="1:48" x14ac:dyDescent="0.2">
      <c r="A56" s="26"/>
      <c r="B56" s="4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4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4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29"/>
      <c r="N57" s="29"/>
      <c r="O57" s="7"/>
      <c r="P57" s="6"/>
      <c r="Q57" s="14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29"/>
      <c r="N58" s="29"/>
      <c r="O58" s="7"/>
      <c r="P58" s="6"/>
      <c r="Q58" s="14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29"/>
      <c r="N59" s="29"/>
      <c r="O59" s="7"/>
      <c r="P59" s="6"/>
      <c r="Q59" s="14"/>
      <c r="R59" s="7"/>
      <c r="S59" s="7"/>
      <c r="T59" s="6"/>
      <c r="U59" s="30"/>
    </row>
    <row r="60" spans="1:48" ht="16" x14ac:dyDescent="0.2">
      <c r="A60" s="22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29"/>
      <c r="N60" s="29"/>
      <c r="O60" s="7"/>
      <c r="P60" s="6"/>
      <c r="Q60" s="14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29"/>
      <c r="O61" s="7"/>
      <c r="P61" s="6"/>
      <c r="Q61" s="14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 enableFormatConditionsCalculation="0"/>
  <dimension ref="A1:AV70"/>
  <sheetViews>
    <sheetView zoomScale="90" zoomScaleNormal="90" zoomScalePageLayoutView="90" workbookViewId="0">
      <selection activeCell="A3" sqref="A3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63</v>
      </c>
      <c r="Q2" s="49"/>
      <c r="R2" s="8"/>
      <c r="AH2" s="49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73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9"/>
      <c r="R3" s="49"/>
      <c r="AH3" s="49"/>
      <c r="AI3" s="49"/>
    </row>
    <row r="4" spans="1:35" ht="16" x14ac:dyDescent="0.2">
      <c r="A4" s="49" t="s">
        <v>79</v>
      </c>
      <c r="B4" s="64">
        <f>464*0.95</f>
        <v>440.79999999999995</v>
      </c>
      <c r="Q4" s="49"/>
      <c r="R4" s="49"/>
      <c r="AH4" s="49"/>
      <c r="AI4" s="49"/>
    </row>
    <row r="5" spans="1:35" ht="16" x14ac:dyDescent="0.2">
      <c r="A5" s="49"/>
      <c r="Q5" s="49"/>
      <c r="R5" s="49"/>
      <c r="AH5" s="49"/>
      <c r="AI5" s="49"/>
    </row>
    <row r="6" spans="1:35" ht="16" x14ac:dyDescent="0.2">
      <c r="A6" s="8" t="s">
        <v>12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/>
      <c r="J6" s="48"/>
      <c r="K6" s="48"/>
      <c r="L6" s="48"/>
      <c r="M6" s="48"/>
      <c r="N6" s="48"/>
      <c r="O6" s="48">
        <v>0</v>
      </c>
      <c r="Q6" s="49"/>
      <c r="R6" s="49"/>
      <c r="AH6" s="49"/>
      <c r="AI6" s="49"/>
    </row>
    <row r="7" spans="1:35" ht="16" x14ac:dyDescent="0.2">
      <c r="A7" s="8" t="s">
        <v>13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/>
      <c r="J7" s="48"/>
      <c r="K7" s="48"/>
      <c r="L7" s="48"/>
      <c r="M7" s="48"/>
      <c r="N7" s="48"/>
      <c r="O7" s="48">
        <v>0</v>
      </c>
      <c r="P7" s="48"/>
      <c r="Q7" s="49"/>
      <c r="R7" s="49"/>
      <c r="AH7" s="49"/>
      <c r="AI7" s="49"/>
    </row>
    <row r="8" spans="1:35" ht="16" x14ac:dyDescent="0.2">
      <c r="A8" s="8" t="s">
        <v>14</v>
      </c>
      <c r="B8" s="48">
        <v>16709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/>
      <c r="J8" s="48"/>
      <c r="K8" s="48"/>
      <c r="L8" s="48"/>
      <c r="M8" s="48"/>
      <c r="N8" s="48"/>
      <c r="O8" s="48">
        <v>0</v>
      </c>
      <c r="P8" s="48"/>
      <c r="Q8" s="49"/>
      <c r="R8" s="49"/>
      <c r="AH8" s="49"/>
      <c r="AI8" s="49"/>
    </row>
    <row r="9" spans="1:35" ht="16" x14ac:dyDescent="0.2">
      <c r="A9" s="8" t="s">
        <v>15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/>
      <c r="J9" s="48"/>
      <c r="K9" s="48"/>
      <c r="L9" s="48"/>
      <c r="M9" s="48"/>
      <c r="N9" s="48"/>
      <c r="O9" s="48">
        <v>0</v>
      </c>
      <c r="P9" s="48"/>
      <c r="Q9" s="49"/>
      <c r="R9" s="49"/>
      <c r="S9" s="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</row>
    <row r="10" spans="1:35" ht="16" x14ac:dyDescent="0.2">
      <c r="A10" s="8" t="s">
        <v>16</v>
      </c>
      <c r="B10" s="56">
        <f>SUM(B4:B9)</f>
        <v>17149.8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/>
      <c r="J10" s="48"/>
      <c r="K10" s="48"/>
      <c r="L10" s="48"/>
      <c r="M10" s="48"/>
      <c r="N10" s="48"/>
      <c r="O10" s="48">
        <v>0</v>
      </c>
      <c r="P10" s="48"/>
      <c r="Q10" s="49"/>
      <c r="R10" s="49"/>
      <c r="S10" s="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9"/>
      <c r="AI10" s="49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73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/>
      <c r="J17" s="48"/>
      <c r="K17" s="48"/>
      <c r="L17" s="48"/>
      <c r="M17" s="48"/>
      <c r="N17" s="48"/>
      <c r="O17" s="48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56">
        <f>107398+5176</f>
        <v>112574</v>
      </c>
      <c r="C18" s="53">
        <v>6500</v>
      </c>
      <c r="D18" s="53">
        <v>0</v>
      </c>
      <c r="E18" s="48">
        <v>0</v>
      </c>
      <c r="F18" s="48">
        <v>5541</v>
      </c>
      <c r="G18" s="53">
        <v>49900</v>
      </c>
      <c r="H18" s="48">
        <v>0</v>
      </c>
      <c r="I18" s="48"/>
      <c r="J18" s="48"/>
      <c r="K18" s="53">
        <v>60100</v>
      </c>
      <c r="L18" s="48"/>
      <c r="M18" s="48"/>
      <c r="N18" s="48"/>
      <c r="O18" s="53">
        <f>SUM(C18:N18)</f>
        <v>122041</v>
      </c>
      <c r="P18" s="45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8">
        <v>0</v>
      </c>
      <c r="C19" s="2">
        <v>0</v>
      </c>
      <c r="D19" s="48">
        <v>0</v>
      </c>
      <c r="E19" s="48">
        <v>0</v>
      </c>
      <c r="F19" s="48">
        <v>0</v>
      </c>
      <c r="G19" s="2">
        <v>0</v>
      </c>
      <c r="H19" s="48">
        <v>0</v>
      </c>
      <c r="I19" s="48"/>
      <c r="J19" s="48"/>
      <c r="L19" s="48"/>
      <c r="M19" s="48"/>
      <c r="N19" s="48"/>
      <c r="O19" s="48">
        <v>0</v>
      </c>
      <c r="P19" s="45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/>
      <c r="J20" s="48"/>
      <c r="K20" s="48"/>
      <c r="L20" s="48"/>
      <c r="M20" s="48"/>
      <c r="N20" s="48"/>
      <c r="O20" s="48">
        <v>0</v>
      </c>
      <c r="P20" s="3"/>
      <c r="Q20" s="3"/>
      <c r="R20" s="3"/>
      <c r="S20" s="3" t="s">
        <v>26</v>
      </c>
      <c r="T20" s="12">
        <f>O42/1000</f>
        <v>886.45008000000007</v>
      </c>
      <c r="U20" s="3"/>
    </row>
    <row r="21" spans="1:21" ht="16" x14ac:dyDescent="0.2">
      <c r="A21" s="8" t="s">
        <v>24</v>
      </c>
      <c r="B21" s="48">
        <v>8665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/>
      <c r="J21" s="48"/>
      <c r="K21" s="48"/>
      <c r="L21" s="48"/>
      <c r="M21" s="48"/>
      <c r="N21" s="48"/>
      <c r="O21" s="48">
        <v>0</v>
      </c>
      <c r="P21" s="3"/>
      <c r="Q21" s="3"/>
      <c r="R21" s="3"/>
      <c r="S21" s="3"/>
      <c r="T21" s="3"/>
      <c r="U21" s="3"/>
    </row>
    <row r="22" spans="1:21" ht="16" x14ac:dyDescent="0.2">
      <c r="A22" s="8" t="s">
        <v>25</v>
      </c>
      <c r="B22" s="56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/>
      <c r="J22" s="48"/>
      <c r="K22" s="48"/>
      <c r="L22" s="48"/>
      <c r="M22" s="48"/>
      <c r="N22" s="48"/>
      <c r="O22" s="48">
        <v>0</v>
      </c>
      <c r="P22" s="3"/>
      <c r="Q22" s="3"/>
      <c r="R22" s="3"/>
      <c r="S22" s="3"/>
      <c r="T22" s="3" t="s">
        <v>27</v>
      </c>
      <c r="U22" s="3" t="s">
        <v>28</v>
      </c>
    </row>
    <row r="23" spans="1:21" ht="16" x14ac:dyDescent="0.2">
      <c r="A23" s="8" t="s">
        <v>16</v>
      </c>
      <c r="B23" s="48">
        <v>121239</v>
      </c>
      <c r="C23" s="53">
        <f>SUM(C17:C22)</f>
        <v>6500</v>
      </c>
      <c r="D23" s="53">
        <f>SUM(D17:D22)</f>
        <v>0</v>
      </c>
      <c r="E23" s="48">
        <v>0</v>
      </c>
      <c r="F23" s="48">
        <v>5541</v>
      </c>
      <c r="G23" s="53">
        <f>SUM(G17:G22)</f>
        <v>49900</v>
      </c>
      <c r="H23" s="48">
        <v>0</v>
      </c>
      <c r="I23" s="48"/>
      <c r="J23" s="48"/>
      <c r="K23" s="53">
        <f>SUM(K18:K22)</f>
        <v>60100</v>
      </c>
      <c r="L23" s="48"/>
      <c r="M23" s="48"/>
      <c r="N23" s="48"/>
      <c r="O23" s="53">
        <f>SUM(O18:O21)</f>
        <v>122041</v>
      </c>
      <c r="P23" s="3"/>
      <c r="Q23" s="3"/>
      <c r="R23" s="3"/>
      <c r="S23" s="3" t="s">
        <v>10</v>
      </c>
      <c r="T23" s="13">
        <f>N42/1000</f>
        <v>402.86808000000002</v>
      </c>
      <c r="U23" s="14">
        <f>N43</f>
        <v>0.45447351079262127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73</v>
      </c>
      <c r="T24" s="13">
        <f>G42/1000</f>
        <v>90.8</v>
      </c>
      <c r="U24" s="15">
        <f>G43</f>
        <v>0.10243103593605631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</v>
      </c>
      <c r="T25" s="13">
        <f>J42/1000</f>
        <v>0</v>
      </c>
      <c r="U25" s="14">
        <f>J43</f>
        <v>0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31</v>
      </c>
      <c r="T26" s="13">
        <f>F42/1000</f>
        <v>17.667000000000002</v>
      </c>
      <c r="U26" s="14">
        <f>F43</f>
        <v>1.9930056298263291E-2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4</v>
      </c>
      <c r="T27" s="12">
        <f>E42/1000</f>
        <v>132.32900000000001</v>
      </c>
      <c r="U27" s="14">
        <f>E43</f>
        <v>0.14927969773548894</v>
      </c>
    </row>
    <row r="28" spans="1:21" ht="16" x14ac:dyDescent="0.2">
      <c r="A28" s="4" t="s">
        <v>63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2" t="s">
        <v>3</v>
      </c>
      <c r="T28" s="2">
        <f>D42/1000</f>
        <v>0</v>
      </c>
      <c r="U28" s="47">
        <f>D43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73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8</v>
      </c>
      <c r="T29" s="2">
        <f>K42/1000</f>
        <v>60.1</v>
      </c>
      <c r="U29" s="47">
        <f>K43</f>
        <v>6.779851607661877E-2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3" t="s">
        <v>5</v>
      </c>
      <c r="T30" s="13">
        <f>I42/1000</f>
        <v>0</v>
      </c>
      <c r="U30" s="14">
        <f>I43</f>
        <v>0</v>
      </c>
    </row>
    <row r="31" spans="1:21" ht="16" x14ac:dyDescent="0.2">
      <c r="A31" s="8" t="s">
        <v>33</v>
      </c>
      <c r="B31" s="48">
        <v>0</v>
      </c>
      <c r="C31" s="48">
        <v>7739</v>
      </c>
      <c r="D31" s="48">
        <v>0</v>
      </c>
      <c r="E31" s="48">
        <v>0</v>
      </c>
      <c r="F31" s="48">
        <v>781</v>
      </c>
      <c r="G31" s="48">
        <v>0</v>
      </c>
      <c r="H31" s="48">
        <v>0</v>
      </c>
      <c r="I31" s="48"/>
      <c r="J31" s="48"/>
      <c r="K31" s="48"/>
      <c r="L31" s="48"/>
      <c r="M31" s="49"/>
      <c r="N31" s="48">
        <v>5280</v>
      </c>
      <c r="O31" s="48">
        <v>13800</v>
      </c>
      <c r="P31" s="16">
        <f>O31/O$39</f>
        <v>1.6454683444084482E-2</v>
      </c>
      <c r="Q31" s="17" t="s">
        <v>34</v>
      </c>
      <c r="R31" s="3"/>
      <c r="S31" s="10" t="str">
        <f>M29</f>
        <v>Övrigt</v>
      </c>
      <c r="T31" s="13">
        <f>M42/1000</f>
        <v>0</v>
      </c>
      <c r="U31" s="14">
        <f>M43</f>
        <v>0</v>
      </c>
    </row>
    <row r="32" spans="1:21" ht="16" x14ac:dyDescent="0.2">
      <c r="A32" s="8" t="s">
        <v>36</v>
      </c>
      <c r="B32" s="52">
        <f>B39-B37-B36-B35-B33</f>
        <v>31190</v>
      </c>
      <c r="C32" s="52">
        <f>C39-C37-C36-C35-C34-C31</f>
        <v>8879</v>
      </c>
      <c r="D32" s="48">
        <v>0</v>
      </c>
      <c r="E32" s="48">
        <v>132329</v>
      </c>
      <c r="F32" s="48">
        <v>0</v>
      </c>
      <c r="G32" s="52">
        <v>0</v>
      </c>
      <c r="H32" s="48">
        <v>0</v>
      </c>
      <c r="I32" s="48"/>
      <c r="J32" s="48"/>
      <c r="K32" s="48"/>
      <c r="L32" s="48"/>
      <c r="M32" s="49"/>
      <c r="N32" s="52">
        <f>O32-E32-C32-B32</f>
        <v>215685</v>
      </c>
      <c r="O32" s="48">
        <v>388083</v>
      </c>
      <c r="P32" s="16">
        <f>O32/O$39</f>
        <v>0.46273789239352447</v>
      </c>
      <c r="Q32" s="17" t="s">
        <v>37</v>
      </c>
      <c r="R32" s="3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8">
        <v>11560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/>
      <c r="J33" s="48"/>
      <c r="K33" s="48"/>
      <c r="L33" s="48"/>
      <c r="M33" s="49"/>
      <c r="N33" s="48">
        <v>14049</v>
      </c>
      <c r="O33" s="48">
        <v>25609</v>
      </c>
      <c r="P33" s="16">
        <f>O33/O$39</f>
        <v>3.0535361472431848E-2</v>
      </c>
      <c r="Q33" s="17" t="s">
        <v>39</v>
      </c>
      <c r="R33" s="3"/>
      <c r="S33" s="3" t="s">
        <v>35</v>
      </c>
      <c r="T33" s="13">
        <f>C42/1000</f>
        <v>182.68600000000001</v>
      </c>
      <c r="U33" s="15">
        <f>C43</f>
        <v>0.20608718316095137</v>
      </c>
    </row>
    <row r="34" spans="1:48" ht="16" x14ac:dyDescent="0.2">
      <c r="A34" s="8" t="s">
        <v>40</v>
      </c>
      <c r="B34" s="48">
        <v>0</v>
      </c>
      <c r="C34" s="48">
        <v>145816</v>
      </c>
      <c r="D34" s="48">
        <v>0</v>
      </c>
      <c r="E34" s="48">
        <v>0</v>
      </c>
      <c r="F34" s="48">
        <v>11345</v>
      </c>
      <c r="G34" s="48">
        <v>0</v>
      </c>
      <c r="H34" s="48">
        <v>0</v>
      </c>
      <c r="I34" s="48"/>
      <c r="J34" s="48"/>
      <c r="K34" s="48"/>
      <c r="L34" s="48"/>
      <c r="M34" s="49"/>
      <c r="N34" s="48">
        <v>100</v>
      </c>
      <c r="O34" s="48">
        <v>157261</v>
      </c>
      <c r="P34" s="16">
        <f>O34/O$39</f>
        <v>0.18751304152899781</v>
      </c>
      <c r="Q34" s="17" t="s">
        <v>41</v>
      </c>
      <c r="R34" s="3"/>
      <c r="S34" s="3"/>
      <c r="T34" s="13">
        <f>SUM(T23:T33)</f>
        <v>886.45008000000007</v>
      </c>
      <c r="U34" s="14">
        <f>SUM(U23:U33)</f>
        <v>1</v>
      </c>
    </row>
    <row r="35" spans="1:48" ht="16" x14ac:dyDescent="0.2">
      <c r="A35" s="8" t="s">
        <v>42</v>
      </c>
      <c r="B35" s="48">
        <v>9098</v>
      </c>
      <c r="C35" s="48">
        <v>12208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/>
      <c r="J35" s="48"/>
      <c r="K35" s="48"/>
      <c r="L35" s="48"/>
      <c r="M35" s="49"/>
      <c r="N35" s="48">
        <v>52279</v>
      </c>
      <c r="O35" s="48">
        <v>73585</v>
      </c>
      <c r="P35" s="16">
        <f>O35/O$39</f>
        <v>8.7740426176301206E-2</v>
      </c>
      <c r="Q35" s="17" t="s">
        <v>43</v>
      </c>
      <c r="R35" s="17"/>
    </row>
    <row r="36" spans="1:48" ht="16" x14ac:dyDescent="0.2">
      <c r="A36" s="8" t="s">
        <v>44</v>
      </c>
      <c r="B36" s="48">
        <v>13461</v>
      </c>
      <c r="C36" s="52">
        <f>O36-N36-G36-B36</f>
        <v>696</v>
      </c>
      <c r="D36" s="48">
        <v>0</v>
      </c>
      <c r="E36" s="48">
        <v>0</v>
      </c>
      <c r="F36" s="48">
        <v>0</v>
      </c>
      <c r="G36" s="52">
        <v>40900</v>
      </c>
      <c r="H36" s="48">
        <v>0</v>
      </c>
      <c r="I36" s="48"/>
      <c r="J36" s="48"/>
      <c r="K36" s="48"/>
      <c r="L36" s="48"/>
      <c r="M36" s="49"/>
      <c r="N36" s="48">
        <v>66612</v>
      </c>
      <c r="O36" s="48">
        <v>121669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48">
        <v>38791</v>
      </c>
      <c r="C37" s="48">
        <v>848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/>
      <c r="J37" s="48"/>
      <c r="K37" s="48"/>
      <c r="L37" s="48"/>
      <c r="M37" s="49"/>
      <c r="N37" s="48">
        <v>8436</v>
      </c>
      <c r="O37" s="48">
        <v>48075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/>
      <c r="J38" s="48"/>
      <c r="K38" s="48"/>
      <c r="L38" s="48"/>
      <c r="M38" s="49"/>
      <c r="N38" s="48">
        <v>10585</v>
      </c>
      <c r="O38" s="48">
        <v>10585</v>
      </c>
      <c r="P38" s="17">
        <f>SUM(P31:P35)</f>
        <v>0.78498140501533975</v>
      </c>
      <c r="Q38" s="17"/>
      <c r="R38" s="3"/>
      <c r="S38" s="7" t="s">
        <v>47</v>
      </c>
      <c r="T38" s="18">
        <f>O45/1000</f>
        <v>46.981079999999999</v>
      </c>
      <c r="U38" s="7"/>
    </row>
    <row r="39" spans="1:48" ht="16" x14ac:dyDescent="0.2">
      <c r="A39" s="8" t="s">
        <v>16</v>
      </c>
      <c r="B39" s="57">
        <v>104100</v>
      </c>
      <c r="C39" s="48">
        <v>176186</v>
      </c>
      <c r="D39" s="48">
        <v>0</v>
      </c>
      <c r="E39" s="48">
        <v>132329</v>
      </c>
      <c r="F39" s="48">
        <v>12126</v>
      </c>
      <c r="G39" s="52">
        <f>SUM(G31:G38)</f>
        <v>40900</v>
      </c>
      <c r="H39" s="48">
        <v>0</v>
      </c>
      <c r="I39" s="48"/>
      <c r="J39" s="48"/>
      <c r="K39" s="48"/>
      <c r="L39" s="48"/>
      <c r="M39" s="49"/>
      <c r="N39" s="52">
        <f>SUM(N31:N38)</f>
        <v>373026</v>
      </c>
      <c r="O39" s="48">
        <v>838667</v>
      </c>
      <c r="P39" s="3"/>
      <c r="Q39" s="3"/>
      <c r="R39" s="3"/>
      <c r="S39" s="7" t="s">
        <v>48</v>
      </c>
      <c r="T39" s="19">
        <f>O41/1000</f>
        <v>180.32900000000001</v>
      </c>
      <c r="U39" s="14">
        <f>P41</f>
        <v>0.21501859498466019</v>
      </c>
    </row>
    <row r="40" spans="1:48" x14ac:dyDescent="0.2">
      <c r="S40" s="7" t="s">
        <v>49</v>
      </c>
      <c r="T40" s="19">
        <f>O35/1000</f>
        <v>73.584999999999994</v>
      </c>
      <c r="U40" s="15">
        <f>P35</f>
        <v>8.7740426176301206E-2</v>
      </c>
    </row>
    <row r="41" spans="1:48" ht="16" x14ac:dyDescent="0.2">
      <c r="A41" s="20" t="s">
        <v>50</v>
      </c>
      <c r="B41" s="21">
        <f>B38+B37+B36</f>
        <v>52252</v>
      </c>
      <c r="C41" s="21">
        <f t="shared" ref="C41:O41" si="0">C38+C37+C36</f>
        <v>1544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40900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0</v>
      </c>
      <c r="N41" s="21">
        <f t="shared" si="0"/>
        <v>85633</v>
      </c>
      <c r="O41" s="21">
        <f t="shared" si="0"/>
        <v>180329</v>
      </c>
      <c r="P41" s="16">
        <f>O41/O$39</f>
        <v>0.21501859498466019</v>
      </c>
      <c r="Q41" s="16" t="s">
        <v>51</v>
      </c>
      <c r="R41" s="7"/>
      <c r="S41" s="7" t="s">
        <v>52</v>
      </c>
      <c r="T41" s="19">
        <f>O33/1000</f>
        <v>25.609000000000002</v>
      </c>
      <c r="U41" s="14">
        <f>P33</f>
        <v>3.0535361472431848E-2</v>
      </c>
    </row>
    <row r="42" spans="1:48" ht="16" x14ac:dyDescent="0.2">
      <c r="A42" s="22" t="s">
        <v>53</v>
      </c>
      <c r="B42" s="21"/>
      <c r="C42" s="23">
        <f>C39+C23+C10</f>
        <v>182686</v>
      </c>
      <c r="D42" s="23">
        <f t="shared" ref="D42:M42" si="1">D39+D23+D10</f>
        <v>0</v>
      </c>
      <c r="E42" s="23">
        <f t="shared" si="1"/>
        <v>132329</v>
      </c>
      <c r="F42" s="23">
        <f t="shared" si="1"/>
        <v>17667</v>
      </c>
      <c r="G42" s="23">
        <f t="shared" si="1"/>
        <v>90800</v>
      </c>
      <c r="H42" s="23">
        <f t="shared" si="1"/>
        <v>0</v>
      </c>
      <c r="I42" s="23">
        <f t="shared" si="1"/>
        <v>0</v>
      </c>
      <c r="J42" s="23">
        <f t="shared" si="1"/>
        <v>0</v>
      </c>
      <c r="K42" s="23">
        <f t="shared" si="1"/>
        <v>60100</v>
      </c>
      <c r="L42" s="23">
        <f t="shared" ref="L42" si="2">L39+L23+L10</f>
        <v>0</v>
      </c>
      <c r="M42" s="23">
        <f t="shared" si="1"/>
        <v>0</v>
      </c>
      <c r="N42" s="23">
        <f>N39+N23-B6+N45</f>
        <v>402868.08</v>
      </c>
      <c r="O42" s="24">
        <f>SUM(C42:N42)</f>
        <v>886450.08000000007</v>
      </c>
      <c r="P42" s="7"/>
      <c r="Q42" s="7"/>
      <c r="R42" s="7"/>
      <c r="S42" s="7" t="s">
        <v>34</v>
      </c>
      <c r="T42" s="19">
        <f>O31/1000</f>
        <v>13.8</v>
      </c>
      <c r="U42" s="14">
        <f>P31</f>
        <v>1.6454683444084482E-2</v>
      </c>
    </row>
    <row r="43" spans="1:48" ht="16" x14ac:dyDescent="0.2">
      <c r="A43" s="22" t="s">
        <v>54</v>
      </c>
      <c r="B43" s="21"/>
      <c r="C43" s="16">
        <f t="shared" ref="C43:N43" si="3">C42/$O42</f>
        <v>0.20608718316095137</v>
      </c>
      <c r="D43" s="16">
        <f t="shared" si="3"/>
        <v>0</v>
      </c>
      <c r="E43" s="16">
        <f t="shared" si="3"/>
        <v>0.14927969773548894</v>
      </c>
      <c r="F43" s="16">
        <f t="shared" si="3"/>
        <v>1.9930056298263291E-2</v>
      </c>
      <c r="G43" s="16">
        <f t="shared" si="3"/>
        <v>0.10243103593605631</v>
      </c>
      <c r="H43" s="16">
        <f t="shared" si="3"/>
        <v>0</v>
      </c>
      <c r="I43" s="16">
        <f t="shared" si="3"/>
        <v>0</v>
      </c>
      <c r="J43" s="16">
        <f t="shared" si="3"/>
        <v>0</v>
      </c>
      <c r="K43" s="16">
        <f t="shared" si="3"/>
        <v>6.779851607661877E-2</v>
      </c>
      <c r="L43" s="16">
        <f t="shared" si="3"/>
        <v>0</v>
      </c>
      <c r="M43" s="16">
        <f t="shared" si="3"/>
        <v>0</v>
      </c>
      <c r="N43" s="16">
        <f t="shared" si="3"/>
        <v>0.45447351079262127</v>
      </c>
      <c r="O43" s="16">
        <f>SUM(C43:N43)</f>
        <v>1</v>
      </c>
      <c r="P43" s="7"/>
      <c r="Q43" s="7"/>
      <c r="R43" s="7"/>
      <c r="S43" s="7" t="s">
        <v>55</v>
      </c>
      <c r="T43" s="19">
        <f>O32/1000</f>
        <v>388.08300000000003</v>
      </c>
      <c r="U43" s="15">
        <f>P32</f>
        <v>0.46273789239352447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157.261</v>
      </c>
      <c r="U44" s="15">
        <f>P34</f>
        <v>0.18751304152899781</v>
      </c>
    </row>
    <row r="45" spans="1:48" ht="16" x14ac:dyDescent="0.2">
      <c r="A45" s="6" t="s">
        <v>57</v>
      </c>
      <c r="B45" s="6">
        <f>B23-B39</f>
        <v>17139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5">
        <f>N39*0.08</f>
        <v>29842.080000000002</v>
      </c>
      <c r="O45" s="24">
        <f>B45+N45</f>
        <v>46981.08</v>
      </c>
      <c r="P45" s="7"/>
      <c r="Q45" s="7"/>
      <c r="R45" s="7"/>
      <c r="S45" s="7" t="s">
        <v>58</v>
      </c>
      <c r="T45" s="19">
        <f>SUM(T39:T44)</f>
        <v>838.66699999999992</v>
      </c>
      <c r="U45" s="14">
        <f>SUM(U39:U44)</f>
        <v>1</v>
      </c>
    </row>
    <row r="46" spans="1:48" ht="16" x14ac:dyDescent="0.2">
      <c r="A46" s="6"/>
      <c r="B46" s="41">
        <f>B45/B23</f>
        <v>0.14136540222205726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/>
      <c r="O46" s="6"/>
      <c r="P46" s="7"/>
      <c r="Q46" s="7"/>
      <c r="R46" s="7"/>
    </row>
    <row r="47" spans="1:48" x14ac:dyDescent="0.2">
      <c r="A47" s="4"/>
      <c r="B47" s="4"/>
      <c r="C47" s="9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4"/>
      <c r="S47" s="4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4"/>
      <c r="AI47" s="4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2">
      <c r="B48" s="4"/>
      <c r="C48" s="26"/>
      <c r="F48" s="40"/>
      <c r="G48" s="26"/>
      <c r="H48" s="27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4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4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2">
      <c r="A49" s="26"/>
      <c r="B49" s="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4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4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16" x14ac:dyDescent="0.2">
      <c r="A50" s="51"/>
      <c r="B50" s="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4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4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x14ac:dyDescent="0.2">
      <c r="A51" s="26"/>
      <c r="B51" s="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4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4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x14ac:dyDescent="0.2">
      <c r="A52" s="26"/>
      <c r="B52" s="4"/>
      <c r="C52" s="26"/>
      <c r="D52" s="26"/>
      <c r="E52" s="26"/>
      <c r="F52" s="26"/>
      <c r="G52" s="26"/>
      <c r="H52" s="27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4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4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</row>
    <row r="53" spans="1:48" x14ac:dyDescent="0.2">
      <c r="A53" s="26"/>
      <c r="B53" s="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4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4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</row>
    <row r="54" spans="1:48" x14ac:dyDescent="0.2">
      <c r="A54" s="26"/>
      <c r="B54" s="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4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4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</row>
    <row r="55" spans="1:48" x14ac:dyDescent="0.2">
      <c r="A55" s="26"/>
      <c r="B55" s="26"/>
      <c r="C55" s="26"/>
      <c r="D55" s="26"/>
      <c r="E55" s="26"/>
      <c r="F55" s="27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4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4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</row>
    <row r="56" spans="1:48" x14ac:dyDescent="0.2">
      <c r="A56" s="26"/>
      <c r="B56" s="4"/>
      <c r="C56" s="26"/>
      <c r="D56" s="26"/>
      <c r="E56" s="26"/>
      <c r="F56" s="27"/>
      <c r="G56" s="26"/>
      <c r="H56" s="27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4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4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29"/>
      <c r="N57" s="29"/>
      <c r="O57" s="7"/>
      <c r="P57" s="6"/>
      <c r="Q57" s="14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29"/>
      <c r="N58" s="29"/>
      <c r="O58" s="7"/>
      <c r="P58" s="6"/>
      <c r="Q58" s="14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29"/>
      <c r="N59" s="29"/>
      <c r="O59" s="7"/>
      <c r="P59" s="6"/>
      <c r="Q59" s="14"/>
      <c r="R59" s="7"/>
      <c r="S59" s="7"/>
      <c r="T59" s="6"/>
      <c r="U59" s="30"/>
    </row>
    <row r="60" spans="1:48" ht="16" x14ac:dyDescent="0.2">
      <c r="A60" s="22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29"/>
      <c r="N60" s="29"/>
      <c r="O60" s="7"/>
      <c r="P60" s="6"/>
      <c r="Q60" s="14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29"/>
      <c r="O61" s="7"/>
      <c r="P61" s="6"/>
      <c r="Q61" s="14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 enableFormatConditionsCalculation="0"/>
  <dimension ref="A1:AV70"/>
  <sheetViews>
    <sheetView zoomScale="90" zoomScaleNormal="90" zoomScalePageLayoutView="90" workbookViewId="0">
      <selection activeCell="A3" sqref="A3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64</v>
      </c>
      <c r="Q2" s="49"/>
      <c r="R2" s="8"/>
      <c r="AH2" s="49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73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9"/>
      <c r="R3" s="49"/>
      <c r="AH3" s="49"/>
      <c r="AI3" s="49"/>
    </row>
    <row r="4" spans="1:35" ht="16" x14ac:dyDescent="0.2">
      <c r="A4" s="49" t="s">
        <v>79</v>
      </c>
      <c r="B4" s="64">
        <f>366*0.95</f>
        <v>347.7</v>
      </c>
      <c r="Q4" s="49"/>
      <c r="R4" s="49"/>
      <c r="AH4" s="49"/>
      <c r="AI4" s="49"/>
    </row>
    <row r="5" spans="1:35" ht="16" x14ac:dyDescent="0.2">
      <c r="A5" s="49"/>
      <c r="Q5" s="49"/>
      <c r="R5" s="49"/>
      <c r="AH5" s="49"/>
      <c r="AI5" s="49"/>
    </row>
    <row r="6" spans="1:35" ht="16" x14ac:dyDescent="0.2">
      <c r="A6" s="8" t="s">
        <v>12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/>
      <c r="J6" s="48"/>
      <c r="K6" s="48"/>
      <c r="L6" s="48"/>
      <c r="M6" s="48"/>
      <c r="N6" s="48"/>
      <c r="O6" s="48">
        <v>0</v>
      </c>
      <c r="Q6" s="49"/>
      <c r="R6" s="49"/>
      <c r="AH6" s="49"/>
      <c r="AI6" s="49"/>
    </row>
    <row r="7" spans="1:35" ht="16" x14ac:dyDescent="0.2">
      <c r="A7" s="8" t="s">
        <v>13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/>
      <c r="J7" s="48"/>
      <c r="K7" s="48"/>
      <c r="L7" s="48"/>
      <c r="M7" s="48"/>
      <c r="N7" s="48"/>
      <c r="O7" s="48">
        <v>0</v>
      </c>
      <c r="P7" s="48"/>
      <c r="Q7" s="49"/>
      <c r="R7" s="49"/>
      <c r="AH7" s="49"/>
      <c r="AI7" s="49"/>
    </row>
    <row r="8" spans="1:35" ht="16" x14ac:dyDescent="0.2">
      <c r="A8" s="8" t="s">
        <v>14</v>
      </c>
      <c r="B8" s="48">
        <v>326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/>
      <c r="J8" s="48"/>
      <c r="K8" s="48"/>
      <c r="L8" s="48"/>
      <c r="M8" s="48"/>
      <c r="N8" s="48"/>
      <c r="O8" s="48">
        <v>0</v>
      </c>
      <c r="P8" s="48"/>
      <c r="Q8" s="49"/>
      <c r="R8" s="49"/>
      <c r="AH8" s="49"/>
      <c r="AI8" s="49"/>
    </row>
    <row r="9" spans="1:35" ht="16" x14ac:dyDescent="0.2">
      <c r="A9" s="8" t="s">
        <v>15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/>
      <c r="J9" s="48"/>
      <c r="K9" s="48"/>
      <c r="L9" s="48"/>
      <c r="M9" s="48"/>
      <c r="N9" s="48"/>
      <c r="O9" s="48">
        <v>0</v>
      </c>
      <c r="P9" s="48"/>
      <c r="Q9" s="49"/>
      <c r="R9" s="49"/>
      <c r="S9" s="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</row>
    <row r="10" spans="1:35" ht="16" x14ac:dyDescent="0.2">
      <c r="A10" s="8" t="s">
        <v>16</v>
      </c>
      <c r="B10" s="56">
        <f>SUM(B4:B9)</f>
        <v>673.7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/>
      <c r="J10" s="48"/>
      <c r="K10" s="48"/>
      <c r="L10" s="48"/>
      <c r="M10" s="48"/>
      <c r="N10" s="48"/>
      <c r="O10" s="48">
        <v>0</v>
      </c>
      <c r="P10" s="48"/>
      <c r="Q10" s="49"/>
      <c r="R10" s="49"/>
      <c r="S10" s="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9"/>
      <c r="AI10" s="49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73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/>
      <c r="J17" s="48"/>
      <c r="K17" s="48"/>
      <c r="L17" s="48"/>
      <c r="M17" s="48"/>
      <c r="N17" s="48"/>
      <c r="O17" s="48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8">
        <v>13154</v>
      </c>
      <c r="C18" s="48">
        <v>50</v>
      </c>
      <c r="D18" s="48">
        <v>0</v>
      </c>
      <c r="E18" s="48">
        <v>0</v>
      </c>
      <c r="F18" s="48">
        <v>0</v>
      </c>
      <c r="G18" s="48">
        <v>16943</v>
      </c>
      <c r="H18" s="48">
        <v>0</v>
      </c>
      <c r="I18" s="48"/>
      <c r="J18" s="48"/>
      <c r="K18" s="48"/>
      <c r="L18" s="48"/>
      <c r="M18" s="48"/>
      <c r="N18" s="48"/>
      <c r="O18" s="48">
        <v>16993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/>
      <c r="J19" s="48"/>
      <c r="K19" s="48"/>
      <c r="L19" s="48"/>
      <c r="M19" s="48"/>
      <c r="N19" s="48"/>
      <c r="O19" s="48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/>
      <c r="J20" s="48"/>
      <c r="K20" s="48"/>
      <c r="L20" s="48"/>
      <c r="M20" s="48"/>
      <c r="N20" s="48"/>
      <c r="O20" s="48">
        <v>0</v>
      </c>
      <c r="P20" s="3"/>
      <c r="Q20" s="3"/>
      <c r="R20" s="3"/>
      <c r="S20" s="3" t="s">
        <v>26</v>
      </c>
      <c r="T20" s="12">
        <f>O42/1000</f>
        <v>252.87047999999999</v>
      </c>
      <c r="U20" s="3"/>
    </row>
    <row r="21" spans="1:21" ht="16" x14ac:dyDescent="0.2">
      <c r="A21" s="8" t="s">
        <v>24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/>
      <c r="J21" s="48"/>
      <c r="K21" s="48"/>
      <c r="L21" s="48"/>
      <c r="M21" s="48"/>
      <c r="N21" s="48"/>
      <c r="O21" s="48">
        <v>0</v>
      </c>
      <c r="P21" s="3"/>
      <c r="Q21" s="3"/>
      <c r="R21" s="3"/>
      <c r="S21" s="3"/>
      <c r="T21" s="3"/>
      <c r="U21" s="3"/>
    </row>
    <row r="22" spans="1:21" ht="16" x14ac:dyDescent="0.2">
      <c r="A22" s="8" t="s">
        <v>25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/>
      <c r="J22" s="48"/>
      <c r="K22" s="48"/>
      <c r="L22" s="48"/>
      <c r="M22" s="48"/>
      <c r="N22" s="48"/>
      <c r="O22" s="48">
        <v>0</v>
      </c>
      <c r="P22" s="3"/>
      <c r="Q22" s="3"/>
      <c r="R22" s="3"/>
      <c r="S22" s="3"/>
      <c r="T22" s="3" t="s">
        <v>27</v>
      </c>
      <c r="U22" s="3" t="s">
        <v>28</v>
      </c>
    </row>
    <row r="23" spans="1:21" ht="16" x14ac:dyDescent="0.2">
      <c r="A23" s="8" t="s">
        <v>16</v>
      </c>
      <c r="B23" s="48">
        <v>13154</v>
      </c>
      <c r="C23" s="48">
        <v>50</v>
      </c>
      <c r="D23" s="48">
        <v>0</v>
      </c>
      <c r="E23" s="48">
        <v>0</v>
      </c>
      <c r="F23" s="48">
        <v>0</v>
      </c>
      <c r="G23" s="48">
        <v>16943</v>
      </c>
      <c r="H23" s="48">
        <v>0</v>
      </c>
      <c r="I23" s="48"/>
      <c r="J23" s="48"/>
      <c r="K23" s="48"/>
      <c r="L23" s="48"/>
      <c r="M23" s="48"/>
      <c r="N23" s="48"/>
      <c r="O23" s="48">
        <v>16993</v>
      </c>
      <c r="P23" s="3"/>
      <c r="Q23" s="3"/>
      <c r="R23" s="3"/>
      <c r="S23" s="3" t="s">
        <v>10</v>
      </c>
      <c r="T23" s="13">
        <f>N42/1000</f>
        <v>120.80448</v>
      </c>
      <c r="U23" s="14">
        <f>N43</f>
        <v>0.4777326321364202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73</v>
      </c>
      <c r="T24" s="13">
        <f>G42/1000</f>
        <v>50.349301021897809</v>
      </c>
      <c r="U24" s="15">
        <f>G43</f>
        <v>0.19911102720213847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</v>
      </c>
      <c r="T25" s="13">
        <f>J42/1000</f>
        <v>0</v>
      </c>
      <c r="U25" s="14">
        <f>J43</f>
        <v>0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31</v>
      </c>
      <c r="T26" s="13">
        <f>F42/1000</f>
        <v>5.0960000000000001</v>
      </c>
      <c r="U26" s="14">
        <f>F43</f>
        <v>2.0152609351633297E-2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4</v>
      </c>
      <c r="T27" s="12">
        <f>E42/1000</f>
        <v>5.9196989781021889</v>
      </c>
      <c r="U27" s="14">
        <f>E43</f>
        <v>2.3410004117927052E-2</v>
      </c>
    </row>
    <row r="28" spans="1:21" ht="16" x14ac:dyDescent="0.2">
      <c r="A28" s="4" t="s">
        <v>64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2" t="s">
        <v>3</v>
      </c>
      <c r="T28" s="2">
        <f>D42/1000</f>
        <v>0</v>
      </c>
      <c r="U28" s="47">
        <f>D43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73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8</v>
      </c>
      <c r="T29" s="2">
        <f>K42/1000</f>
        <v>0</v>
      </c>
      <c r="U29" s="47">
        <f>K43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3" t="s">
        <v>5</v>
      </c>
      <c r="T30" s="13">
        <f>I42/1000</f>
        <v>0</v>
      </c>
      <c r="U30" s="14">
        <f>I43</f>
        <v>0</v>
      </c>
    </row>
    <row r="31" spans="1:21" ht="16" x14ac:dyDescent="0.2">
      <c r="A31" s="8" t="s">
        <v>33</v>
      </c>
      <c r="B31" s="48">
        <v>0</v>
      </c>
      <c r="C31" s="48">
        <v>6912</v>
      </c>
      <c r="D31" s="48">
        <v>0</v>
      </c>
      <c r="E31" s="48">
        <v>0</v>
      </c>
      <c r="F31" s="48">
        <v>662</v>
      </c>
      <c r="G31" s="48">
        <v>0</v>
      </c>
      <c r="H31" s="48">
        <v>0</v>
      </c>
      <c r="I31" s="48"/>
      <c r="J31" s="48"/>
      <c r="K31" s="48"/>
      <c r="L31" s="48"/>
      <c r="M31" s="49"/>
      <c r="N31" s="48">
        <v>8118</v>
      </c>
      <c r="O31" s="48">
        <v>15692</v>
      </c>
      <c r="P31" s="16">
        <f>O31/O$39</f>
        <v>6.5622856760509191E-2</v>
      </c>
      <c r="Q31" s="17" t="s">
        <v>34</v>
      </c>
      <c r="R31" s="3"/>
      <c r="S31" s="10" t="str">
        <f>M29</f>
        <v>Övrigt</v>
      </c>
      <c r="T31" s="13">
        <f>M42/1000</f>
        <v>0</v>
      </c>
      <c r="U31" s="14">
        <f>M43</f>
        <v>0</v>
      </c>
    </row>
    <row r="32" spans="1:21" ht="16" x14ac:dyDescent="0.2">
      <c r="A32" s="8" t="s">
        <v>36</v>
      </c>
      <c r="B32" s="48">
        <v>1001</v>
      </c>
      <c r="C32" s="52">
        <f>C39-C36-C35-C34-C31</f>
        <v>3938</v>
      </c>
      <c r="D32" s="48">
        <v>0</v>
      </c>
      <c r="E32" s="52">
        <f>(O32-N32-C32-B32)*6513/(337+6513)</f>
        <v>5919.6989781021894</v>
      </c>
      <c r="F32" s="48">
        <v>0</v>
      </c>
      <c r="G32" s="52">
        <f>(O32-N32-C32-B32)*337/(337+6513)</f>
        <v>306.30102189781024</v>
      </c>
      <c r="H32" s="48">
        <v>0</v>
      </c>
      <c r="I32" s="48"/>
      <c r="J32" s="48"/>
      <c r="K32" s="48"/>
      <c r="L32" s="48"/>
      <c r="M32" s="49"/>
      <c r="N32" s="48">
        <v>38738</v>
      </c>
      <c r="O32" s="48">
        <v>49903</v>
      </c>
      <c r="P32" s="16">
        <f>O32/O$39</f>
        <v>0.20869088840936084</v>
      </c>
      <c r="Q32" s="17" t="s">
        <v>37</v>
      </c>
      <c r="R32" s="3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8">
        <v>2493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/>
      <c r="J33" s="48"/>
      <c r="K33" s="48"/>
      <c r="L33" s="48"/>
      <c r="M33" s="49"/>
      <c r="N33" s="48">
        <v>7131</v>
      </c>
      <c r="O33" s="48">
        <v>9624</v>
      </c>
      <c r="P33" s="16">
        <f>O33/O$39</f>
        <v>4.0246901189341093E-2</v>
      </c>
      <c r="Q33" s="17" t="s">
        <v>39</v>
      </c>
      <c r="R33" s="3"/>
      <c r="S33" s="3" t="s">
        <v>35</v>
      </c>
      <c r="T33" s="13">
        <f>C42/1000</f>
        <v>70.700999999999993</v>
      </c>
      <c r="U33" s="15">
        <f>C43</f>
        <v>0.27959372719188103</v>
      </c>
    </row>
    <row r="34" spans="1:48" ht="16" x14ac:dyDescent="0.2">
      <c r="A34" s="8" t="s">
        <v>40</v>
      </c>
      <c r="B34" s="48">
        <v>0</v>
      </c>
      <c r="C34" s="48">
        <v>57669</v>
      </c>
      <c r="D34" s="48">
        <v>0</v>
      </c>
      <c r="E34" s="48">
        <v>0</v>
      </c>
      <c r="F34" s="48">
        <v>4433</v>
      </c>
      <c r="G34" s="48">
        <v>0</v>
      </c>
      <c r="H34" s="48">
        <v>0</v>
      </c>
      <c r="I34" s="48"/>
      <c r="J34" s="48"/>
      <c r="K34" s="48"/>
      <c r="L34" s="48"/>
      <c r="M34" s="49"/>
      <c r="N34" s="48">
        <v>0</v>
      </c>
      <c r="O34" s="48">
        <v>62103</v>
      </c>
      <c r="P34" s="16">
        <f>O34/O$39</f>
        <v>0.25971044311737845</v>
      </c>
      <c r="Q34" s="17" t="s">
        <v>41</v>
      </c>
      <c r="R34" s="3"/>
      <c r="S34" s="3"/>
      <c r="T34" s="13">
        <f>SUM(T23:T33)</f>
        <v>252.87047999999999</v>
      </c>
      <c r="U34" s="14">
        <f>SUM(U23:U33)</f>
        <v>1</v>
      </c>
    </row>
    <row r="35" spans="1:48" ht="16" x14ac:dyDescent="0.2">
      <c r="A35" s="8" t="s">
        <v>42</v>
      </c>
      <c r="B35" s="48">
        <v>2611</v>
      </c>
      <c r="C35" s="48">
        <v>1313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/>
      <c r="J35" s="48"/>
      <c r="K35" s="48"/>
      <c r="L35" s="48"/>
      <c r="M35" s="49"/>
      <c r="N35" s="48">
        <v>11701</v>
      </c>
      <c r="O35" s="48">
        <v>15625</v>
      </c>
      <c r="P35" s="16">
        <f>O35/O$39</f>
        <v>6.5342667402686475E-2</v>
      </c>
      <c r="Q35" s="17" t="s">
        <v>43</v>
      </c>
      <c r="R35" s="17"/>
    </row>
    <row r="36" spans="1:48" ht="16" x14ac:dyDescent="0.2">
      <c r="A36" s="8" t="s">
        <v>44</v>
      </c>
      <c r="B36" s="48">
        <v>17</v>
      </c>
      <c r="C36" s="52">
        <f>O36-N36-G36-B36</f>
        <v>819</v>
      </c>
      <c r="D36" s="48">
        <v>0</v>
      </c>
      <c r="E36" s="48">
        <v>0</v>
      </c>
      <c r="F36" s="48">
        <v>0</v>
      </c>
      <c r="G36" s="52">
        <v>33100</v>
      </c>
      <c r="H36" s="48">
        <v>0</v>
      </c>
      <c r="I36" s="48"/>
      <c r="J36" s="48"/>
      <c r="K36" s="48"/>
      <c r="L36" s="48"/>
      <c r="M36" s="49"/>
      <c r="N36" s="48">
        <v>31155</v>
      </c>
      <c r="O36" s="48">
        <v>65091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48">
        <v>6073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/>
      <c r="J37" s="48"/>
      <c r="K37" s="48"/>
      <c r="L37" s="48"/>
      <c r="M37" s="49"/>
      <c r="N37" s="48">
        <v>2789</v>
      </c>
      <c r="O37" s="48">
        <v>8862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/>
      <c r="J38" s="48"/>
      <c r="K38" s="48"/>
      <c r="L38" s="48"/>
      <c r="M38" s="49"/>
      <c r="N38" s="48">
        <v>12224</v>
      </c>
      <c r="O38" s="48">
        <v>12224</v>
      </c>
      <c r="P38" s="17">
        <f>SUM(P31:P35)</f>
        <v>0.63961375687927613</v>
      </c>
      <c r="Q38" s="17"/>
      <c r="R38" s="3"/>
      <c r="S38" s="7" t="s">
        <v>47</v>
      </c>
      <c r="T38" s="18">
        <f>O45/1000</f>
        <v>9.9074799999999996</v>
      </c>
      <c r="U38" s="7"/>
    </row>
    <row r="39" spans="1:48" ht="16" x14ac:dyDescent="0.2">
      <c r="A39" s="8" t="s">
        <v>16</v>
      </c>
      <c r="B39" s="48">
        <v>12195</v>
      </c>
      <c r="C39" s="48">
        <v>70651</v>
      </c>
      <c r="D39" s="48">
        <v>0</v>
      </c>
      <c r="E39" s="52">
        <f>SUM(E31:E38)</f>
        <v>5919.6989781021894</v>
      </c>
      <c r="F39" s="48">
        <v>5096</v>
      </c>
      <c r="G39" s="52">
        <f>SUM(G31:G38)</f>
        <v>33406.301021897809</v>
      </c>
      <c r="H39" s="48">
        <v>0</v>
      </c>
      <c r="I39" s="48"/>
      <c r="J39" s="48"/>
      <c r="K39" s="48"/>
      <c r="L39" s="48"/>
      <c r="M39" s="49"/>
      <c r="N39" s="48">
        <v>111856</v>
      </c>
      <c r="O39" s="48">
        <v>239124</v>
      </c>
      <c r="P39" s="3"/>
      <c r="Q39" s="3"/>
      <c r="R39" s="3"/>
      <c r="S39" s="7" t="s">
        <v>48</v>
      </c>
      <c r="T39" s="19">
        <f>O41/1000</f>
        <v>86.177000000000007</v>
      </c>
      <c r="U39" s="14">
        <f>P41</f>
        <v>0.36038624312072398</v>
      </c>
    </row>
    <row r="40" spans="1:48" x14ac:dyDescent="0.2">
      <c r="S40" s="7" t="s">
        <v>49</v>
      </c>
      <c r="T40" s="19">
        <f>O35/1000</f>
        <v>15.625</v>
      </c>
      <c r="U40" s="15">
        <f>P35</f>
        <v>6.5342667402686475E-2</v>
      </c>
    </row>
    <row r="41" spans="1:48" ht="16" x14ac:dyDescent="0.2">
      <c r="A41" s="20" t="s">
        <v>50</v>
      </c>
      <c r="B41" s="21">
        <f>B38+B37+B36</f>
        <v>6090</v>
      </c>
      <c r="C41" s="21">
        <f t="shared" ref="C41:O41" si="0">C38+C37+C36</f>
        <v>819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33100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0</v>
      </c>
      <c r="N41" s="21">
        <f t="shared" si="0"/>
        <v>46168</v>
      </c>
      <c r="O41" s="21">
        <f t="shared" si="0"/>
        <v>86177</v>
      </c>
      <c r="P41" s="16">
        <f>O41/O$39</f>
        <v>0.36038624312072398</v>
      </c>
      <c r="Q41" s="16" t="s">
        <v>51</v>
      </c>
      <c r="R41" s="7"/>
      <c r="S41" s="7" t="s">
        <v>52</v>
      </c>
      <c r="T41" s="19">
        <f>O33/1000</f>
        <v>9.6240000000000006</v>
      </c>
      <c r="U41" s="14">
        <f>P33</f>
        <v>4.0246901189341093E-2</v>
      </c>
    </row>
    <row r="42" spans="1:48" ht="16" x14ac:dyDescent="0.2">
      <c r="A42" s="22" t="s">
        <v>53</v>
      </c>
      <c r="B42" s="21"/>
      <c r="C42" s="23">
        <f>C39+C23+C10</f>
        <v>70701</v>
      </c>
      <c r="D42" s="23">
        <f t="shared" ref="D42:M42" si="1">D39+D23+D10</f>
        <v>0</v>
      </c>
      <c r="E42" s="23">
        <f t="shared" si="1"/>
        <v>5919.6989781021894</v>
      </c>
      <c r="F42" s="23">
        <f t="shared" si="1"/>
        <v>5096</v>
      </c>
      <c r="G42" s="23">
        <f t="shared" si="1"/>
        <v>50349.301021897809</v>
      </c>
      <c r="H42" s="23">
        <f t="shared" si="1"/>
        <v>0</v>
      </c>
      <c r="I42" s="23">
        <f t="shared" si="1"/>
        <v>0</v>
      </c>
      <c r="J42" s="23">
        <f t="shared" si="1"/>
        <v>0</v>
      </c>
      <c r="K42" s="23">
        <f t="shared" si="1"/>
        <v>0</v>
      </c>
      <c r="L42" s="23">
        <f t="shared" ref="L42" si="2">L39+L23+L10</f>
        <v>0</v>
      </c>
      <c r="M42" s="23">
        <f t="shared" si="1"/>
        <v>0</v>
      </c>
      <c r="N42" s="23">
        <f>N39+N23-B6+N45</f>
        <v>120804.48</v>
      </c>
      <c r="O42" s="24">
        <f>SUM(C42:N42)</f>
        <v>252870.47999999998</v>
      </c>
      <c r="P42" s="7"/>
      <c r="Q42" s="7"/>
      <c r="R42" s="7"/>
      <c r="S42" s="7" t="s">
        <v>34</v>
      </c>
      <c r="T42" s="19">
        <f>O31/1000</f>
        <v>15.692</v>
      </c>
      <c r="U42" s="14">
        <f>P31</f>
        <v>6.5622856760509191E-2</v>
      </c>
    </row>
    <row r="43" spans="1:48" ht="16" x14ac:dyDescent="0.2">
      <c r="A43" s="22" t="s">
        <v>54</v>
      </c>
      <c r="B43" s="21"/>
      <c r="C43" s="16">
        <f t="shared" ref="C43:N43" si="3">C42/$O42</f>
        <v>0.27959372719188103</v>
      </c>
      <c r="D43" s="16">
        <f t="shared" si="3"/>
        <v>0</v>
      </c>
      <c r="E43" s="16">
        <f t="shared" si="3"/>
        <v>2.3410004117927052E-2</v>
      </c>
      <c r="F43" s="16">
        <f t="shared" si="3"/>
        <v>2.0152609351633297E-2</v>
      </c>
      <c r="G43" s="16">
        <f t="shared" si="3"/>
        <v>0.19911102720213847</v>
      </c>
      <c r="H43" s="16">
        <f t="shared" si="3"/>
        <v>0</v>
      </c>
      <c r="I43" s="16">
        <f t="shared" si="3"/>
        <v>0</v>
      </c>
      <c r="J43" s="16">
        <f t="shared" si="3"/>
        <v>0</v>
      </c>
      <c r="K43" s="16">
        <f t="shared" si="3"/>
        <v>0</v>
      </c>
      <c r="L43" s="16">
        <f t="shared" si="3"/>
        <v>0</v>
      </c>
      <c r="M43" s="16">
        <f t="shared" si="3"/>
        <v>0</v>
      </c>
      <c r="N43" s="16">
        <f t="shared" si="3"/>
        <v>0.4777326321364202</v>
      </c>
      <c r="O43" s="16">
        <f>SUM(C43:N43)</f>
        <v>1</v>
      </c>
      <c r="P43" s="7"/>
      <c r="Q43" s="7"/>
      <c r="R43" s="7"/>
      <c r="S43" s="7" t="s">
        <v>55</v>
      </c>
      <c r="T43" s="19">
        <f>O32/1000</f>
        <v>49.902999999999999</v>
      </c>
      <c r="U43" s="15">
        <f>P32</f>
        <v>0.20869088840936084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62.103000000000002</v>
      </c>
      <c r="U44" s="15">
        <f>P34</f>
        <v>0.25971044311737845</v>
      </c>
    </row>
    <row r="45" spans="1:48" ht="16" x14ac:dyDescent="0.2">
      <c r="A45" s="6" t="s">
        <v>57</v>
      </c>
      <c r="B45" s="6">
        <f>B23-B39</f>
        <v>959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5">
        <f>N39*0.08</f>
        <v>8948.48</v>
      </c>
      <c r="O45" s="24">
        <f>B45+N45</f>
        <v>9907.48</v>
      </c>
      <c r="P45" s="7"/>
      <c r="Q45" s="7"/>
      <c r="R45" s="7"/>
      <c r="S45" s="7" t="s">
        <v>58</v>
      </c>
      <c r="T45" s="19">
        <f>SUM(T39:T44)</f>
        <v>239.124</v>
      </c>
      <c r="U45" s="14">
        <f>SUM(U39:U44)</f>
        <v>1</v>
      </c>
    </row>
    <row r="46" spans="1:48" ht="16" x14ac:dyDescent="0.2">
      <c r="A46" s="6"/>
      <c r="B46" s="41">
        <f>B45/B23</f>
        <v>7.2905580051695298E-2</v>
      </c>
      <c r="C46" s="6"/>
      <c r="D46" s="6"/>
      <c r="E46" s="6"/>
      <c r="F46" s="6"/>
      <c r="H46" s="6"/>
      <c r="I46" s="6"/>
      <c r="J46" s="6"/>
      <c r="K46" s="6"/>
      <c r="L46" s="6"/>
      <c r="M46"/>
      <c r="N46"/>
      <c r="O46" s="6"/>
      <c r="P46" s="7"/>
      <c r="Q46" s="7"/>
      <c r="R46" s="7"/>
    </row>
    <row r="47" spans="1:48" x14ac:dyDescent="0.2">
      <c r="A47" s="4"/>
      <c r="B47" s="4"/>
      <c r="C47" s="9"/>
      <c r="D47" s="26"/>
      <c r="E47" s="26"/>
      <c r="F47" s="26"/>
      <c r="G47" s="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4"/>
      <c r="S47" s="4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4"/>
      <c r="AI47" s="4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2">
      <c r="A48" s="26"/>
      <c r="B48" s="4"/>
      <c r="C48" s="26"/>
      <c r="D48" s="27"/>
      <c r="E48" s="26"/>
      <c r="F48" s="27"/>
      <c r="G48" s="26"/>
      <c r="H48" s="27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4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4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2">
      <c r="A49" s="26"/>
      <c r="B49" s="4"/>
      <c r="C49" s="9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4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4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16" x14ac:dyDescent="0.2">
      <c r="A50" s="51"/>
      <c r="B50" s="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4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4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x14ac:dyDescent="0.2">
      <c r="A51" s="26"/>
      <c r="B51" s="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4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4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x14ac:dyDescent="0.2">
      <c r="A52" s="26"/>
      <c r="B52" s="4"/>
      <c r="C52" s="26"/>
      <c r="D52" s="27"/>
      <c r="E52" s="26"/>
      <c r="F52" s="26"/>
      <c r="G52" s="26"/>
      <c r="H52" s="27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4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4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</row>
    <row r="53" spans="1:48" x14ac:dyDescent="0.2">
      <c r="A53" s="26"/>
      <c r="B53" s="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4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4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</row>
    <row r="54" spans="1:48" x14ac:dyDescent="0.2">
      <c r="A54" s="26"/>
      <c r="B54" s="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4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4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</row>
    <row r="55" spans="1:48" x14ac:dyDescent="0.2">
      <c r="A55" s="26"/>
      <c r="B55" s="4"/>
      <c r="C55" s="26"/>
      <c r="D55" s="26"/>
      <c r="E55" s="26"/>
      <c r="F55" s="27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4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4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</row>
    <row r="56" spans="1:48" x14ac:dyDescent="0.2">
      <c r="A56" s="26"/>
      <c r="B56" s="4"/>
      <c r="C56" s="26"/>
      <c r="D56" s="26"/>
      <c r="E56" s="26"/>
      <c r="F56" s="27"/>
      <c r="G56" s="26"/>
      <c r="H56" s="27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4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4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29"/>
      <c r="N57" s="29"/>
      <c r="O57" s="7"/>
      <c r="P57" s="6"/>
      <c r="Q57" s="14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29"/>
      <c r="N58" s="29"/>
      <c r="O58" s="7"/>
      <c r="P58" s="6"/>
      <c r="Q58" s="14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29"/>
      <c r="N59" s="29"/>
      <c r="O59" s="7"/>
      <c r="P59" s="6"/>
      <c r="Q59" s="14"/>
      <c r="R59" s="7"/>
      <c r="S59" s="7"/>
      <c r="T59" s="6"/>
      <c r="U59" s="30"/>
    </row>
    <row r="60" spans="1:48" ht="16" x14ac:dyDescent="0.2">
      <c r="A60" s="22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29"/>
      <c r="N60" s="29"/>
      <c r="O60" s="7"/>
      <c r="P60" s="6"/>
      <c r="Q60" s="14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29"/>
      <c r="O61" s="7"/>
      <c r="P61" s="6"/>
      <c r="Q61" s="14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 enableFormatConditionsCalculation="0"/>
  <dimension ref="A1:AV70"/>
  <sheetViews>
    <sheetView zoomScale="90" zoomScaleNormal="90" zoomScalePageLayoutView="90" workbookViewId="0">
      <selection activeCell="A3" sqref="A3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10" width="8.83203125" style="2"/>
    <col min="11" max="11" width="10.1640625" style="2" customWidth="1"/>
    <col min="12" max="14" width="8.83203125" style="2"/>
    <col min="15" max="15" width="10.83203125" style="2" customWidth="1"/>
    <col min="16" max="16" width="9.1640625" style="2" bestFit="1" customWidth="1"/>
    <col min="17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65</v>
      </c>
      <c r="Q2" s="49"/>
      <c r="R2" s="8"/>
      <c r="AH2" s="49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73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9"/>
      <c r="R3" s="49"/>
      <c r="AH3" s="49"/>
      <c r="AI3" s="49"/>
    </row>
    <row r="4" spans="1:35" ht="16" x14ac:dyDescent="0.2">
      <c r="A4" s="49" t="s">
        <v>79</v>
      </c>
      <c r="B4" s="56">
        <f>5364*0.95</f>
        <v>5095.8</v>
      </c>
      <c r="Q4" s="49"/>
      <c r="R4" s="49"/>
      <c r="AH4" s="49"/>
      <c r="AI4" s="49"/>
    </row>
    <row r="5" spans="1:35" ht="16" x14ac:dyDescent="0.2">
      <c r="A5" s="49"/>
      <c r="Q5" s="49"/>
      <c r="R5" s="49"/>
      <c r="AH5" s="49"/>
      <c r="AI5" s="49"/>
    </row>
    <row r="6" spans="1:35" ht="16" x14ac:dyDescent="0.2">
      <c r="A6" s="8" t="s">
        <v>12</v>
      </c>
      <c r="B6" s="48">
        <v>227169</v>
      </c>
      <c r="C6" s="56">
        <v>0</v>
      </c>
      <c r="D6" s="56">
        <v>0</v>
      </c>
      <c r="E6" s="48">
        <v>0</v>
      </c>
      <c r="F6" s="48">
        <v>0</v>
      </c>
      <c r="G6" s="56">
        <v>0</v>
      </c>
      <c r="H6" s="48">
        <v>0</v>
      </c>
      <c r="I6" s="48"/>
      <c r="J6" s="48"/>
      <c r="K6" s="48"/>
      <c r="L6" s="48"/>
      <c r="M6" s="48"/>
      <c r="N6" s="48"/>
      <c r="O6" s="56">
        <v>0</v>
      </c>
      <c r="Q6" s="49"/>
      <c r="R6" s="49"/>
      <c r="AH6" s="49"/>
      <c r="AI6" s="49"/>
    </row>
    <row r="7" spans="1:35" ht="16" x14ac:dyDescent="0.2">
      <c r="A7" s="8" t="s">
        <v>13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/>
      <c r="J7" s="48"/>
      <c r="K7" s="48"/>
      <c r="L7" s="48"/>
      <c r="M7" s="48"/>
      <c r="N7" s="48"/>
      <c r="O7" s="48">
        <v>0</v>
      </c>
      <c r="P7" s="48"/>
      <c r="Q7" s="49"/>
      <c r="R7" s="49"/>
      <c r="AH7" s="49"/>
      <c r="AI7" s="49"/>
    </row>
    <row r="8" spans="1:35" ht="16" x14ac:dyDescent="0.2">
      <c r="A8" s="8" t="s">
        <v>14</v>
      </c>
      <c r="B8" s="52">
        <f>B10-B9-B6-B4</f>
        <v>172793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/>
      <c r="J8" s="48"/>
      <c r="K8" s="48"/>
      <c r="L8" s="48"/>
      <c r="M8" s="48"/>
      <c r="N8" s="48"/>
      <c r="O8" s="48">
        <v>0</v>
      </c>
      <c r="P8" s="48"/>
      <c r="Q8" s="49"/>
      <c r="R8" s="49"/>
      <c r="AH8" s="49"/>
      <c r="AI8" s="49"/>
    </row>
    <row r="9" spans="1:35" ht="16" x14ac:dyDescent="0.2">
      <c r="A9" s="8" t="s">
        <v>15</v>
      </c>
      <c r="B9" s="52">
        <v>21134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/>
      <c r="J9" s="48"/>
      <c r="K9" s="48"/>
      <c r="L9" s="48"/>
      <c r="M9" s="48"/>
      <c r="N9" s="48"/>
      <c r="O9" s="48">
        <v>0</v>
      </c>
      <c r="P9" s="48"/>
      <c r="Q9" s="49"/>
      <c r="R9" s="49"/>
      <c r="S9" s="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</row>
    <row r="10" spans="1:35" ht="16" x14ac:dyDescent="0.2">
      <c r="A10" s="8" t="s">
        <v>16</v>
      </c>
      <c r="B10" s="56">
        <f>421096+B4</f>
        <v>426191.8</v>
      </c>
      <c r="C10" s="56">
        <v>0</v>
      </c>
      <c r="D10" s="56">
        <v>0</v>
      </c>
      <c r="E10" s="48">
        <v>0</v>
      </c>
      <c r="F10" s="48">
        <v>0</v>
      </c>
      <c r="G10" s="56">
        <v>0</v>
      </c>
      <c r="H10" s="48">
        <v>0</v>
      </c>
      <c r="I10" s="48"/>
      <c r="J10" s="48"/>
      <c r="K10" s="48"/>
      <c r="L10" s="48"/>
      <c r="M10" s="48"/>
      <c r="N10" s="48"/>
      <c r="O10" s="56">
        <v>0</v>
      </c>
      <c r="P10" s="48"/>
      <c r="Q10" s="49"/>
      <c r="R10" s="49"/>
      <c r="S10" s="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9"/>
      <c r="AI10" s="49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73</v>
      </c>
      <c r="H15" s="6" t="s">
        <v>6</v>
      </c>
      <c r="I15" s="6" t="s">
        <v>5</v>
      </c>
      <c r="J15" s="6" t="s">
        <v>7</v>
      </c>
      <c r="K15" s="6" t="s">
        <v>8</v>
      </c>
      <c r="L15" s="6"/>
      <c r="M15" s="6"/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5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56">
        <f>1266845+188379</f>
        <v>1455224</v>
      </c>
      <c r="C17" s="48">
        <v>34535</v>
      </c>
      <c r="D17" s="58">
        <f>639775-528000</f>
        <v>111775</v>
      </c>
      <c r="E17" s="48">
        <v>0</v>
      </c>
      <c r="F17" s="48">
        <v>0</v>
      </c>
      <c r="G17" s="58">
        <f>799533-528000</f>
        <v>271533</v>
      </c>
      <c r="H17" s="48">
        <v>0</v>
      </c>
      <c r="I17" s="48"/>
      <c r="J17" s="48"/>
      <c r="K17" s="53">
        <v>1056000</v>
      </c>
      <c r="L17" s="48"/>
      <c r="M17" s="48"/>
      <c r="O17" s="58">
        <v>1473843</v>
      </c>
      <c r="P17" s="45"/>
      <c r="Q17" s="3"/>
      <c r="R17" s="3"/>
      <c r="S17" s="3"/>
      <c r="T17" s="3"/>
      <c r="U17" s="3"/>
    </row>
    <row r="18" spans="1:21" ht="16" x14ac:dyDescent="0.2">
      <c r="A18" s="8" t="s">
        <v>21</v>
      </c>
      <c r="B18" s="56">
        <f>79005+3954</f>
        <v>82959</v>
      </c>
      <c r="C18" s="48">
        <v>14825</v>
      </c>
      <c r="D18" s="48">
        <v>0</v>
      </c>
      <c r="E18" s="48">
        <v>0</v>
      </c>
      <c r="F18" s="48">
        <v>2716</v>
      </c>
      <c r="G18" s="48">
        <v>76094</v>
      </c>
      <c r="H18" s="48">
        <v>0</v>
      </c>
      <c r="I18" s="48"/>
      <c r="J18" s="48"/>
      <c r="K18" s="48"/>
      <c r="L18" s="48"/>
      <c r="M18" s="48"/>
      <c r="N18" s="56">
        <f>3954*1.015</f>
        <v>4013.3099999999995</v>
      </c>
      <c r="O18" s="56">
        <f>SUM(C18:N18)</f>
        <v>97648.31</v>
      </c>
      <c r="P18" s="45"/>
      <c r="Q18" s="3"/>
      <c r="R18" s="3"/>
      <c r="S18" s="3"/>
      <c r="T18" s="3"/>
      <c r="U18" s="3"/>
    </row>
    <row r="19" spans="1:21" ht="16" x14ac:dyDescent="0.2">
      <c r="A19" s="8" t="s">
        <v>22</v>
      </c>
      <c r="B19" s="56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/>
      <c r="J19" s="48"/>
      <c r="K19" s="48"/>
      <c r="L19" s="48"/>
      <c r="M19" s="48"/>
      <c r="O19" s="56">
        <f>SUM(M19:N19)</f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/>
      <c r="J20" s="48"/>
      <c r="K20" s="48"/>
      <c r="L20" s="48"/>
      <c r="M20" s="48"/>
      <c r="N20" s="48"/>
      <c r="O20" s="48">
        <v>0</v>
      </c>
      <c r="P20" s="3"/>
      <c r="Q20" s="3"/>
      <c r="R20" s="3"/>
      <c r="S20" s="3" t="s">
        <v>26</v>
      </c>
      <c r="T20" s="12">
        <f>O42/1000</f>
        <v>3943.43795</v>
      </c>
      <c r="U20" s="3"/>
    </row>
    <row r="21" spans="1:21" ht="16" x14ac:dyDescent="0.2">
      <c r="A21" s="8" t="s">
        <v>24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/>
      <c r="J21" s="48"/>
      <c r="K21" s="48"/>
      <c r="L21" s="48"/>
      <c r="M21" s="48"/>
      <c r="N21" s="48"/>
      <c r="O21" s="48">
        <v>0</v>
      </c>
      <c r="P21" s="3"/>
      <c r="Q21" s="3"/>
      <c r="R21" s="3"/>
      <c r="S21" s="3"/>
      <c r="T21" s="3"/>
      <c r="U21" s="3"/>
    </row>
    <row r="22" spans="1:21" ht="16" x14ac:dyDescent="0.2">
      <c r="A22" s="8" t="s">
        <v>25</v>
      </c>
      <c r="B22" s="56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/>
      <c r="J22" s="48"/>
      <c r="K22" s="48"/>
      <c r="L22" s="48"/>
      <c r="M22" s="48"/>
      <c r="N22" s="48"/>
      <c r="O22" s="48">
        <v>0</v>
      </c>
      <c r="P22" s="3"/>
      <c r="Q22" s="3"/>
      <c r="R22" s="3"/>
      <c r="S22" s="3"/>
      <c r="T22" s="3" t="s">
        <v>27</v>
      </c>
      <c r="U22" s="3" t="s">
        <v>28</v>
      </c>
    </row>
    <row r="23" spans="1:21" ht="16" x14ac:dyDescent="0.2">
      <c r="A23" s="8" t="s">
        <v>16</v>
      </c>
      <c r="B23" s="48">
        <v>1538184</v>
      </c>
      <c r="C23" s="48">
        <v>49361</v>
      </c>
      <c r="D23" s="58">
        <f>SUM(D17:D22)</f>
        <v>111775</v>
      </c>
      <c r="E23" s="48">
        <v>0</v>
      </c>
      <c r="F23" s="48">
        <v>2716</v>
      </c>
      <c r="G23" s="58">
        <f>SUM(G17:G22)</f>
        <v>347627</v>
      </c>
      <c r="H23" s="48">
        <v>0</v>
      </c>
      <c r="I23" s="48"/>
      <c r="J23" s="48"/>
      <c r="K23" s="53">
        <f>SUM(K17:K22)</f>
        <v>1056000</v>
      </c>
      <c r="L23" s="48"/>
      <c r="M23" s="48"/>
      <c r="N23" s="56">
        <f>SUM(N18:N22)</f>
        <v>4013.3099999999995</v>
      </c>
      <c r="O23" s="58">
        <f>SUM(O17:O22)</f>
        <v>1571491.31</v>
      </c>
      <c r="P23" s="3"/>
      <c r="Q23" s="3"/>
      <c r="R23" s="3"/>
      <c r="S23" s="3" t="s">
        <v>10</v>
      </c>
      <c r="T23" s="13">
        <f>N42/1000</f>
        <v>1062.9979499999999</v>
      </c>
      <c r="U23" s="14">
        <f>N43</f>
        <v>0.26956122131958482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73</v>
      </c>
      <c r="T24" s="13">
        <f>G42/1000</f>
        <v>496.37400000000002</v>
      </c>
      <c r="U24" s="15">
        <f>G43</f>
        <v>0.1258734145924624</v>
      </c>
    </row>
    <row r="25" spans="1:21" ht="16" x14ac:dyDescent="0.2">
      <c r="A25" s="5" t="s">
        <v>77</v>
      </c>
      <c r="B25" s="10">
        <v>79900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7</v>
      </c>
      <c r="T25" s="13">
        <f>J42/1000</f>
        <v>0</v>
      </c>
      <c r="U25" s="14">
        <f>J43</f>
        <v>0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31</v>
      </c>
      <c r="T26" s="13">
        <f>F42/1000</f>
        <v>81.903000000000006</v>
      </c>
      <c r="U26" s="14">
        <f>F43</f>
        <v>2.0769440533481703E-2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4</v>
      </c>
      <c r="T27" s="12">
        <f>E42/1000</f>
        <v>0</v>
      </c>
      <c r="U27" s="14">
        <f>E43</f>
        <v>0</v>
      </c>
    </row>
    <row r="28" spans="1:21" ht="16" x14ac:dyDescent="0.2">
      <c r="A28" s="4" t="s">
        <v>65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2" t="s">
        <v>3</v>
      </c>
      <c r="T28" s="2">
        <f>D42/1000</f>
        <v>153.06399999999999</v>
      </c>
      <c r="U28" s="47">
        <f>D43</f>
        <v>3.8814862041889109E-2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73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8</v>
      </c>
      <c r="T29" s="2">
        <f>K42/1000</f>
        <v>1056</v>
      </c>
      <c r="U29" s="47">
        <f>K43</f>
        <v>0.26778664033498989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3" t="s">
        <v>5</v>
      </c>
      <c r="T30" s="13">
        <f>I42/1000</f>
        <v>0</v>
      </c>
      <c r="U30" s="14">
        <f>I43</f>
        <v>0</v>
      </c>
    </row>
    <row r="31" spans="1:21" ht="16" x14ac:dyDescent="0.2">
      <c r="A31" s="8" t="s">
        <v>33</v>
      </c>
      <c r="B31" s="48">
        <v>0</v>
      </c>
      <c r="C31" s="48">
        <v>37261</v>
      </c>
      <c r="D31" s="48">
        <v>0</v>
      </c>
      <c r="E31" s="48">
        <v>0</v>
      </c>
      <c r="F31" s="48">
        <v>3642</v>
      </c>
      <c r="G31" s="48">
        <v>0</v>
      </c>
      <c r="H31" s="48">
        <v>0</v>
      </c>
      <c r="I31" s="48"/>
      <c r="J31" s="48"/>
      <c r="K31" s="48"/>
      <c r="L31" s="48"/>
      <c r="M31" s="49"/>
      <c r="N31" s="48">
        <v>34053</v>
      </c>
      <c r="O31" s="48">
        <v>74956</v>
      </c>
      <c r="P31" s="16">
        <f>O31/O$39</f>
        <v>2.0569331071391132E-2</v>
      </c>
      <c r="Q31" s="17" t="s">
        <v>34</v>
      </c>
      <c r="R31" s="3"/>
      <c r="S31" s="10" t="str">
        <f>M29</f>
        <v>Övrigt</v>
      </c>
      <c r="T31" s="13">
        <f>M42/1000</f>
        <v>0</v>
      </c>
      <c r="U31" s="14">
        <f>M43</f>
        <v>0</v>
      </c>
    </row>
    <row r="32" spans="1:21" ht="16" x14ac:dyDescent="0.2">
      <c r="A32" s="8" t="s">
        <v>36</v>
      </c>
      <c r="B32" s="48">
        <v>124310</v>
      </c>
      <c r="C32" s="48">
        <v>17623</v>
      </c>
      <c r="D32" s="66">
        <f>O32-N32-G32-B32-C32</f>
        <v>41289</v>
      </c>
      <c r="E32" s="52">
        <v>0</v>
      </c>
      <c r="F32" s="48">
        <v>0</v>
      </c>
      <c r="G32" s="52">
        <v>67719</v>
      </c>
      <c r="H32" s="48">
        <v>0</v>
      </c>
      <c r="I32" s="48"/>
      <c r="J32" s="48"/>
      <c r="K32" s="48"/>
      <c r="L32" s="48"/>
      <c r="M32" s="49"/>
      <c r="N32" s="48">
        <v>278883</v>
      </c>
      <c r="O32" s="48">
        <v>529824</v>
      </c>
      <c r="P32" s="16">
        <f>O32/O$39</f>
        <v>0.14539363447314071</v>
      </c>
      <c r="Q32" s="17" t="s">
        <v>37</v>
      </c>
      <c r="R32" s="3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8">
        <v>152473</v>
      </c>
      <c r="C33" s="48">
        <v>186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/>
      <c r="J33" s="48"/>
      <c r="K33" s="48"/>
      <c r="L33" s="48"/>
      <c r="M33" s="49"/>
      <c r="N33" s="48">
        <v>186302</v>
      </c>
      <c r="O33" s="48">
        <v>338961</v>
      </c>
      <c r="P33" s="16">
        <f>O33/O$39</f>
        <v>9.3017250510830485E-2</v>
      </c>
      <c r="Q33" s="17" t="s">
        <v>39</v>
      </c>
      <c r="R33" s="3"/>
      <c r="S33" s="3" t="s">
        <v>35</v>
      </c>
      <c r="T33" s="13">
        <f>C42/1000</f>
        <v>1093.0989999999999</v>
      </c>
      <c r="U33" s="15">
        <f>C43</f>
        <v>0.27719442117759197</v>
      </c>
    </row>
    <row r="34" spans="1:48" ht="16" x14ac:dyDescent="0.2">
      <c r="A34" s="8" t="s">
        <v>40</v>
      </c>
      <c r="B34" s="48">
        <v>0</v>
      </c>
      <c r="C34" s="64">
        <v>936591</v>
      </c>
      <c r="D34" s="48">
        <v>0</v>
      </c>
      <c r="E34" s="48">
        <v>0</v>
      </c>
      <c r="F34" s="48">
        <v>75544</v>
      </c>
      <c r="G34" s="48">
        <v>0</v>
      </c>
      <c r="H34" s="48">
        <v>0</v>
      </c>
      <c r="I34" s="48"/>
      <c r="J34" s="48"/>
      <c r="K34" s="48"/>
      <c r="L34" s="48"/>
      <c r="M34" s="49"/>
      <c r="N34" s="48">
        <v>1498</v>
      </c>
      <c r="O34" s="48">
        <v>1013634</v>
      </c>
      <c r="P34" s="16">
        <f>O34/O$39</f>
        <v>0.27816016504640695</v>
      </c>
      <c r="Q34" s="17" t="s">
        <v>41</v>
      </c>
      <c r="R34" s="3"/>
      <c r="S34" s="3"/>
      <c r="T34" s="13">
        <f>SUM(T23:T33)</f>
        <v>3943.4379500000005</v>
      </c>
      <c r="U34" s="14">
        <f>SUM(U23:U33)</f>
        <v>0.99999999999999989</v>
      </c>
    </row>
    <row r="35" spans="1:48" ht="16" x14ac:dyDescent="0.2">
      <c r="A35" s="8" t="s">
        <v>42</v>
      </c>
      <c r="B35" s="48">
        <v>148870</v>
      </c>
      <c r="C35" s="48">
        <v>50935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/>
      <c r="J35" s="48"/>
      <c r="K35" s="48"/>
      <c r="L35" s="48"/>
      <c r="M35" s="49"/>
      <c r="N35" s="48">
        <v>353207</v>
      </c>
      <c r="O35" s="48">
        <v>553012</v>
      </c>
      <c r="P35" s="16">
        <f>O35/O$39</f>
        <v>0.15175685621500817</v>
      </c>
      <c r="Q35" s="17" t="s">
        <v>43</v>
      </c>
      <c r="R35" s="17"/>
    </row>
    <row r="36" spans="1:48" ht="16" x14ac:dyDescent="0.2">
      <c r="A36" s="8" t="s">
        <v>44</v>
      </c>
      <c r="B36" s="48">
        <v>209609</v>
      </c>
      <c r="C36" s="48">
        <v>1142</v>
      </c>
      <c r="D36" s="48">
        <v>0</v>
      </c>
      <c r="E36" s="48">
        <v>0</v>
      </c>
      <c r="F36" s="48">
        <v>0</v>
      </c>
      <c r="G36" s="48">
        <v>81028</v>
      </c>
      <c r="H36" s="48">
        <v>0</v>
      </c>
      <c r="I36" s="48"/>
      <c r="J36" s="48"/>
      <c r="K36" s="48"/>
      <c r="L36" s="48"/>
      <c r="M36" s="49"/>
      <c r="N36" s="48">
        <v>236578</v>
      </c>
      <c r="O36" s="48">
        <v>528357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48">
        <v>504961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/>
      <c r="J37" s="48"/>
      <c r="K37" s="48"/>
      <c r="L37" s="48"/>
      <c r="M37" s="49"/>
      <c r="N37" s="48">
        <v>85930</v>
      </c>
      <c r="O37" s="48">
        <v>590891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/>
      <c r="J38" s="48"/>
      <c r="K38" s="48"/>
      <c r="L38" s="48"/>
      <c r="M38" s="49"/>
      <c r="N38" s="48">
        <v>14432</v>
      </c>
      <c r="O38" s="48">
        <v>14432</v>
      </c>
      <c r="P38" s="17">
        <f>SUM(P31:P35)</f>
        <v>0.68889723731677743</v>
      </c>
      <c r="Q38" s="17"/>
      <c r="R38" s="3"/>
      <c r="S38" s="7" t="s">
        <v>47</v>
      </c>
      <c r="T38" s="18">
        <f>O45/1000</f>
        <v>413.33163999999999</v>
      </c>
      <c r="U38" s="7"/>
    </row>
    <row r="39" spans="1:48" ht="16" x14ac:dyDescent="0.2">
      <c r="A39" s="8" t="s">
        <v>16</v>
      </c>
      <c r="B39" s="48">
        <v>1140223</v>
      </c>
      <c r="C39" s="48">
        <v>1043738</v>
      </c>
      <c r="D39" s="52">
        <f>SUM(D31:D38)</f>
        <v>41289</v>
      </c>
      <c r="E39" s="52">
        <f>SUM(E31:E38)</f>
        <v>0</v>
      </c>
      <c r="F39" s="48">
        <v>79187</v>
      </c>
      <c r="G39" s="52">
        <f>SUM(G31:G38)</f>
        <v>148747</v>
      </c>
      <c r="H39" s="48">
        <v>0</v>
      </c>
      <c r="I39" s="48"/>
      <c r="J39" s="48"/>
      <c r="K39" s="48"/>
      <c r="L39" s="48"/>
      <c r="M39" s="49"/>
      <c r="N39" s="48">
        <v>1190883</v>
      </c>
      <c r="O39" s="48">
        <v>3644066</v>
      </c>
      <c r="P39" s="3"/>
      <c r="Q39" s="3"/>
      <c r="R39" s="3"/>
      <c r="S39" s="7" t="s">
        <v>48</v>
      </c>
      <c r="T39" s="19">
        <f>O41/1000</f>
        <v>1133.68</v>
      </c>
      <c r="U39" s="14">
        <f>P41</f>
        <v>0.31110303710196247</v>
      </c>
    </row>
    <row r="40" spans="1:48" x14ac:dyDescent="0.2">
      <c r="S40" s="7" t="s">
        <v>49</v>
      </c>
      <c r="T40" s="19">
        <f>O35/1000</f>
        <v>553.01199999999994</v>
      </c>
      <c r="U40" s="15">
        <f>P35</f>
        <v>0.15175685621500817</v>
      </c>
    </row>
    <row r="41" spans="1:48" ht="16" x14ac:dyDescent="0.2">
      <c r="A41" s="20" t="s">
        <v>50</v>
      </c>
      <c r="B41" s="21">
        <f>B38+B37+B36</f>
        <v>714570</v>
      </c>
      <c r="C41" s="21">
        <f t="shared" ref="C41:O41" si="0">C38+C37+C36</f>
        <v>1142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81028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0</v>
      </c>
      <c r="N41" s="21">
        <f t="shared" si="0"/>
        <v>336940</v>
      </c>
      <c r="O41" s="21">
        <f t="shared" si="0"/>
        <v>1133680</v>
      </c>
      <c r="P41" s="16">
        <f>O41/O$39</f>
        <v>0.31110303710196247</v>
      </c>
      <c r="Q41" s="16" t="s">
        <v>51</v>
      </c>
      <c r="R41" s="7"/>
      <c r="S41" s="7" t="s">
        <v>52</v>
      </c>
      <c r="T41" s="19">
        <f>O33/1000</f>
        <v>338.96100000000001</v>
      </c>
      <c r="U41" s="14">
        <f>P33</f>
        <v>9.3017250510830485E-2</v>
      </c>
    </row>
    <row r="42" spans="1:48" ht="16" x14ac:dyDescent="0.2">
      <c r="A42" s="22" t="s">
        <v>53</v>
      </c>
      <c r="B42" s="21"/>
      <c r="C42" s="23">
        <f>C39+C23+C10</f>
        <v>1093099</v>
      </c>
      <c r="D42" s="23">
        <f t="shared" ref="D42:M42" si="1">D39+D23+D10</f>
        <v>153064</v>
      </c>
      <c r="E42" s="23">
        <f t="shared" si="1"/>
        <v>0</v>
      </c>
      <c r="F42" s="23">
        <f t="shared" si="1"/>
        <v>81903</v>
      </c>
      <c r="G42" s="23">
        <f t="shared" si="1"/>
        <v>496374</v>
      </c>
      <c r="H42" s="23">
        <f t="shared" si="1"/>
        <v>0</v>
      </c>
      <c r="I42" s="23">
        <f t="shared" si="1"/>
        <v>0</v>
      </c>
      <c r="J42" s="23">
        <f t="shared" si="1"/>
        <v>0</v>
      </c>
      <c r="K42" s="23">
        <f t="shared" si="1"/>
        <v>1056000</v>
      </c>
      <c r="L42" s="23">
        <f t="shared" ref="L42" si="2">L39+L23+L10</f>
        <v>0</v>
      </c>
      <c r="M42" s="23">
        <f t="shared" si="1"/>
        <v>0</v>
      </c>
      <c r="N42" s="23">
        <f>N39+N23-B6+N45</f>
        <v>1062997.95</v>
      </c>
      <c r="O42" s="24">
        <f>SUM(C42:N42)</f>
        <v>3943437.95</v>
      </c>
      <c r="P42" s="7"/>
      <c r="Q42" s="7"/>
      <c r="R42" s="7"/>
      <c r="S42" s="7" t="s">
        <v>34</v>
      </c>
      <c r="T42" s="19">
        <f>O31/1000</f>
        <v>74.956000000000003</v>
      </c>
      <c r="U42" s="14">
        <f>P31</f>
        <v>2.0569331071391132E-2</v>
      </c>
    </row>
    <row r="43" spans="1:48" ht="16" x14ac:dyDescent="0.2">
      <c r="A43" s="22" t="s">
        <v>54</v>
      </c>
      <c r="B43" s="21"/>
      <c r="C43" s="16">
        <f t="shared" ref="C43:N43" si="3">C42/$O42</f>
        <v>0.27719442117759197</v>
      </c>
      <c r="D43" s="16">
        <f t="shared" si="3"/>
        <v>3.8814862041889109E-2</v>
      </c>
      <c r="E43" s="16">
        <f t="shared" si="3"/>
        <v>0</v>
      </c>
      <c r="F43" s="16">
        <f t="shared" si="3"/>
        <v>2.0769440533481703E-2</v>
      </c>
      <c r="G43" s="16">
        <f t="shared" si="3"/>
        <v>0.1258734145924624</v>
      </c>
      <c r="H43" s="16">
        <f t="shared" si="3"/>
        <v>0</v>
      </c>
      <c r="I43" s="16">
        <f t="shared" si="3"/>
        <v>0</v>
      </c>
      <c r="J43" s="16">
        <f t="shared" si="3"/>
        <v>0</v>
      </c>
      <c r="K43" s="16">
        <f t="shared" si="3"/>
        <v>0.26778664033498989</v>
      </c>
      <c r="L43" s="16">
        <f t="shared" si="3"/>
        <v>0</v>
      </c>
      <c r="M43" s="16">
        <f t="shared" si="3"/>
        <v>0</v>
      </c>
      <c r="N43" s="16">
        <f t="shared" si="3"/>
        <v>0.26956122131958482</v>
      </c>
      <c r="O43" s="16">
        <f>SUM(C43:N43)</f>
        <v>0.99999999999999989</v>
      </c>
      <c r="P43" s="7"/>
      <c r="Q43" s="7"/>
      <c r="R43" s="7"/>
      <c r="S43" s="7" t="s">
        <v>55</v>
      </c>
      <c r="T43" s="19">
        <f>O32/1000</f>
        <v>529.82399999999996</v>
      </c>
      <c r="U43" s="15">
        <f>P32</f>
        <v>0.14539363447314071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19">
        <f>O34/1000</f>
        <v>1013.634</v>
      </c>
      <c r="U44" s="15">
        <f>P34</f>
        <v>0.27816016504640695</v>
      </c>
    </row>
    <row r="45" spans="1:48" ht="16" x14ac:dyDescent="0.2">
      <c r="A45" s="6" t="s">
        <v>57</v>
      </c>
      <c r="B45" s="6">
        <f>B23-B39-B25</f>
        <v>318061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5">
        <f>N39*0.08</f>
        <v>95270.64</v>
      </c>
      <c r="O45" s="24">
        <f>B45+N45</f>
        <v>413331.64</v>
      </c>
      <c r="P45" s="7"/>
      <c r="Q45" s="7"/>
      <c r="R45" s="7"/>
      <c r="S45" s="7" t="s">
        <v>58</v>
      </c>
      <c r="T45" s="19">
        <f>SUM(T39:T44)</f>
        <v>3644.067</v>
      </c>
      <c r="U45" s="14">
        <f>SUM(U39:U44)</f>
        <v>1.00000027441874</v>
      </c>
    </row>
    <row r="46" spans="1:48" ht="16" x14ac:dyDescent="0.2">
      <c r="A46" s="6"/>
      <c r="B46" s="41">
        <f>B45/B23</f>
        <v>0.20677695256224224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/>
      <c r="O46" s="6"/>
      <c r="P46" s="7"/>
      <c r="Q46" s="7"/>
      <c r="R46" s="7"/>
    </row>
    <row r="47" spans="1:48" x14ac:dyDescent="0.2">
      <c r="A47" s="26"/>
      <c r="B47" s="4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4"/>
      <c r="S47" s="4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4"/>
      <c r="AI47" s="4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2">
      <c r="B48" s="26"/>
      <c r="D48" s="26"/>
      <c r="E48" s="27"/>
      <c r="F48" s="27"/>
      <c r="G48" s="26"/>
      <c r="H48" s="27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4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4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4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4"/>
      <c r="AJ49" s="27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16" x14ac:dyDescent="0.2">
      <c r="A50" s="51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4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4"/>
      <c r="AJ50" s="27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x14ac:dyDescent="0.2">
      <c r="A51" s="26"/>
      <c r="B51" s="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4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4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4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4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</row>
    <row r="53" spans="1:48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4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4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</row>
    <row r="54" spans="1:48" x14ac:dyDescent="0.2">
      <c r="A54" s="26"/>
      <c r="B54" s="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4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4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</row>
    <row r="55" spans="1:48" x14ac:dyDescent="0.2">
      <c r="A55" s="26"/>
      <c r="B55" s="4"/>
      <c r="C55" s="26"/>
      <c r="D55" s="26"/>
      <c r="E55" s="27"/>
      <c r="F55" s="27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4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4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</row>
    <row r="56" spans="1:48" x14ac:dyDescent="0.2">
      <c r="A56" s="26"/>
      <c r="B56" s="4"/>
      <c r="C56" s="26"/>
      <c r="D56" s="26"/>
      <c r="E56" s="27"/>
      <c r="F56" s="27"/>
      <c r="G56" s="26"/>
      <c r="H56" s="27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4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4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29"/>
      <c r="N57" s="29"/>
      <c r="O57" s="7"/>
      <c r="P57" s="6"/>
      <c r="Q57" s="14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29"/>
      <c r="N58" s="29"/>
      <c r="O58" s="7"/>
      <c r="P58" s="6"/>
      <c r="Q58" s="14"/>
      <c r="R58" s="7"/>
      <c r="S58" s="7"/>
      <c r="T58" s="6"/>
      <c r="U58" s="30"/>
    </row>
    <row r="59" spans="1:48" ht="16" x14ac:dyDescent="0.2">
      <c r="A59" s="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26"/>
      <c r="Q59" s="26"/>
      <c r="R59" s="26"/>
      <c r="S59" s="7"/>
      <c r="T59" s="6"/>
      <c r="U59" s="30"/>
    </row>
    <row r="60" spans="1:48" ht="16" x14ac:dyDescent="0.2">
      <c r="A60" s="4"/>
      <c r="B60" s="48"/>
      <c r="C60" s="48"/>
      <c r="D60" s="48"/>
      <c r="E60" s="56"/>
      <c r="F60" s="48"/>
      <c r="G60" s="48"/>
      <c r="H60" s="61"/>
      <c r="I60" s="48"/>
      <c r="J60" s="48"/>
      <c r="K60" s="48"/>
      <c r="L60" s="64"/>
      <c r="M60" s="48"/>
      <c r="N60" s="48"/>
      <c r="O60" s="48"/>
      <c r="P60" s="48"/>
      <c r="Q60" s="48"/>
      <c r="R60" s="48"/>
      <c r="S60" s="7"/>
      <c r="T60" s="6"/>
      <c r="U60" s="30"/>
    </row>
    <row r="61" spans="1:48" ht="16" x14ac:dyDescent="0.2">
      <c r="A61" s="26"/>
      <c r="B61" s="4"/>
      <c r="C61" s="9"/>
      <c r="D61" s="9"/>
      <c r="E61" s="9"/>
      <c r="F61" s="9"/>
      <c r="G61" s="9"/>
      <c r="H61" s="9"/>
      <c r="I61" s="9"/>
      <c r="J61" s="9"/>
      <c r="K61" s="9"/>
      <c r="L61" s="9"/>
      <c r="M61" s="26"/>
      <c r="N61" s="9"/>
      <c r="O61" s="9"/>
      <c r="P61" s="26"/>
      <c r="Q61" s="26"/>
      <c r="R61" s="4"/>
      <c r="S61" s="7"/>
      <c r="T61" s="31"/>
      <c r="U61" s="32"/>
    </row>
    <row r="62" spans="1:48" x14ac:dyDescent="0.2">
      <c r="A62" s="26"/>
      <c r="B62" s="4"/>
      <c r="C62" s="9"/>
      <c r="D62" s="9"/>
      <c r="E62" s="9"/>
      <c r="F62" s="9"/>
      <c r="G62" s="9"/>
      <c r="H62" s="9"/>
      <c r="I62" s="9"/>
      <c r="J62" s="9"/>
      <c r="K62" s="9"/>
      <c r="L62" s="9"/>
      <c r="M62" s="26"/>
      <c r="N62" s="9"/>
      <c r="O62" s="9"/>
      <c r="P62" s="26"/>
      <c r="Q62" s="26"/>
      <c r="R62" s="4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dresurs" ma:contentTypeID="0x0101009148F5A04DDD49CBA7127AADA5FB792B00AADE34325A8B49CDA8BB4DB53328F21400B1422EAB8DF0294E85CCB7CF19F0629E" ma:contentTypeVersion="1" ma:contentTypeDescription="Ladda upp en bild." ma:contentTypeScope="" ma:versionID="89db0ba08def9c0c99553822dc9a3775">
  <xsd:schema xmlns:xsd="http://www.w3.org/2001/XMLSchema" xmlns:xs="http://www.w3.org/2001/XMLSchema" xmlns:p="http://schemas.microsoft.com/office/2006/metadata/properties" xmlns:ns1="http://schemas.microsoft.com/sharepoint/v3" xmlns:ns2="B2487248-3291-4FB7-A798-DA4F8D952CAD" xmlns:ns3="http://schemas.microsoft.com/sharepoint/v3/fields" targetNamespace="http://schemas.microsoft.com/office/2006/metadata/properties" ma:root="true" ma:fieldsID="f88401ac58d331235390f5b8f93600ac" ns1:_="" ns2:_="" ns3:_="">
    <xsd:import namespace="http://schemas.microsoft.com/sharepoint/v3"/>
    <xsd:import namespace="B2487248-3291-4FB7-A798-DA4F8D952CA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-sökväg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typ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-filtyp" ma:hidden="true" ma:internalName="HTML_x0020_File_x0020_Type" ma:readOnly="true">
      <xsd:simpleType>
        <xsd:restriction base="dms:Text"/>
      </xsd:simpleType>
    </xsd:element>
    <xsd:element name="FSObjType" ma:index="11" nillable="true" ma:displayName="Objekttyp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malagt startdatum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malagt slut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87248-3291-4FB7-A798-DA4F8D952CAD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Miniatyr finn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Förhandsgranskning finn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Bredd" ma:internalName="ImageWidth" ma:readOnly="true">
      <xsd:simpleType>
        <xsd:restriction base="dms:Unknown"/>
      </xsd:simpleType>
    </xsd:element>
    <xsd:element name="ImageHeight" ma:index="22" nillable="true" ma:displayName="Höjd" ma:internalName="ImageHeight" ma:readOnly="true">
      <xsd:simpleType>
        <xsd:restriction base="dms:Unknown"/>
      </xsd:simpleType>
    </xsd:element>
    <xsd:element name="ImageCreateDate" ma:index="25" nillable="true" ma:displayName="Datum då bilden togs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Författare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 ma:index="23" ma:displayName="Kommentarer"/>
        <xsd:element name="keywords" minOccurs="0" maxOccurs="1" type="xsd:string" ma:index="14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ImageCreateDate xmlns="B2487248-3291-4FB7-A798-DA4F8D952CAD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948B57F7-67E1-4DC8-BB39-7EBFA154F0F6}"/>
</file>

<file path=customXml/itemProps2.xml><?xml version="1.0" encoding="utf-8"?>
<ds:datastoreItem xmlns:ds="http://schemas.openxmlformats.org/officeDocument/2006/customXml" ds:itemID="{884F8EC0-E23D-4A0D-877F-5C921A24DA09}"/>
</file>

<file path=customXml/itemProps3.xml><?xml version="1.0" encoding="utf-8"?>
<ds:datastoreItem xmlns:ds="http://schemas.openxmlformats.org/officeDocument/2006/customXml" ds:itemID="{F17408EB-B914-4F65-A06F-D3C9B940C2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Östergötland</vt:lpstr>
      <vt:lpstr>Ödeshög</vt:lpstr>
      <vt:lpstr>Ydre</vt:lpstr>
      <vt:lpstr>Kinda</vt:lpstr>
      <vt:lpstr>Boxholm</vt:lpstr>
      <vt:lpstr>Åtvidaberg</vt:lpstr>
      <vt:lpstr>Finspång</vt:lpstr>
      <vt:lpstr>Valdemarsvik</vt:lpstr>
      <vt:lpstr>Linköping</vt:lpstr>
      <vt:lpstr>Norrköping</vt:lpstr>
      <vt:lpstr>Söderköping</vt:lpstr>
      <vt:lpstr>Motala</vt:lpstr>
      <vt:lpstr>Mjölby</vt:lpstr>
      <vt:lpstr>Vadstena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Kaj</dc:creator>
  <cp:keywords/>
  <dc:description/>
  <cp:lastModifiedBy>Kaj</cp:lastModifiedBy>
  <dcterms:created xsi:type="dcterms:W3CDTF">2016-02-05T21:29:40Z</dcterms:created>
  <dcterms:modified xsi:type="dcterms:W3CDTF">2017-08-31T16:39:18Z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0x0101009148F5A04DDD49CBA7127AADA5FB792B00AADE34325A8B49CDA8BB4DB53328F21400B1422EAB8DF0294E85CCB7CF19F0629E</vt:lpwstr>
  </property>
</Properties>
</file>