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comments16.xml" ContentType="application/vnd.openxmlformats-officedocument.spreadsheetml.comments+xml"/>
  <Override PartName="/xl/comments20.xml" ContentType="application/vnd.openxmlformats-officedocument.spreadsheetml.comments+xml"/>
  <Override PartName="/xl/comments13.xml" ContentType="application/vnd.openxmlformats-officedocument.spreadsheetml.comments+xml"/>
  <Override PartName="/xl/comments31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xl/comments22.xml" ContentType="application/vnd.openxmlformats-officedocument.spreadsheetml.comments+xml"/>
  <Override PartName="/xl/comments21.xml" ContentType="application/vnd.openxmlformats-officedocument.spreadsheetml.comments+xml"/>
  <Override PartName="/xl/comments11.xml" ContentType="application/vnd.openxmlformats-officedocument.spreadsheetml.comments+xml"/>
  <Override PartName="/xl/comments19.xml" ContentType="application/vnd.openxmlformats-officedocument.spreadsheetml.comments+xml"/>
  <Override PartName="/xl/comments15.xml" ContentType="application/vnd.openxmlformats-officedocument.spreadsheetml.comments+xml"/>
  <Override PartName="/xl/comments17.xml" ContentType="application/vnd.openxmlformats-officedocument.spreadsheetml.comments+xml"/>
  <Override PartName="/xl/comments9.xml" ContentType="application/vnd.openxmlformats-officedocument.spreadsheetml.comments+xml"/>
  <Override PartName="/xl/comments18.xml" ContentType="application/vnd.openxmlformats-officedocument.spreadsheetml.comments+xml"/>
  <Override PartName="/xl/comments14.xml" ContentType="application/vnd.openxmlformats-officedocument.spreadsheetml.comments+xml"/>
  <Override PartName="/xl/comments10.xml" ContentType="application/vnd.openxmlformats-officedocument.spreadsheetml.comments+xml"/>
  <Override PartName="/xl/comments6.xml" ContentType="application/vnd.openxmlformats-officedocument.spreadsheetml.comments+xml"/>
  <Override PartName="/xl/comments30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3.xml" ContentType="application/vnd.openxmlformats-officedocument.spreadsheetml.comments+xml"/>
  <Override PartName="/xl/comments12.xml" ContentType="application/vnd.openxmlformats-officedocument.spreadsheetml.comments+xml"/>
  <Override PartName="/xl/comments32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29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4.xml" ContentType="application/vnd.openxmlformats-officedocument.spreadsheetml.comments+xml"/>
  <Override PartName="/xl/comments28.xml" ContentType="application/vnd.openxmlformats-officedocument.spreadsheetml.comments+xml"/>
  <Override PartName="/xl/comments23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180" tabRatio="842"/>
  </bookViews>
  <sheets>
    <sheet name="Skåne" sheetId="36" r:id="rId1"/>
    <sheet name="Svalöv" sheetId="2" r:id="rId2"/>
    <sheet name="Staffanstorp" sheetId="3" r:id="rId3"/>
    <sheet name="Burlöv" sheetId="4" r:id="rId4"/>
    <sheet name="Vellinge" sheetId="5" r:id="rId5"/>
    <sheet name="Östra Göinge" sheetId="6" r:id="rId6"/>
    <sheet name="Örkelljunga" sheetId="7" r:id="rId7"/>
    <sheet name="Bjuv" sheetId="8" r:id="rId8"/>
    <sheet name="Kävlinge" sheetId="9" r:id="rId9"/>
    <sheet name="Lomma" sheetId="10" r:id="rId10"/>
    <sheet name="Svedala" sheetId="11" r:id="rId11"/>
    <sheet name="Skurup" sheetId="12" r:id="rId12"/>
    <sheet name="Sjöbo" sheetId="13" r:id="rId13"/>
    <sheet name="Hörby" sheetId="14" r:id="rId14"/>
    <sheet name="Höör" sheetId="15" r:id="rId15"/>
    <sheet name="Tomelilla" sheetId="16" r:id="rId16"/>
    <sheet name="Bromölla" sheetId="17" r:id="rId17"/>
    <sheet name="Osby" sheetId="18" r:id="rId18"/>
    <sheet name="Perstorp" sheetId="19" r:id="rId19"/>
    <sheet name="Klippan" sheetId="20" r:id="rId20"/>
    <sheet name="Åstorp" sheetId="21" r:id="rId21"/>
    <sheet name="Båstad" sheetId="22" r:id="rId22"/>
    <sheet name="Malmö" sheetId="23" r:id="rId23"/>
    <sheet name="Lund" sheetId="24" r:id="rId24"/>
    <sheet name="Landskrona" sheetId="25" r:id="rId25"/>
    <sheet name="Helsingborg" sheetId="26" r:id="rId26"/>
    <sheet name="Höganäs" sheetId="27" r:id="rId27"/>
    <sheet name="Eslöv" sheetId="28" r:id="rId28"/>
    <sheet name="Ystad" sheetId="29" r:id="rId29"/>
    <sheet name="Trelleborg" sheetId="30" r:id="rId30"/>
    <sheet name="Kristianstad" sheetId="31" r:id="rId31"/>
    <sheet name="Simrishamn" sheetId="32" r:id="rId32"/>
    <sheet name="Ängelholm" sheetId="33" r:id="rId33"/>
    <sheet name="Hässleholm" sheetId="34" r:id="rId3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2" i="36" l="1"/>
  <c r="N38" i="36"/>
  <c r="N37" i="36"/>
  <c r="N36" i="36"/>
  <c r="N41" i="36"/>
  <c r="N31" i="36"/>
  <c r="N32" i="36"/>
  <c r="N33" i="36"/>
  <c r="N34" i="36"/>
  <c r="N35" i="36"/>
  <c r="N39" i="36"/>
  <c r="O41" i="36"/>
  <c r="T42" i="36"/>
  <c r="O35" i="36"/>
  <c r="T43" i="36"/>
  <c r="O33" i="36"/>
  <c r="T44" i="36"/>
  <c r="O31" i="36"/>
  <c r="T45" i="36"/>
  <c r="O32" i="36"/>
  <c r="T46" i="36"/>
  <c r="O34" i="36"/>
  <c r="T47" i="36"/>
  <c r="T48" i="36"/>
  <c r="S42" i="36"/>
  <c r="S43" i="36"/>
  <c r="S44" i="36"/>
  <c r="S45" i="36"/>
  <c r="S46" i="36"/>
  <c r="S47" i="36"/>
  <c r="S48" i="36"/>
  <c r="B48" i="36"/>
  <c r="M39" i="36"/>
  <c r="M23" i="36"/>
  <c r="M45" i="36"/>
  <c r="M42" i="36"/>
  <c r="M47" i="36"/>
  <c r="B23" i="36"/>
  <c r="B39" i="36"/>
  <c r="B45" i="36"/>
  <c r="B46" i="36"/>
  <c r="N45" i="36"/>
  <c r="C39" i="36"/>
  <c r="C23" i="36"/>
  <c r="C42" i="36"/>
  <c r="D39" i="36"/>
  <c r="D23" i="36"/>
  <c r="D10" i="36"/>
  <c r="D42" i="36"/>
  <c r="E39" i="36"/>
  <c r="E23" i="36"/>
  <c r="E10" i="36"/>
  <c r="E42" i="36"/>
  <c r="F39" i="36"/>
  <c r="F23" i="36"/>
  <c r="F10" i="36"/>
  <c r="F42" i="36"/>
  <c r="G39" i="36"/>
  <c r="G23" i="36"/>
  <c r="G10" i="36"/>
  <c r="G42" i="36"/>
  <c r="H39" i="36"/>
  <c r="H23" i="36"/>
  <c r="H10" i="36"/>
  <c r="H42" i="36"/>
  <c r="I39" i="36"/>
  <c r="I23" i="36"/>
  <c r="I10" i="36"/>
  <c r="I42" i="36"/>
  <c r="J39" i="36"/>
  <c r="J23" i="36"/>
  <c r="J10" i="36"/>
  <c r="J42" i="36"/>
  <c r="K39" i="36"/>
  <c r="K23" i="36"/>
  <c r="K10" i="36"/>
  <c r="K42" i="36"/>
  <c r="N42" i="36"/>
  <c r="C43" i="36"/>
  <c r="D43" i="36"/>
  <c r="E43" i="36"/>
  <c r="F43" i="36"/>
  <c r="G43" i="36"/>
  <c r="H43" i="36"/>
  <c r="I43" i="36"/>
  <c r="J43" i="36"/>
  <c r="K43" i="36"/>
  <c r="L43" i="36"/>
  <c r="M43" i="36"/>
  <c r="N43" i="36"/>
  <c r="S41" i="36"/>
  <c r="M41" i="36"/>
  <c r="L41" i="36"/>
  <c r="K41" i="36"/>
  <c r="J41" i="36"/>
  <c r="I41" i="36"/>
  <c r="H41" i="36"/>
  <c r="G41" i="36"/>
  <c r="F41" i="36"/>
  <c r="E41" i="36"/>
  <c r="D41" i="36"/>
  <c r="C41" i="36"/>
  <c r="B41" i="36"/>
  <c r="L39" i="36"/>
  <c r="O38" i="36"/>
  <c r="T26" i="36"/>
  <c r="T27" i="36"/>
  <c r="T28" i="36"/>
  <c r="T29" i="36"/>
  <c r="T30" i="36"/>
  <c r="T31" i="36"/>
  <c r="T32" i="36"/>
  <c r="T33" i="36"/>
  <c r="T34" i="36"/>
  <c r="T35" i="36"/>
  <c r="T36" i="36"/>
  <c r="T37" i="36"/>
  <c r="S26" i="36"/>
  <c r="S27" i="36"/>
  <c r="S28" i="36"/>
  <c r="S29" i="36"/>
  <c r="S30" i="36"/>
  <c r="S31" i="36"/>
  <c r="S32" i="36"/>
  <c r="S33" i="36"/>
  <c r="S34" i="36"/>
  <c r="S35" i="36"/>
  <c r="S36" i="36"/>
  <c r="S37" i="36"/>
  <c r="S23" i="36"/>
  <c r="N17" i="36"/>
  <c r="N18" i="36"/>
  <c r="N19" i="36"/>
  <c r="N20" i="36"/>
  <c r="N23" i="36"/>
  <c r="L23" i="36"/>
  <c r="N7" i="36"/>
  <c r="N10" i="36"/>
  <c r="M10" i="36"/>
  <c r="L10" i="36"/>
  <c r="C10" i="36"/>
  <c r="B10" i="36"/>
  <c r="F39" i="17"/>
  <c r="I39" i="17"/>
  <c r="G23" i="10"/>
  <c r="B44" i="17"/>
  <c r="B45" i="4"/>
  <c r="B46" i="4"/>
  <c r="B44" i="23"/>
  <c r="N39" i="20"/>
  <c r="B32" i="34"/>
  <c r="B35" i="34"/>
  <c r="N35" i="34"/>
  <c r="N33" i="34"/>
  <c r="M33" i="34"/>
  <c r="M36" i="34"/>
  <c r="M32" i="34"/>
  <c r="B23" i="25"/>
  <c r="N32" i="2"/>
  <c r="N32" i="4"/>
  <c r="N32" i="10"/>
  <c r="N32" i="12"/>
  <c r="E32" i="17"/>
  <c r="G32" i="17"/>
  <c r="M32" i="17"/>
  <c r="N32" i="17"/>
  <c r="N37" i="18"/>
  <c r="N32" i="18"/>
  <c r="C32" i="19"/>
  <c r="D32" i="19"/>
  <c r="G32" i="19"/>
  <c r="M32" i="19"/>
  <c r="N32" i="19"/>
  <c r="B32" i="23"/>
  <c r="N32" i="23"/>
  <c r="F31" i="26"/>
  <c r="F32" i="26"/>
  <c r="N32" i="26"/>
  <c r="C36" i="27"/>
  <c r="C32" i="27"/>
  <c r="D32" i="27"/>
  <c r="E32" i="27"/>
  <c r="N32" i="27"/>
  <c r="C36" i="28"/>
  <c r="C32" i="28"/>
  <c r="E32" i="28"/>
  <c r="N32" i="28"/>
  <c r="N32" i="33"/>
  <c r="N39" i="27"/>
  <c r="C31" i="5"/>
  <c r="C32" i="5"/>
  <c r="C32" i="7"/>
  <c r="C31" i="8"/>
  <c r="C32" i="8"/>
  <c r="C31" i="13"/>
  <c r="C32" i="13"/>
  <c r="C31" i="20"/>
  <c r="C32" i="20"/>
  <c r="C36" i="21"/>
  <c r="C32" i="21"/>
  <c r="C36" i="22"/>
  <c r="C32" i="22"/>
  <c r="C36" i="24"/>
  <c r="C32" i="24"/>
  <c r="D32" i="25"/>
  <c r="E32" i="14"/>
  <c r="E32" i="15"/>
  <c r="E32" i="16"/>
  <c r="E32" i="22"/>
  <c r="E32" i="24"/>
  <c r="E32" i="25"/>
  <c r="E32" i="31"/>
  <c r="E32" i="34"/>
  <c r="F31" i="5"/>
  <c r="F32" i="5"/>
  <c r="F32" i="8"/>
  <c r="F32" i="13"/>
  <c r="F31" i="20"/>
  <c r="F32" i="20"/>
  <c r="G32" i="6"/>
  <c r="G32" i="7"/>
  <c r="G32" i="18"/>
  <c r="G32" i="20"/>
  <c r="G32" i="21"/>
  <c r="G32" i="29"/>
  <c r="G32" i="32"/>
  <c r="M32" i="6"/>
  <c r="B33" i="23"/>
  <c r="C31" i="6"/>
  <c r="C33" i="6"/>
  <c r="M33" i="6"/>
  <c r="N33" i="4"/>
  <c r="N33" i="12"/>
  <c r="N33" i="23"/>
  <c r="N33" i="26"/>
  <c r="N33" i="28"/>
  <c r="N33" i="33"/>
  <c r="N34" i="12"/>
  <c r="N34" i="23"/>
  <c r="N34" i="26"/>
  <c r="N34" i="33"/>
  <c r="B35" i="6"/>
  <c r="B35" i="23"/>
  <c r="N35" i="6"/>
  <c r="N35" i="4"/>
  <c r="N35" i="12"/>
  <c r="N35" i="23"/>
  <c r="N35" i="26"/>
  <c r="N35" i="33"/>
  <c r="B36" i="23"/>
  <c r="C31" i="26"/>
  <c r="C36" i="26"/>
  <c r="M31" i="6"/>
  <c r="M36" i="6"/>
  <c r="N36" i="4"/>
  <c r="N36" i="6"/>
  <c r="N36" i="12"/>
  <c r="N36" i="23"/>
  <c r="N36" i="26"/>
  <c r="N36" i="33"/>
  <c r="B37" i="23"/>
  <c r="B37" i="28"/>
  <c r="N37" i="4"/>
  <c r="N37" i="12"/>
  <c r="N37" i="23"/>
  <c r="N37" i="26"/>
  <c r="N37" i="28"/>
  <c r="N37" i="33"/>
  <c r="N38" i="6"/>
  <c r="N38" i="12"/>
  <c r="N38" i="23"/>
  <c r="N38" i="33"/>
  <c r="H39" i="28"/>
  <c r="H39" i="31"/>
  <c r="B39" i="6"/>
  <c r="B39" i="23"/>
  <c r="B39" i="26"/>
  <c r="B39" i="33"/>
  <c r="C39" i="7"/>
  <c r="C39" i="12"/>
  <c r="C39" i="15"/>
  <c r="C39" i="17"/>
  <c r="C39" i="19"/>
  <c r="D39" i="19"/>
  <c r="D39" i="25"/>
  <c r="D39" i="27"/>
  <c r="D39" i="28"/>
  <c r="D39" i="34"/>
  <c r="E39" i="2"/>
  <c r="E39" i="4"/>
  <c r="E39" i="14"/>
  <c r="E39" i="15"/>
  <c r="E39" i="16"/>
  <c r="E39" i="17"/>
  <c r="E39" i="19"/>
  <c r="E39" i="20"/>
  <c r="E39" i="21"/>
  <c r="E39" i="22"/>
  <c r="E39" i="23"/>
  <c r="E39" i="24"/>
  <c r="E39" i="25"/>
  <c r="E39" i="26"/>
  <c r="E39" i="27"/>
  <c r="E39" i="28"/>
  <c r="E39" i="29"/>
  <c r="E39" i="31"/>
  <c r="E39" i="32"/>
  <c r="E39" i="34"/>
  <c r="F39" i="14"/>
  <c r="G39" i="7"/>
  <c r="G39" i="12"/>
  <c r="G39" i="16"/>
  <c r="G39" i="17"/>
  <c r="G39" i="18"/>
  <c r="G39" i="19"/>
  <c r="G39" i="20"/>
  <c r="G39" i="21"/>
  <c r="G39" i="22"/>
  <c r="G39" i="24"/>
  <c r="G39" i="26"/>
  <c r="G39" i="27"/>
  <c r="G39" i="28"/>
  <c r="G39" i="29"/>
  <c r="G39" i="31"/>
  <c r="G39" i="32"/>
  <c r="G39" i="34"/>
  <c r="J39" i="19"/>
  <c r="K39" i="19"/>
  <c r="L39" i="19"/>
  <c r="M39" i="17"/>
  <c r="M39" i="18"/>
  <c r="M39" i="19"/>
  <c r="N39" i="28"/>
  <c r="N39" i="6"/>
  <c r="N39" i="2"/>
  <c r="N39" i="4"/>
  <c r="N39" i="12"/>
  <c r="N39" i="17"/>
  <c r="N39" i="19"/>
  <c r="N39" i="23"/>
  <c r="N39" i="26"/>
  <c r="N31" i="33"/>
  <c r="N39" i="33"/>
  <c r="C31" i="10"/>
  <c r="F31" i="8"/>
  <c r="F31" i="10"/>
  <c r="F31" i="13"/>
  <c r="N31" i="10"/>
  <c r="N31" i="12"/>
  <c r="B17" i="34"/>
  <c r="G23" i="31"/>
  <c r="H23" i="31"/>
  <c r="N18" i="28"/>
  <c r="N17" i="28"/>
  <c r="M20" i="28"/>
  <c r="N20" i="28"/>
  <c r="N23" i="28"/>
  <c r="N17" i="26"/>
  <c r="N18" i="26"/>
  <c r="M20" i="26"/>
  <c r="N20" i="26"/>
  <c r="N23" i="26"/>
  <c r="C23" i="26"/>
  <c r="G23" i="25"/>
  <c r="B17" i="23"/>
  <c r="B10" i="19"/>
  <c r="N17" i="13"/>
  <c r="N17" i="10"/>
  <c r="B23" i="4"/>
  <c r="N18" i="11"/>
  <c r="B18" i="11"/>
  <c r="B23" i="11"/>
  <c r="B23" i="13"/>
  <c r="N18" i="20"/>
  <c r="B18" i="20"/>
  <c r="B23" i="20"/>
  <c r="B23" i="26"/>
  <c r="B23" i="28"/>
  <c r="B18" i="30"/>
  <c r="B23" i="30"/>
  <c r="N18" i="34"/>
  <c r="B18" i="34"/>
  <c r="B23" i="34"/>
  <c r="E23" i="20"/>
  <c r="E23" i="23"/>
  <c r="E23" i="24"/>
  <c r="E23" i="26"/>
  <c r="E23" i="28"/>
  <c r="E18" i="30"/>
  <c r="E23" i="30"/>
  <c r="E23" i="31"/>
  <c r="C23" i="10"/>
  <c r="C23" i="11"/>
  <c r="C23" i="13"/>
  <c r="C23" i="20"/>
  <c r="C23" i="23"/>
  <c r="C18" i="30"/>
  <c r="C23" i="30"/>
  <c r="C23" i="31"/>
  <c r="C23" i="34"/>
  <c r="D23" i="20"/>
  <c r="D23" i="23"/>
  <c r="D23" i="30"/>
  <c r="D23" i="31"/>
  <c r="F23" i="20"/>
  <c r="F23" i="23"/>
  <c r="F23" i="28"/>
  <c r="F23" i="30"/>
  <c r="F23" i="31"/>
  <c r="G23" i="11"/>
  <c r="G23" i="13"/>
  <c r="G23" i="20"/>
  <c r="G23" i="23"/>
  <c r="G23" i="26"/>
  <c r="G23" i="28"/>
  <c r="G18" i="30"/>
  <c r="G23" i="30"/>
  <c r="G23" i="33"/>
  <c r="G23" i="34"/>
  <c r="H23" i="23"/>
  <c r="H23" i="26"/>
  <c r="H23" i="28"/>
  <c r="H18" i="30"/>
  <c r="H23" i="30"/>
  <c r="I23" i="23"/>
  <c r="J23" i="23"/>
  <c r="K18" i="23"/>
  <c r="K23" i="23"/>
  <c r="K17" i="25"/>
  <c r="K23" i="25"/>
  <c r="K23" i="26"/>
  <c r="K18" i="33"/>
  <c r="K23" i="33"/>
  <c r="K23" i="34"/>
  <c r="K10" i="10"/>
  <c r="K10" i="23"/>
  <c r="M23" i="20"/>
  <c r="M20" i="23"/>
  <c r="M23" i="23"/>
  <c r="M20" i="24"/>
  <c r="M23" i="24"/>
  <c r="M23" i="26"/>
  <c r="M23" i="28"/>
  <c r="B6" i="23"/>
  <c r="N41" i="2"/>
  <c r="S39" i="2"/>
  <c r="S40" i="2"/>
  <c r="S41" i="2"/>
  <c r="S42" i="2"/>
  <c r="S43" i="2"/>
  <c r="S44" i="2"/>
  <c r="S45" i="2"/>
  <c r="G42" i="2"/>
  <c r="S27" i="2"/>
  <c r="M45" i="34"/>
  <c r="M42" i="34"/>
  <c r="S26" i="34"/>
  <c r="G42" i="34"/>
  <c r="S27" i="34"/>
  <c r="J42" i="34"/>
  <c r="S28" i="34"/>
  <c r="F42" i="34"/>
  <c r="S29" i="34"/>
  <c r="E42" i="34"/>
  <c r="S30" i="34"/>
  <c r="C42" i="34"/>
  <c r="S31" i="34"/>
  <c r="I42" i="34"/>
  <c r="S32" i="34"/>
  <c r="H42" i="34"/>
  <c r="S33" i="34"/>
  <c r="S34" i="34"/>
  <c r="S41" i="31"/>
  <c r="N41" i="31"/>
  <c r="S39" i="31"/>
  <c r="G42" i="31"/>
  <c r="S27" i="31"/>
  <c r="M45" i="31"/>
  <c r="M42" i="31"/>
  <c r="S26" i="31"/>
  <c r="Q32" i="19"/>
  <c r="N17" i="34"/>
  <c r="N23" i="34"/>
  <c r="N18" i="30"/>
  <c r="B10" i="25"/>
  <c r="N20" i="24"/>
  <c r="N17" i="24"/>
  <c r="N23" i="24"/>
  <c r="N10" i="23"/>
  <c r="N23" i="20"/>
  <c r="N23" i="13"/>
  <c r="N23" i="11"/>
  <c r="N23" i="10"/>
  <c r="B45" i="23"/>
  <c r="N23" i="30"/>
  <c r="N17" i="23"/>
  <c r="N18" i="23"/>
  <c r="N20" i="23"/>
  <c r="N23" i="23"/>
  <c r="N23" i="31"/>
  <c r="N22" i="23"/>
  <c r="N21" i="23"/>
  <c r="N19" i="23"/>
  <c r="N17" i="31"/>
  <c r="B8" i="6"/>
  <c r="B8" i="34"/>
  <c r="B10" i="20"/>
  <c r="B10" i="26"/>
  <c r="B46" i="23"/>
  <c r="B45" i="26"/>
  <c r="B45" i="25"/>
  <c r="D42" i="19"/>
  <c r="B46" i="17"/>
  <c r="B41" i="12"/>
  <c r="B45" i="6"/>
  <c r="B45" i="34"/>
  <c r="B45" i="13"/>
  <c r="B46" i="34"/>
  <c r="B41" i="34"/>
  <c r="B45" i="30"/>
  <c r="B46" i="30"/>
  <c r="O31" i="26"/>
  <c r="O32" i="26"/>
  <c r="O33" i="26"/>
  <c r="O34" i="26"/>
  <c r="O35" i="26"/>
  <c r="O38" i="26"/>
  <c r="F42" i="26"/>
  <c r="O32" i="7"/>
  <c r="G41" i="7"/>
  <c r="B45" i="5"/>
  <c r="M45" i="5"/>
  <c r="N45" i="5"/>
  <c r="G41" i="6"/>
  <c r="B45" i="2"/>
  <c r="M45" i="2"/>
  <c r="N45" i="2"/>
  <c r="B45" i="16"/>
  <c r="B45" i="19"/>
  <c r="B45" i="29"/>
  <c r="B46" i="13"/>
  <c r="B45" i="12"/>
  <c r="B46" i="12"/>
  <c r="B45" i="10"/>
  <c r="M45" i="10"/>
  <c r="N45" i="10"/>
  <c r="N45" i="34"/>
  <c r="B45" i="33"/>
  <c r="B46" i="33"/>
  <c r="B45" i="32"/>
  <c r="B46" i="32"/>
  <c r="B45" i="31"/>
  <c r="B46" i="31"/>
  <c r="B46" i="29"/>
  <c r="B45" i="28"/>
  <c r="B46" i="28"/>
  <c r="B45" i="27"/>
  <c r="B46" i="27"/>
  <c r="B46" i="26"/>
  <c r="B46" i="25"/>
  <c r="B45" i="24"/>
  <c r="B46" i="24"/>
  <c r="B45" i="22"/>
  <c r="B46" i="22"/>
  <c r="B45" i="21"/>
  <c r="B46" i="21"/>
  <c r="B45" i="20"/>
  <c r="B46" i="20"/>
  <c r="B46" i="19"/>
  <c r="B45" i="18"/>
  <c r="B46" i="18"/>
  <c r="B46" i="16"/>
  <c r="B45" i="15"/>
  <c r="B46" i="15"/>
  <c r="B45" i="14"/>
  <c r="B46" i="14"/>
  <c r="B45" i="11"/>
  <c r="B46" i="11"/>
  <c r="B46" i="10"/>
  <c r="B45" i="9"/>
  <c r="B46" i="9"/>
  <c r="B45" i="8"/>
  <c r="B46" i="8"/>
  <c r="B45" i="7"/>
  <c r="B46" i="7"/>
  <c r="B46" i="6"/>
  <c r="B45" i="3"/>
  <c r="B46" i="3"/>
  <c r="B46" i="2"/>
  <c r="G42" i="17"/>
  <c r="S27" i="17"/>
  <c r="C42" i="17"/>
  <c r="F42" i="17"/>
  <c r="M45" i="17"/>
  <c r="M42" i="17"/>
  <c r="D42" i="17"/>
  <c r="E42" i="17"/>
  <c r="H42" i="17"/>
  <c r="I42" i="17"/>
  <c r="J42" i="17"/>
  <c r="K42" i="17"/>
  <c r="L42" i="17"/>
  <c r="N42" i="17"/>
  <c r="C42" i="23"/>
  <c r="B41" i="17"/>
  <c r="N45" i="17"/>
  <c r="O31" i="17"/>
  <c r="O32" i="17"/>
  <c r="O33" i="17"/>
  <c r="O34" i="17"/>
  <c r="O35" i="17"/>
  <c r="O38" i="17"/>
  <c r="N41" i="17"/>
  <c r="O41" i="17"/>
  <c r="N41" i="34"/>
  <c r="O41" i="34"/>
  <c r="T39" i="34"/>
  <c r="O35" i="34"/>
  <c r="T40" i="34"/>
  <c r="O33" i="34"/>
  <c r="T41" i="34"/>
  <c r="O31" i="34"/>
  <c r="T42" i="34"/>
  <c r="O32" i="34"/>
  <c r="T43" i="34"/>
  <c r="O34" i="34"/>
  <c r="T44" i="34"/>
  <c r="T45" i="34"/>
  <c r="S39" i="34"/>
  <c r="S40" i="34"/>
  <c r="S41" i="34"/>
  <c r="S42" i="34"/>
  <c r="S43" i="34"/>
  <c r="S44" i="34"/>
  <c r="S45" i="34"/>
  <c r="D42" i="34"/>
  <c r="K42" i="34"/>
  <c r="L42" i="34"/>
  <c r="N42" i="34"/>
  <c r="C43" i="34"/>
  <c r="D43" i="34"/>
  <c r="E43" i="34"/>
  <c r="F43" i="34"/>
  <c r="G43" i="34"/>
  <c r="H43" i="34"/>
  <c r="I43" i="34"/>
  <c r="J43" i="34"/>
  <c r="K43" i="34"/>
  <c r="L43" i="34"/>
  <c r="M43" i="34"/>
  <c r="N43" i="34"/>
  <c r="M41" i="34"/>
  <c r="L41" i="34"/>
  <c r="K41" i="34"/>
  <c r="J41" i="34"/>
  <c r="I41" i="34"/>
  <c r="H41" i="34"/>
  <c r="G41" i="34"/>
  <c r="F41" i="34"/>
  <c r="E41" i="34"/>
  <c r="D41" i="34"/>
  <c r="C41" i="34"/>
  <c r="S38" i="34"/>
  <c r="O38" i="34"/>
  <c r="T26" i="34"/>
  <c r="T27" i="34"/>
  <c r="T28" i="34"/>
  <c r="T29" i="34"/>
  <c r="T30" i="34"/>
  <c r="T31" i="34"/>
  <c r="T32" i="34"/>
  <c r="T33" i="34"/>
  <c r="T34" i="34"/>
  <c r="S23" i="34"/>
  <c r="N41" i="33"/>
  <c r="O41" i="33"/>
  <c r="T39" i="33"/>
  <c r="O35" i="33"/>
  <c r="T40" i="33"/>
  <c r="O33" i="33"/>
  <c r="T41" i="33"/>
  <c r="O31" i="33"/>
  <c r="T42" i="33"/>
  <c r="O32" i="33"/>
  <c r="T43" i="33"/>
  <c r="O34" i="33"/>
  <c r="T44" i="33"/>
  <c r="T45" i="33"/>
  <c r="S39" i="33"/>
  <c r="S40" i="33"/>
  <c r="S41" i="33"/>
  <c r="S42" i="33"/>
  <c r="S43" i="33"/>
  <c r="S44" i="33"/>
  <c r="S45" i="33"/>
  <c r="M45" i="33"/>
  <c r="N45" i="33"/>
  <c r="C42" i="33"/>
  <c r="D42" i="33"/>
  <c r="E42" i="33"/>
  <c r="F42" i="33"/>
  <c r="G42" i="33"/>
  <c r="H42" i="33"/>
  <c r="I42" i="33"/>
  <c r="J42" i="33"/>
  <c r="K42" i="33"/>
  <c r="L42" i="33"/>
  <c r="M42" i="33"/>
  <c r="N42" i="33"/>
  <c r="C43" i="33"/>
  <c r="D43" i="33"/>
  <c r="E43" i="33"/>
  <c r="F43" i="33"/>
  <c r="G43" i="33"/>
  <c r="H43" i="33"/>
  <c r="I43" i="33"/>
  <c r="J43" i="33"/>
  <c r="K43" i="33"/>
  <c r="L43" i="33"/>
  <c r="M43" i="33"/>
  <c r="N43" i="33"/>
  <c r="M41" i="33"/>
  <c r="L41" i="33"/>
  <c r="K41" i="33"/>
  <c r="J41" i="33"/>
  <c r="I41" i="33"/>
  <c r="H41" i="33"/>
  <c r="G41" i="33"/>
  <c r="F41" i="33"/>
  <c r="E41" i="33"/>
  <c r="D41" i="33"/>
  <c r="C41" i="33"/>
  <c r="B41" i="33"/>
  <c r="S38" i="33"/>
  <c r="O38" i="33"/>
  <c r="T26" i="33"/>
  <c r="T27" i="33"/>
  <c r="T28" i="33"/>
  <c r="T29" i="33"/>
  <c r="T30" i="33"/>
  <c r="T31" i="33"/>
  <c r="T32" i="33"/>
  <c r="T33" i="33"/>
  <c r="T34" i="33"/>
  <c r="S26" i="33"/>
  <c r="S27" i="33"/>
  <c r="S28" i="33"/>
  <c r="S29" i="33"/>
  <c r="S30" i="33"/>
  <c r="S31" i="33"/>
  <c r="S32" i="33"/>
  <c r="S33" i="33"/>
  <c r="S34" i="33"/>
  <c r="S23" i="33"/>
  <c r="N41" i="32"/>
  <c r="O41" i="32"/>
  <c r="T39" i="32"/>
  <c r="O35" i="32"/>
  <c r="T40" i="32"/>
  <c r="O33" i="32"/>
  <c r="T41" i="32"/>
  <c r="O31" i="32"/>
  <c r="T42" i="32"/>
  <c r="O32" i="32"/>
  <c r="T43" i="32"/>
  <c r="O34" i="32"/>
  <c r="T44" i="32"/>
  <c r="T45" i="32"/>
  <c r="S39" i="32"/>
  <c r="S40" i="32"/>
  <c r="S41" i="32"/>
  <c r="S42" i="32"/>
  <c r="S43" i="32"/>
  <c r="S44" i="32"/>
  <c r="S45" i="32"/>
  <c r="M45" i="32"/>
  <c r="N45" i="32"/>
  <c r="C42" i="32"/>
  <c r="D42" i="32"/>
  <c r="E42" i="32"/>
  <c r="F42" i="32"/>
  <c r="G42" i="32"/>
  <c r="H42" i="32"/>
  <c r="I42" i="32"/>
  <c r="J42" i="32"/>
  <c r="K42" i="32"/>
  <c r="L42" i="32"/>
  <c r="M42" i="32"/>
  <c r="N42" i="32"/>
  <c r="C43" i="32"/>
  <c r="D43" i="32"/>
  <c r="E43" i="32"/>
  <c r="F43" i="32"/>
  <c r="G43" i="32"/>
  <c r="H43" i="32"/>
  <c r="I43" i="32"/>
  <c r="J43" i="32"/>
  <c r="K43" i="32"/>
  <c r="L43" i="32"/>
  <c r="M43" i="32"/>
  <c r="N43" i="32"/>
  <c r="M41" i="32"/>
  <c r="L41" i="32"/>
  <c r="K41" i="32"/>
  <c r="J41" i="32"/>
  <c r="I41" i="32"/>
  <c r="H41" i="32"/>
  <c r="G41" i="32"/>
  <c r="F41" i="32"/>
  <c r="E41" i="32"/>
  <c r="D41" i="32"/>
  <c r="C41" i="32"/>
  <c r="B41" i="32"/>
  <c r="S38" i="32"/>
  <c r="O38" i="32"/>
  <c r="T26" i="32"/>
  <c r="T27" i="32"/>
  <c r="T28" i="32"/>
  <c r="T29" i="32"/>
  <c r="T30" i="32"/>
  <c r="T31" i="32"/>
  <c r="T32" i="32"/>
  <c r="T33" i="32"/>
  <c r="T34" i="32"/>
  <c r="S26" i="32"/>
  <c r="S27" i="32"/>
  <c r="S30" i="32"/>
  <c r="S28" i="32"/>
  <c r="S29" i="32"/>
  <c r="S31" i="32"/>
  <c r="S32" i="32"/>
  <c r="S33" i="32"/>
  <c r="S34" i="32"/>
  <c r="S23" i="32"/>
  <c r="O41" i="31"/>
  <c r="T39" i="31"/>
  <c r="O35" i="31"/>
  <c r="T40" i="31"/>
  <c r="O33" i="31"/>
  <c r="T41" i="31"/>
  <c r="O31" i="31"/>
  <c r="T42" i="31"/>
  <c r="O32" i="31"/>
  <c r="T43" i="31"/>
  <c r="O34" i="31"/>
  <c r="T44" i="31"/>
  <c r="T45" i="31"/>
  <c r="S40" i="31"/>
  <c r="S42" i="31"/>
  <c r="S43" i="31"/>
  <c r="S44" i="31"/>
  <c r="S45" i="31"/>
  <c r="N45" i="31"/>
  <c r="C42" i="31"/>
  <c r="D42" i="31"/>
  <c r="E42" i="31"/>
  <c r="H42" i="31"/>
  <c r="F42" i="31"/>
  <c r="I42" i="31"/>
  <c r="J42" i="31"/>
  <c r="K42" i="31"/>
  <c r="L42" i="31"/>
  <c r="N42" i="31"/>
  <c r="C43" i="31"/>
  <c r="D43" i="31"/>
  <c r="E43" i="31"/>
  <c r="F43" i="31"/>
  <c r="G43" i="31"/>
  <c r="H43" i="31"/>
  <c r="I43" i="31"/>
  <c r="J43" i="31"/>
  <c r="K43" i="31"/>
  <c r="L43" i="31"/>
  <c r="M43" i="31"/>
  <c r="N43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S38" i="31"/>
  <c r="O38" i="31"/>
  <c r="T26" i="31"/>
  <c r="T27" i="31"/>
  <c r="T28" i="31"/>
  <c r="T29" i="31"/>
  <c r="T30" i="31"/>
  <c r="T31" i="31"/>
  <c r="T32" i="31"/>
  <c r="T33" i="31"/>
  <c r="T34" i="31"/>
  <c r="S33" i="31"/>
  <c r="S28" i="31"/>
  <c r="S29" i="31"/>
  <c r="S30" i="31"/>
  <c r="S31" i="31"/>
  <c r="S32" i="31"/>
  <c r="S34" i="31"/>
  <c r="S23" i="31"/>
  <c r="N41" i="30"/>
  <c r="O41" i="30"/>
  <c r="T39" i="30"/>
  <c r="O35" i="30"/>
  <c r="T40" i="30"/>
  <c r="O33" i="30"/>
  <c r="T41" i="30"/>
  <c r="O31" i="30"/>
  <c r="T42" i="30"/>
  <c r="O32" i="30"/>
  <c r="T43" i="30"/>
  <c r="O34" i="30"/>
  <c r="T44" i="30"/>
  <c r="T45" i="30"/>
  <c r="S39" i="30"/>
  <c r="S40" i="30"/>
  <c r="S41" i="30"/>
  <c r="S42" i="30"/>
  <c r="S43" i="30"/>
  <c r="S44" i="30"/>
  <c r="S45" i="30"/>
  <c r="M45" i="30"/>
  <c r="N45" i="30"/>
  <c r="C42" i="30"/>
  <c r="D42" i="30"/>
  <c r="E42" i="30"/>
  <c r="F42" i="30"/>
  <c r="G42" i="30"/>
  <c r="H42" i="30"/>
  <c r="I42" i="30"/>
  <c r="J42" i="30"/>
  <c r="K42" i="30"/>
  <c r="L42" i="30"/>
  <c r="M42" i="30"/>
  <c r="N42" i="30"/>
  <c r="C43" i="30"/>
  <c r="D43" i="30"/>
  <c r="E43" i="30"/>
  <c r="F43" i="30"/>
  <c r="G43" i="30"/>
  <c r="H43" i="30"/>
  <c r="I43" i="30"/>
  <c r="J43" i="30"/>
  <c r="K43" i="30"/>
  <c r="L43" i="30"/>
  <c r="M43" i="30"/>
  <c r="N43" i="30"/>
  <c r="M41" i="30"/>
  <c r="L41" i="30"/>
  <c r="K41" i="30"/>
  <c r="J41" i="30"/>
  <c r="I41" i="30"/>
  <c r="H41" i="30"/>
  <c r="G41" i="30"/>
  <c r="F41" i="30"/>
  <c r="E41" i="30"/>
  <c r="D41" i="30"/>
  <c r="C41" i="30"/>
  <c r="B41" i="30"/>
  <c r="S38" i="30"/>
  <c r="O38" i="30"/>
  <c r="T26" i="30"/>
  <c r="T27" i="30"/>
  <c r="T28" i="30"/>
  <c r="T29" i="30"/>
  <c r="T30" i="30"/>
  <c r="T31" i="30"/>
  <c r="T32" i="30"/>
  <c r="T33" i="30"/>
  <c r="T34" i="30"/>
  <c r="S26" i="30"/>
  <c r="S27" i="30"/>
  <c r="S28" i="30"/>
  <c r="S29" i="30"/>
  <c r="S30" i="30"/>
  <c r="S31" i="30"/>
  <c r="S32" i="30"/>
  <c r="S33" i="30"/>
  <c r="S34" i="30"/>
  <c r="S23" i="30"/>
  <c r="N41" i="29"/>
  <c r="O41" i="29"/>
  <c r="T39" i="29"/>
  <c r="O35" i="29"/>
  <c r="T40" i="29"/>
  <c r="O33" i="29"/>
  <c r="T41" i="29"/>
  <c r="O31" i="29"/>
  <c r="T42" i="29"/>
  <c r="O32" i="29"/>
  <c r="T43" i="29"/>
  <c r="O34" i="29"/>
  <c r="T44" i="29"/>
  <c r="T45" i="29"/>
  <c r="S39" i="29"/>
  <c r="S40" i="29"/>
  <c r="S41" i="29"/>
  <c r="S42" i="29"/>
  <c r="S43" i="29"/>
  <c r="S44" i="29"/>
  <c r="S45" i="29"/>
  <c r="M45" i="29"/>
  <c r="N45" i="29"/>
  <c r="C42" i="29"/>
  <c r="D42" i="29"/>
  <c r="E42" i="29"/>
  <c r="G42" i="29"/>
  <c r="F42" i="29"/>
  <c r="H42" i="29"/>
  <c r="I42" i="29"/>
  <c r="J42" i="29"/>
  <c r="K42" i="29"/>
  <c r="L42" i="29"/>
  <c r="M42" i="29"/>
  <c r="N42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M41" i="29"/>
  <c r="L41" i="29"/>
  <c r="K41" i="29"/>
  <c r="J41" i="29"/>
  <c r="I41" i="29"/>
  <c r="H41" i="29"/>
  <c r="G41" i="29"/>
  <c r="F41" i="29"/>
  <c r="E41" i="29"/>
  <c r="D41" i="29"/>
  <c r="C41" i="29"/>
  <c r="B41" i="29"/>
  <c r="S38" i="29"/>
  <c r="O38" i="29"/>
  <c r="T26" i="29"/>
  <c r="T27" i="29"/>
  <c r="T28" i="29"/>
  <c r="T29" i="29"/>
  <c r="T30" i="29"/>
  <c r="T31" i="29"/>
  <c r="T32" i="29"/>
  <c r="T33" i="29"/>
  <c r="T34" i="29"/>
  <c r="S26" i="29"/>
  <c r="S27" i="29"/>
  <c r="S28" i="29"/>
  <c r="S29" i="29"/>
  <c r="S30" i="29"/>
  <c r="S31" i="29"/>
  <c r="S32" i="29"/>
  <c r="S33" i="29"/>
  <c r="S34" i="29"/>
  <c r="S23" i="29"/>
  <c r="N41" i="28"/>
  <c r="O41" i="28"/>
  <c r="T39" i="28"/>
  <c r="O33" i="28"/>
  <c r="T41" i="28"/>
  <c r="O35" i="28"/>
  <c r="T40" i="28"/>
  <c r="O31" i="28"/>
  <c r="T42" i="28"/>
  <c r="O32" i="28"/>
  <c r="T43" i="28"/>
  <c r="O34" i="28"/>
  <c r="T44" i="28"/>
  <c r="T45" i="28"/>
  <c r="S39" i="28"/>
  <c r="S41" i="28"/>
  <c r="S40" i="28"/>
  <c r="S42" i="28"/>
  <c r="S43" i="28"/>
  <c r="S44" i="28"/>
  <c r="S45" i="28"/>
  <c r="M45" i="28"/>
  <c r="N45" i="28"/>
  <c r="C42" i="28"/>
  <c r="D42" i="28"/>
  <c r="E42" i="28"/>
  <c r="F42" i="28"/>
  <c r="G42" i="28"/>
  <c r="H42" i="28"/>
  <c r="I42" i="28"/>
  <c r="J42" i="28"/>
  <c r="K42" i="28"/>
  <c r="L42" i="28"/>
  <c r="M42" i="28"/>
  <c r="N42" i="28"/>
  <c r="C43" i="28"/>
  <c r="D43" i="28"/>
  <c r="E43" i="28"/>
  <c r="F43" i="28"/>
  <c r="G43" i="28"/>
  <c r="H43" i="28"/>
  <c r="I43" i="28"/>
  <c r="J43" i="28"/>
  <c r="K43" i="28"/>
  <c r="L43" i="28"/>
  <c r="M43" i="28"/>
  <c r="N43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S38" i="28"/>
  <c r="O38" i="28"/>
  <c r="T26" i="28"/>
  <c r="T27" i="28"/>
  <c r="T28" i="28"/>
  <c r="T29" i="28"/>
  <c r="T30" i="28"/>
  <c r="T31" i="28"/>
  <c r="T32" i="28"/>
  <c r="T33" i="28"/>
  <c r="T34" i="28"/>
  <c r="S26" i="28"/>
  <c r="S27" i="28"/>
  <c r="S30" i="28"/>
  <c r="S28" i="28"/>
  <c r="S29" i="28"/>
  <c r="S31" i="28"/>
  <c r="S32" i="28"/>
  <c r="S33" i="28"/>
  <c r="S34" i="28"/>
  <c r="S23" i="28"/>
  <c r="N41" i="27"/>
  <c r="O41" i="27"/>
  <c r="T39" i="27"/>
  <c r="O35" i="27"/>
  <c r="T40" i="27"/>
  <c r="O33" i="27"/>
  <c r="T41" i="27"/>
  <c r="O31" i="27"/>
  <c r="T42" i="27"/>
  <c r="O32" i="27"/>
  <c r="T43" i="27"/>
  <c r="O34" i="27"/>
  <c r="T44" i="27"/>
  <c r="T45" i="27"/>
  <c r="S39" i="27"/>
  <c r="S40" i="27"/>
  <c r="S41" i="27"/>
  <c r="S42" i="27"/>
  <c r="S43" i="27"/>
  <c r="S44" i="27"/>
  <c r="S45" i="27"/>
  <c r="M45" i="27"/>
  <c r="N45" i="27"/>
  <c r="C42" i="27"/>
  <c r="D42" i="27"/>
  <c r="G42" i="27"/>
  <c r="E42" i="27"/>
  <c r="F42" i="27"/>
  <c r="H42" i="27"/>
  <c r="I42" i="27"/>
  <c r="J42" i="27"/>
  <c r="K42" i="27"/>
  <c r="L42" i="27"/>
  <c r="M42" i="27"/>
  <c r="N42" i="27"/>
  <c r="C43" i="27"/>
  <c r="D43" i="27"/>
  <c r="E43" i="27"/>
  <c r="F43" i="27"/>
  <c r="G43" i="27"/>
  <c r="H43" i="27"/>
  <c r="I43" i="27"/>
  <c r="J43" i="27"/>
  <c r="K43" i="27"/>
  <c r="L43" i="27"/>
  <c r="M43" i="27"/>
  <c r="N43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S38" i="27"/>
  <c r="O38" i="27"/>
  <c r="T26" i="27"/>
  <c r="T27" i="27"/>
  <c r="T28" i="27"/>
  <c r="T29" i="27"/>
  <c r="T30" i="27"/>
  <c r="T31" i="27"/>
  <c r="T32" i="27"/>
  <c r="T33" i="27"/>
  <c r="T34" i="27"/>
  <c r="S26" i="27"/>
  <c r="S27" i="27"/>
  <c r="S28" i="27"/>
  <c r="S29" i="27"/>
  <c r="S30" i="27"/>
  <c r="S31" i="27"/>
  <c r="S32" i="27"/>
  <c r="S33" i="27"/>
  <c r="S34" i="27"/>
  <c r="S23" i="27"/>
  <c r="N41" i="26"/>
  <c r="O41" i="26"/>
  <c r="T39" i="26"/>
  <c r="T40" i="26"/>
  <c r="T41" i="26"/>
  <c r="T42" i="26"/>
  <c r="T43" i="26"/>
  <c r="T44" i="26"/>
  <c r="T45" i="26"/>
  <c r="S39" i="26"/>
  <c r="S40" i="26"/>
  <c r="S41" i="26"/>
  <c r="S42" i="26"/>
  <c r="S43" i="26"/>
  <c r="S44" i="26"/>
  <c r="S45" i="26"/>
  <c r="M45" i="26"/>
  <c r="N45" i="26"/>
  <c r="C42" i="26"/>
  <c r="D42" i="26"/>
  <c r="E42" i="26"/>
  <c r="G42" i="26"/>
  <c r="H42" i="26"/>
  <c r="I42" i="26"/>
  <c r="J42" i="26"/>
  <c r="K42" i="26"/>
  <c r="L42" i="26"/>
  <c r="M42" i="26"/>
  <c r="N42" i="26"/>
  <c r="C43" i="26"/>
  <c r="D43" i="26"/>
  <c r="E43" i="26"/>
  <c r="F43" i="26"/>
  <c r="G43" i="26"/>
  <c r="H43" i="26"/>
  <c r="I43" i="26"/>
  <c r="J43" i="26"/>
  <c r="K43" i="26"/>
  <c r="L43" i="26"/>
  <c r="M43" i="26"/>
  <c r="N43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S38" i="26"/>
  <c r="T26" i="26"/>
  <c r="T27" i="26"/>
  <c r="T28" i="26"/>
  <c r="T29" i="26"/>
  <c r="T30" i="26"/>
  <c r="T31" i="26"/>
  <c r="T32" i="26"/>
  <c r="T33" i="26"/>
  <c r="T34" i="26"/>
  <c r="S26" i="26"/>
  <c r="S27" i="26"/>
  <c r="S30" i="26"/>
  <c r="S28" i="26"/>
  <c r="S29" i="26"/>
  <c r="S31" i="26"/>
  <c r="S32" i="26"/>
  <c r="S33" i="26"/>
  <c r="S34" i="26"/>
  <c r="S23" i="26"/>
  <c r="N41" i="25"/>
  <c r="O41" i="25"/>
  <c r="T39" i="25"/>
  <c r="O35" i="25"/>
  <c r="T40" i="25"/>
  <c r="O33" i="25"/>
  <c r="T41" i="25"/>
  <c r="O31" i="25"/>
  <c r="T42" i="25"/>
  <c r="O32" i="25"/>
  <c r="T43" i="25"/>
  <c r="O34" i="25"/>
  <c r="T44" i="25"/>
  <c r="T45" i="25"/>
  <c r="S39" i="25"/>
  <c r="S40" i="25"/>
  <c r="S41" i="25"/>
  <c r="S42" i="25"/>
  <c r="S43" i="25"/>
  <c r="S44" i="25"/>
  <c r="S45" i="25"/>
  <c r="M45" i="25"/>
  <c r="N45" i="25"/>
  <c r="C42" i="25"/>
  <c r="D42" i="25"/>
  <c r="E42" i="25"/>
  <c r="M42" i="25"/>
  <c r="F42" i="25"/>
  <c r="G42" i="25"/>
  <c r="H42" i="25"/>
  <c r="I42" i="25"/>
  <c r="J42" i="25"/>
  <c r="K42" i="25"/>
  <c r="L42" i="25"/>
  <c r="N42" i="25"/>
  <c r="C43" i="25"/>
  <c r="D43" i="25"/>
  <c r="E43" i="25"/>
  <c r="F43" i="25"/>
  <c r="G43" i="25"/>
  <c r="H43" i="25"/>
  <c r="I43" i="25"/>
  <c r="J43" i="25"/>
  <c r="K43" i="25"/>
  <c r="L43" i="25"/>
  <c r="M43" i="25"/>
  <c r="N43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S38" i="25"/>
  <c r="O38" i="25"/>
  <c r="T26" i="25"/>
  <c r="T27" i="25"/>
  <c r="T28" i="25"/>
  <c r="T29" i="25"/>
  <c r="T30" i="25"/>
  <c r="T31" i="25"/>
  <c r="T32" i="25"/>
  <c r="T33" i="25"/>
  <c r="T34" i="25"/>
  <c r="S26" i="25"/>
  <c r="S27" i="25"/>
  <c r="S28" i="25"/>
  <c r="S29" i="25"/>
  <c r="S30" i="25"/>
  <c r="S31" i="25"/>
  <c r="S32" i="25"/>
  <c r="S33" i="25"/>
  <c r="S34" i="25"/>
  <c r="S23" i="25"/>
  <c r="N41" i="24"/>
  <c r="O41" i="24"/>
  <c r="T39" i="24"/>
  <c r="O35" i="24"/>
  <c r="T40" i="24"/>
  <c r="O33" i="24"/>
  <c r="T41" i="24"/>
  <c r="O31" i="24"/>
  <c r="T42" i="24"/>
  <c r="O32" i="24"/>
  <c r="T43" i="24"/>
  <c r="O34" i="24"/>
  <c r="T44" i="24"/>
  <c r="T45" i="24"/>
  <c r="S39" i="24"/>
  <c r="S40" i="24"/>
  <c r="S41" i="24"/>
  <c r="S42" i="24"/>
  <c r="S43" i="24"/>
  <c r="S44" i="24"/>
  <c r="S45" i="24"/>
  <c r="M45" i="24"/>
  <c r="N45" i="24"/>
  <c r="C42" i="24"/>
  <c r="D42" i="24"/>
  <c r="E42" i="24"/>
  <c r="G42" i="24"/>
  <c r="F42" i="24"/>
  <c r="H42" i="24"/>
  <c r="I42" i="24"/>
  <c r="J42" i="24"/>
  <c r="K42" i="24"/>
  <c r="L42" i="24"/>
  <c r="M42" i="24"/>
  <c r="N42" i="24"/>
  <c r="C43" i="24"/>
  <c r="D43" i="24"/>
  <c r="E43" i="24"/>
  <c r="F43" i="24"/>
  <c r="G43" i="24"/>
  <c r="H43" i="24"/>
  <c r="I43" i="24"/>
  <c r="J43" i="24"/>
  <c r="K43" i="24"/>
  <c r="L43" i="24"/>
  <c r="M43" i="24"/>
  <c r="N43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S38" i="24"/>
  <c r="O38" i="24"/>
  <c r="T26" i="24"/>
  <c r="T27" i="24"/>
  <c r="T28" i="24"/>
  <c r="T29" i="24"/>
  <c r="T30" i="24"/>
  <c r="T31" i="24"/>
  <c r="T32" i="24"/>
  <c r="T33" i="24"/>
  <c r="T34" i="24"/>
  <c r="S26" i="24"/>
  <c r="S27" i="24"/>
  <c r="S30" i="24"/>
  <c r="S28" i="24"/>
  <c r="S29" i="24"/>
  <c r="S31" i="24"/>
  <c r="S32" i="24"/>
  <c r="S33" i="24"/>
  <c r="S34" i="24"/>
  <c r="S23" i="24"/>
  <c r="N41" i="23"/>
  <c r="S39" i="23"/>
  <c r="S40" i="23"/>
  <c r="S41" i="23"/>
  <c r="S42" i="23"/>
  <c r="S44" i="23"/>
  <c r="M45" i="23"/>
  <c r="N45" i="23"/>
  <c r="D42" i="23"/>
  <c r="H42" i="23"/>
  <c r="F42" i="23"/>
  <c r="G42" i="23"/>
  <c r="I42" i="23"/>
  <c r="J42" i="23"/>
  <c r="K42" i="23"/>
  <c r="L42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S38" i="23"/>
  <c r="S27" i="23"/>
  <c r="S28" i="23"/>
  <c r="S29" i="23"/>
  <c r="S33" i="23"/>
  <c r="S31" i="23"/>
  <c r="S32" i="23"/>
  <c r="N41" i="22"/>
  <c r="O41" i="22"/>
  <c r="T39" i="22"/>
  <c r="O35" i="22"/>
  <c r="T40" i="22"/>
  <c r="O33" i="22"/>
  <c r="T41" i="22"/>
  <c r="O31" i="22"/>
  <c r="T42" i="22"/>
  <c r="O32" i="22"/>
  <c r="T43" i="22"/>
  <c r="O34" i="22"/>
  <c r="T44" i="22"/>
  <c r="T45" i="22"/>
  <c r="S39" i="22"/>
  <c r="S40" i="22"/>
  <c r="S41" i="22"/>
  <c r="S42" i="22"/>
  <c r="S43" i="22"/>
  <c r="S44" i="22"/>
  <c r="S45" i="22"/>
  <c r="M45" i="22"/>
  <c r="N45" i="22"/>
  <c r="C42" i="22"/>
  <c r="D42" i="22"/>
  <c r="E42" i="22"/>
  <c r="C41" i="22"/>
  <c r="F42" i="22"/>
  <c r="G42" i="22"/>
  <c r="H42" i="22"/>
  <c r="I42" i="22"/>
  <c r="J42" i="22"/>
  <c r="K42" i="22"/>
  <c r="L42" i="22"/>
  <c r="M42" i="22"/>
  <c r="N42" i="22"/>
  <c r="C43" i="22"/>
  <c r="D43" i="22"/>
  <c r="E43" i="22"/>
  <c r="F43" i="22"/>
  <c r="G43" i="22"/>
  <c r="H43" i="22"/>
  <c r="I43" i="22"/>
  <c r="J43" i="22"/>
  <c r="K43" i="22"/>
  <c r="L43" i="22"/>
  <c r="M43" i="22"/>
  <c r="N43" i="22"/>
  <c r="M41" i="22"/>
  <c r="L41" i="22"/>
  <c r="K41" i="22"/>
  <c r="J41" i="22"/>
  <c r="I41" i="22"/>
  <c r="H41" i="22"/>
  <c r="G41" i="22"/>
  <c r="F41" i="22"/>
  <c r="E41" i="22"/>
  <c r="D41" i="22"/>
  <c r="B41" i="22"/>
  <c r="S38" i="22"/>
  <c r="O38" i="22"/>
  <c r="T26" i="22"/>
  <c r="T27" i="22"/>
  <c r="T28" i="22"/>
  <c r="T29" i="22"/>
  <c r="T30" i="22"/>
  <c r="T31" i="22"/>
  <c r="T32" i="22"/>
  <c r="T33" i="22"/>
  <c r="T34" i="22"/>
  <c r="S26" i="22"/>
  <c r="S27" i="22"/>
  <c r="S30" i="22"/>
  <c r="S28" i="22"/>
  <c r="S29" i="22"/>
  <c r="S31" i="22"/>
  <c r="S32" i="22"/>
  <c r="S33" i="22"/>
  <c r="S34" i="22"/>
  <c r="S23" i="22"/>
  <c r="N41" i="21"/>
  <c r="O41" i="21"/>
  <c r="T39" i="21"/>
  <c r="O35" i="21"/>
  <c r="T40" i="21"/>
  <c r="O33" i="21"/>
  <c r="T41" i="21"/>
  <c r="O31" i="21"/>
  <c r="T42" i="21"/>
  <c r="O32" i="21"/>
  <c r="T43" i="21"/>
  <c r="O34" i="21"/>
  <c r="T44" i="21"/>
  <c r="T45" i="21"/>
  <c r="S39" i="21"/>
  <c r="S40" i="21"/>
  <c r="S41" i="21"/>
  <c r="S42" i="21"/>
  <c r="S43" i="21"/>
  <c r="S44" i="21"/>
  <c r="S45" i="21"/>
  <c r="M45" i="21"/>
  <c r="N45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S38" i="21"/>
  <c r="O38" i="21"/>
  <c r="T26" i="21"/>
  <c r="T27" i="21"/>
  <c r="T28" i="21"/>
  <c r="T29" i="21"/>
  <c r="T30" i="21"/>
  <c r="T31" i="21"/>
  <c r="T32" i="21"/>
  <c r="T33" i="21"/>
  <c r="T34" i="21"/>
  <c r="S26" i="21"/>
  <c r="S27" i="21"/>
  <c r="S30" i="21"/>
  <c r="S28" i="21"/>
  <c r="S29" i="21"/>
  <c r="S31" i="21"/>
  <c r="S32" i="21"/>
  <c r="S33" i="21"/>
  <c r="S34" i="21"/>
  <c r="S23" i="21"/>
  <c r="N41" i="20"/>
  <c r="O41" i="20"/>
  <c r="T39" i="20"/>
  <c r="O35" i="20"/>
  <c r="T40" i="20"/>
  <c r="O33" i="20"/>
  <c r="T41" i="20"/>
  <c r="O31" i="20"/>
  <c r="T42" i="20"/>
  <c r="O32" i="20"/>
  <c r="T43" i="20"/>
  <c r="O34" i="20"/>
  <c r="T44" i="20"/>
  <c r="T45" i="20"/>
  <c r="S39" i="20"/>
  <c r="S40" i="20"/>
  <c r="S41" i="20"/>
  <c r="S42" i="20"/>
  <c r="S43" i="20"/>
  <c r="S44" i="20"/>
  <c r="S45" i="20"/>
  <c r="M45" i="20"/>
  <c r="N45" i="20"/>
  <c r="C42" i="20"/>
  <c r="D42" i="20"/>
  <c r="E42" i="20"/>
  <c r="G42" i="20"/>
  <c r="F42" i="20"/>
  <c r="H42" i="20"/>
  <c r="I42" i="20"/>
  <c r="J42" i="20"/>
  <c r="K42" i="20"/>
  <c r="L42" i="20"/>
  <c r="M42" i="20"/>
  <c r="N42" i="20"/>
  <c r="C43" i="20"/>
  <c r="D43" i="20"/>
  <c r="E43" i="20"/>
  <c r="F43" i="20"/>
  <c r="G43" i="20"/>
  <c r="H43" i="20"/>
  <c r="I43" i="20"/>
  <c r="J43" i="20"/>
  <c r="K43" i="20"/>
  <c r="L43" i="20"/>
  <c r="M43" i="20"/>
  <c r="N43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S38" i="20"/>
  <c r="O38" i="20"/>
  <c r="T26" i="20"/>
  <c r="T27" i="20"/>
  <c r="T28" i="20"/>
  <c r="T29" i="20"/>
  <c r="T30" i="20"/>
  <c r="T31" i="20"/>
  <c r="T32" i="20"/>
  <c r="T33" i="20"/>
  <c r="T34" i="20"/>
  <c r="S26" i="20"/>
  <c r="S27" i="20"/>
  <c r="S28" i="20"/>
  <c r="S29" i="20"/>
  <c r="S30" i="20"/>
  <c r="S31" i="20"/>
  <c r="S32" i="20"/>
  <c r="S33" i="20"/>
  <c r="S34" i="20"/>
  <c r="S23" i="20"/>
  <c r="N41" i="19"/>
  <c r="O41" i="19"/>
  <c r="T39" i="19"/>
  <c r="O35" i="19"/>
  <c r="T40" i="19"/>
  <c r="O33" i="19"/>
  <c r="T41" i="19"/>
  <c r="O31" i="19"/>
  <c r="T42" i="19"/>
  <c r="O32" i="19"/>
  <c r="T43" i="19"/>
  <c r="O34" i="19"/>
  <c r="T44" i="19"/>
  <c r="T45" i="19"/>
  <c r="S39" i="19"/>
  <c r="S40" i="19"/>
  <c r="S41" i="19"/>
  <c r="S42" i="19"/>
  <c r="S43" i="19"/>
  <c r="S44" i="19"/>
  <c r="S45" i="19"/>
  <c r="M45" i="19"/>
  <c r="N45" i="19"/>
  <c r="C42" i="19"/>
  <c r="E42" i="19"/>
  <c r="F42" i="19"/>
  <c r="G42" i="19"/>
  <c r="H42" i="19"/>
  <c r="I42" i="19"/>
  <c r="J42" i="19"/>
  <c r="K42" i="19"/>
  <c r="L42" i="19"/>
  <c r="M42" i="19"/>
  <c r="N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S38" i="19"/>
  <c r="O38" i="19"/>
  <c r="T26" i="19"/>
  <c r="T27" i="19"/>
  <c r="T28" i="19"/>
  <c r="T29" i="19"/>
  <c r="T30" i="19"/>
  <c r="T31" i="19"/>
  <c r="T32" i="19"/>
  <c r="T33" i="19"/>
  <c r="T34" i="19"/>
  <c r="S26" i="19"/>
  <c r="S27" i="19"/>
  <c r="S30" i="19"/>
  <c r="S28" i="19"/>
  <c r="S29" i="19"/>
  <c r="S31" i="19"/>
  <c r="S32" i="19"/>
  <c r="S33" i="19"/>
  <c r="S34" i="19"/>
  <c r="S23" i="19"/>
  <c r="N41" i="18"/>
  <c r="O41" i="18"/>
  <c r="T39" i="18"/>
  <c r="O32" i="18"/>
  <c r="T43" i="18"/>
  <c r="O35" i="18"/>
  <c r="T40" i="18"/>
  <c r="O33" i="18"/>
  <c r="T41" i="18"/>
  <c r="O31" i="18"/>
  <c r="T42" i="18"/>
  <c r="O34" i="18"/>
  <c r="T44" i="18"/>
  <c r="T45" i="18"/>
  <c r="S39" i="18"/>
  <c r="S43" i="18"/>
  <c r="S40" i="18"/>
  <c r="S41" i="18"/>
  <c r="S42" i="18"/>
  <c r="S44" i="18"/>
  <c r="S45" i="18"/>
  <c r="M45" i="18"/>
  <c r="N45" i="18"/>
  <c r="C42" i="18"/>
  <c r="D42" i="18"/>
  <c r="E42" i="18"/>
  <c r="F42" i="18"/>
  <c r="G42" i="18"/>
  <c r="M42" i="18"/>
  <c r="H42" i="18"/>
  <c r="I42" i="18"/>
  <c r="J42" i="18"/>
  <c r="K42" i="18"/>
  <c r="L42" i="18"/>
  <c r="N42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S38" i="18"/>
  <c r="O38" i="18"/>
  <c r="T26" i="18"/>
  <c r="T27" i="18"/>
  <c r="T28" i="18"/>
  <c r="T29" i="18"/>
  <c r="T30" i="18"/>
  <c r="T31" i="18"/>
  <c r="T32" i="18"/>
  <c r="T33" i="18"/>
  <c r="T34" i="18"/>
  <c r="S26" i="18"/>
  <c r="S27" i="18"/>
  <c r="S28" i="18"/>
  <c r="S29" i="18"/>
  <c r="S30" i="18"/>
  <c r="S31" i="18"/>
  <c r="S32" i="18"/>
  <c r="S33" i="18"/>
  <c r="S34" i="18"/>
  <c r="S23" i="18"/>
  <c r="T39" i="17"/>
  <c r="T40" i="17"/>
  <c r="T41" i="17"/>
  <c r="T42" i="17"/>
  <c r="T43" i="17"/>
  <c r="T44" i="17"/>
  <c r="T45" i="17"/>
  <c r="S39" i="17"/>
  <c r="S40" i="17"/>
  <c r="S41" i="17"/>
  <c r="S42" i="17"/>
  <c r="S43" i="17"/>
  <c r="S44" i="17"/>
  <c r="S45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M41" i="17"/>
  <c r="L41" i="17"/>
  <c r="K41" i="17"/>
  <c r="J41" i="17"/>
  <c r="I41" i="17"/>
  <c r="H41" i="17"/>
  <c r="G41" i="17"/>
  <c r="F41" i="17"/>
  <c r="E41" i="17"/>
  <c r="D41" i="17"/>
  <c r="C41" i="17"/>
  <c r="S38" i="17"/>
  <c r="T26" i="17"/>
  <c r="T27" i="17"/>
  <c r="T28" i="17"/>
  <c r="T29" i="17"/>
  <c r="T30" i="17"/>
  <c r="T31" i="17"/>
  <c r="T32" i="17"/>
  <c r="T33" i="17"/>
  <c r="T34" i="17"/>
  <c r="S26" i="17"/>
  <c r="S28" i="17"/>
  <c r="S29" i="17"/>
  <c r="S30" i="17"/>
  <c r="S31" i="17"/>
  <c r="S32" i="17"/>
  <c r="S33" i="17"/>
  <c r="S34" i="17"/>
  <c r="S23" i="17"/>
  <c r="N41" i="16"/>
  <c r="O41" i="16"/>
  <c r="T39" i="16"/>
  <c r="O35" i="16"/>
  <c r="T40" i="16"/>
  <c r="O33" i="16"/>
  <c r="T41" i="16"/>
  <c r="O31" i="16"/>
  <c r="T42" i="16"/>
  <c r="O32" i="16"/>
  <c r="T43" i="16"/>
  <c r="O34" i="16"/>
  <c r="T44" i="16"/>
  <c r="T45" i="16"/>
  <c r="S39" i="16"/>
  <c r="S40" i="16"/>
  <c r="S41" i="16"/>
  <c r="S42" i="16"/>
  <c r="S43" i="16"/>
  <c r="S44" i="16"/>
  <c r="S45" i="16"/>
  <c r="M45" i="16"/>
  <c r="N45" i="16"/>
  <c r="C42" i="16"/>
  <c r="D42" i="16"/>
  <c r="E42" i="16"/>
  <c r="G42" i="16"/>
  <c r="F42" i="16"/>
  <c r="H42" i="16"/>
  <c r="I42" i="16"/>
  <c r="J42" i="16"/>
  <c r="K42" i="16"/>
  <c r="L42" i="16"/>
  <c r="M42" i="16"/>
  <c r="N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S38" i="16"/>
  <c r="O38" i="16"/>
  <c r="T26" i="16"/>
  <c r="T27" i="16"/>
  <c r="T28" i="16"/>
  <c r="T29" i="16"/>
  <c r="T30" i="16"/>
  <c r="T31" i="16"/>
  <c r="T32" i="16"/>
  <c r="T33" i="16"/>
  <c r="T34" i="16"/>
  <c r="S26" i="16"/>
  <c r="S27" i="16"/>
  <c r="S28" i="16"/>
  <c r="S29" i="16"/>
  <c r="S30" i="16"/>
  <c r="S31" i="16"/>
  <c r="S32" i="16"/>
  <c r="S33" i="16"/>
  <c r="S34" i="16"/>
  <c r="S23" i="16"/>
  <c r="N41" i="15"/>
  <c r="O41" i="15"/>
  <c r="T39" i="15"/>
  <c r="O35" i="15"/>
  <c r="T40" i="15"/>
  <c r="O33" i="15"/>
  <c r="T41" i="15"/>
  <c r="O31" i="15"/>
  <c r="T42" i="15"/>
  <c r="O32" i="15"/>
  <c r="T43" i="15"/>
  <c r="O34" i="15"/>
  <c r="T44" i="15"/>
  <c r="T45" i="15"/>
  <c r="S39" i="15"/>
  <c r="S40" i="15"/>
  <c r="S41" i="15"/>
  <c r="S42" i="15"/>
  <c r="S43" i="15"/>
  <c r="S44" i="15"/>
  <c r="S45" i="15"/>
  <c r="M45" i="15"/>
  <c r="N45" i="15"/>
  <c r="C42" i="15"/>
  <c r="E42" i="15"/>
  <c r="D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S38" i="15"/>
  <c r="O38" i="15"/>
  <c r="T26" i="15"/>
  <c r="T27" i="15"/>
  <c r="T28" i="15"/>
  <c r="T29" i="15"/>
  <c r="T30" i="15"/>
  <c r="T31" i="15"/>
  <c r="T32" i="15"/>
  <c r="T33" i="15"/>
  <c r="T34" i="15"/>
  <c r="S26" i="15"/>
  <c r="S27" i="15"/>
  <c r="S28" i="15"/>
  <c r="S29" i="15"/>
  <c r="S30" i="15"/>
  <c r="S31" i="15"/>
  <c r="S32" i="15"/>
  <c r="S33" i="15"/>
  <c r="S34" i="15"/>
  <c r="S23" i="15"/>
  <c r="N41" i="14"/>
  <c r="O41" i="14"/>
  <c r="T39" i="14"/>
  <c r="O35" i="14"/>
  <c r="T40" i="14"/>
  <c r="O33" i="14"/>
  <c r="T41" i="14"/>
  <c r="O31" i="14"/>
  <c r="T42" i="14"/>
  <c r="O32" i="14"/>
  <c r="T43" i="14"/>
  <c r="O34" i="14"/>
  <c r="T44" i="14"/>
  <c r="T45" i="14"/>
  <c r="S39" i="14"/>
  <c r="S40" i="14"/>
  <c r="S41" i="14"/>
  <c r="S42" i="14"/>
  <c r="S43" i="14"/>
  <c r="S44" i="14"/>
  <c r="S45" i="14"/>
  <c r="M45" i="14"/>
  <c r="N45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S38" i="14"/>
  <c r="O38" i="14"/>
  <c r="T26" i="14"/>
  <c r="T27" i="14"/>
  <c r="T28" i="14"/>
  <c r="T29" i="14"/>
  <c r="T30" i="14"/>
  <c r="T31" i="14"/>
  <c r="T32" i="14"/>
  <c r="T33" i="14"/>
  <c r="T34" i="14"/>
  <c r="S26" i="14"/>
  <c r="S27" i="14"/>
  <c r="S28" i="14"/>
  <c r="S29" i="14"/>
  <c r="S30" i="14"/>
  <c r="S31" i="14"/>
  <c r="S32" i="14"/>
  <c r="S33" i="14"/>
  <c r="S34" i="14"/>
  <c r="S23" i="14"/>
  <c r="N41" i="13"/>
  <c r="O41" i="13"/>
  <c r="T39" i="13"/>
  <c r="O35" i="13"/>
  <c r="T40" i="13"/>
  <c r="O33" i="13"/>
  <c r="T41" i="13"/>
  <c r="O31" i="13"/>
  <c r="T42" i="13"/>
  <c r="O32" i="13"/>
  <c r="T43" i="13"/>
  <c r="O34" i="13"/>
  <c r="T44" i="13"/>
  <c r="T45" i="13"/>
  <c r="S39" i="13"/>
  <c r="S40" i="13"/>
  <c r="S41" i="13"/>
  <c r="S42" i="13"/>
  <c r="S43" i="13"/>
  <c r="S44" i="13"/>
  <c r="S45" i="13"/>
  <c r="M45" i="13"/>
  <c r="N45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S38" i="13"/>
  <c r="O38" i="13"/>
  <c r="T26" i="13"/>
  <c r="T27" i="13"/>
  <c r="T28" i="13"/>
  <c r="T29" i="13"/>
  <c r="T30" i="13"/>
  <c r="T31" i="13"/>
  <c r="T32" i="13"/>
  <c r="T33" i="13"/>
  <c r="T34" i="13"/>
  <c r="S26" i="13"/>
  <c r="S27" i="13"/>
  <c r="S28" i="13"/>
  <c r="S29" i="13"/>
  <c r="S30" i="13"/>
  <c r="S31" i="13"/>
  <c r="S32" i="13"/>
  <c r="S33" i="13"/>
  <c r="S34" i="13"/>
  <c r="S23" i="13"/>
  <c r="N41" i="12"/>
  <c r="S39" i="12"/>
  <c r="S40" i="12"/>
  <c r="S41" i="12"/>
  <c r="S42" i="12"/>
  <c r="S44" i="12"/>
  <c r="M45" i="12"/>
  <c r="N45" i="12"/>
  <c r="C42" i="12"/>
  <c r="M42" i="12"/>
  <c r="L42" i="12"/>
  <c r="K42" i="12"/>
  <c r="J42" i="12"/>
  <c r="I42" i="12"/>
  <c r="H42" i="12"/>
  <c r="F42" i="12"/>
  <c r="E42" i="12"/>
  <c r="D42" i="12"/>
  <c r="M41" i="12"/>
  <c r="L41" i="12"/>
  <c r="K41" i="12"/>
  <c r="J41" i="12"/>
  <c r="I41" i="12"/>
  <c r="H41" i="12"/>
  <c r="G41" i="12"/>
  <c r="F41" i="12"/>
  <c r="E41" i="12"/>
  <c r="D41" i="12"/>
  <c r="C41" i="12"/>
  <c r="S38" i="12"/>
  <c r="S26" i="12"/>
  <c r="S33" i="12"/>
  <c r="S32" i="12"/>
  <c r="S31" i="12"/>
  <c r="S30" i="12"/>
  <c r="S29" i="12"/>
  <c r="S28" i="12"/>
  <c r="N41" i="11"/>
  <c r="O41" i="11"/>
  <c r="T39" i="11"/>
  <c r="O35" i="11"/>
  <c r="T40" i="11"/>
  <c r="O33" i="11"/>
  <c r="T41" i="11"/>
  <c r="O31" i="11"/>
  <c r="T42" i="11"/>
  <c r="O32" i="11"/>
  <c r="T43" i="11"/>
  <c r="O34" i="11"/>
  <c r="T44" i="11"/>
  <c r="T45" i="11"/>
  <c r="S39" i="11"/>
  <c r="S40" i="11"/>
  <c r="S41" i="11"/>
  <c r="S42" i="11"/>
  <c r="S43" i="11"/>
  <c r="S44" i="11"/>
  <c r="S45" i="11"/>
  <c r="M45" i="11"/>
  <c r="N45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S38" i="11"/>
  <c r="O38" i="11"/>
  <c r="T26" i="11"/>
  <c r="T27" i="11"/>
  <c r="T28" i="11"/>
  <c r="T29" i="11"/>
  <c r="T30" i="11"/>
  <c r="T31" i="11"/>
  <c r="T32" i="11"/>
  <c r="T33" i="11"/>
  <c r="T34" i="11"/>
  <c r="S26" i="11"/>
  <c r="S27" i="11"/>
  <c r="S28" i="11"/>
  <c r="S29" i="11"/>
  <c r="S30" i="11"/>
  <c r="S31" i="11"/>
  <c r="S32" i="11"/>
  <c r="S33" i="11"/>
  <c r="S34" i="11"/>
  <c r="S23" i="11"/>
  <c r="N41" i="10"/>
  <c r="O41" i="10"/>
  <c r="T39" i="10"/>
  <c r="O35" i="10"/>
  <c r="T40" i="10"/>
  <c r="O33" i="10"/>
  <c r="T41" i="10"/>
  <c r="O31" i="10"/>
  <c r="T42" i="10"/>
  <c r="O32" i="10"/>
  <c r="T43" i="10"/>
  <c r="O34" i="10"/>
  <c r="T44" i="10"/>
  <c r="T45" i="10"/>
  <c r="S39" i="10"/>
  <c r="S40" i="10"/>
  <c r="S41" i="10"/>
  <c r="S42" i="10"/>
  <c r="S43" i="10"/>
  <c r="S44" i="10"/>
  <c r="S45" i="10"/>
  <c r="C42" i="10"/>
  <c r="D42" i="10"/>
  <c r="E42" i="10"/>
  <c r="F42" i="10"/>
  <c r="G42" i="10"/>
  <c r="H42" i="10"/>
  <c r="I42" i="10"/>
  <c r="J42" i="10"/>
  <c r="K42" i="10"/>
  <c r="L42" i="10"/>
  <c r="M42" i="10"/>
  <c r="D41" i="10"/>
  <c r="N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M41" i="10"/>
  <c r="L41" i="10"/>
  <c r="K41" i="10"/>
  <c r="J41" i="10"/>
  <c r="I41" i="10"/>
  <c r="H41" i="10"/>
  <c r="G41" i="10"/>
  <c r="F41" i="10"/>
  <c r="E41" i="10"/>
  <c r="C41" i="10"/>
  <c r="B41" i="10"/>
  <c r="S38" i="10"/>
  <c r="O38" i="10"/>
  <c r="T26" i="10"/>
  <c r="T27" i="10"/>
  <c r="T28" i="10"/>
  <c r="T29" i="10"/>
  <c r="T30" i="10"/>
  <c r="T31" i="10"/>
  <c r="T32" i="10"/>
  <c r="T33" i="10"/>
  <c r="T34" i="10"/>
  <c r="S26" i="10"/>
  <c r="S27" i="10"/>
  <c r="S28" i="10"/>
  <c r="S29" i="10"/>
  <c r="S30" i="10"/>
  <c r="S31" i="10"/>
  <c r="S32" i="10"/>
  <c r="S33" i="10"/>
  <c r="S34" i="10"/>
  <c r="S23" i="10"/>
  <c r="N41" i="9"/>
  <c r="O41" i="9"/>
  <c r="T39" i="9"/>
  <c r="O35" i="9"/>
  <c r="T40" i="9"/>
  <c r="O33" i="9"/>
  <c r="T41" i="9"/>
  <c r="O31" i="9"/>
  <c r="T42" i="9"/>
  <c r="O32" i="9"/>
  <c r="T43" i="9"/>
  <c r="O34" i="9"/>
  <c r="T44" i="9"/>
  <c r="T45" i="9"/>
  <c r="S39" i="9"/>
  <c r="S40" i="9"/>
  <c r="S41" i="9"/>
  <c r="S42" i="9"/>
  <c r="S43" i="9"/>
  <c r="S44" i="9"/>
  <c r="S45" i="9"/>
  <c r="M45" i="9"/>
  <c r="N45" i="9"/>
  <c r="C42" i="9"/>
  <c r="D42" i="9"/>
  <c r="E42" i="9"/>
  <c r="F42" i="9"/>
  <c r="G42" i="9"/>
  <c r="H42" i="9"/>
  <c r="I42" i="9"/>
  <c r="J42" i="9"/>
  <c r="K42" i="9"/>
  <c r="L42" i="9"/>
  <c r="M42" i="9"/>
  <c r="N42" i="9"/>
  <c r="C43" i="9"/>
  <c r="D43" i="9"/>
  <c r="E43" i="9"/>
  <c r="F43" i="9"/>
  <c r="G43" i="9"/>
  <c r="H43" i="9"/>
  <c r="I43" i="9"/>
  <c r="J43" i="9"/>
  <c r="K43" i="9"/>
  <c r="L43" i="9"/>
  <c r="M43" i="9"/>
  <c r="N43" i="9"/>
  <c r="M41" i="9"/>
  <c r="L41" i="9"/>
  <c r="K41" i="9"/>
  <c r="J41" i="9"/>
  <c r="I41" i="9"/>
  <c r="H41" i="9"/>
  <c r="G41" i="9"/>
  <c r="F41" i="9"/>
  <c r="E41" i="9"/>
  <c r="D41" i="9"/>
  <c r="C41" i="9"/>
  <c r="B41" i="9"/>
  <c r="S38" i="9"/>
  <c r="O38" i="9"/>
  <c r="T26" i="9"/>
  <c r="T27" i="9"/>
  <c r="T28" i="9"/>
  <c r="T29" i="9"/>
  <c r="T30" i="9"/>
  <c r="T31" i="9"/>
  <c r="T32" i="9"/>
  <c r="T33" i="9"/>
  <c r="T34" i="9"/>
  <c r="S26" i="9"/>
  <c r="S27" i="9"/>
  <c r="S28" i="9"/>
  <c r="S29" i="9"/>
  <c r="S30" i="9"/>
  <c r="S31" i="9"/>
  <c r="S32" i="9"/>
  <c r="S33" i="9"/>
  <c r="S34" i="9"/>
  <c r="S23" i="9"/>
  <c r="N41" i="8"/>
  <c r="O41" i="8"/>
  <c r="T39" i="8"/>
  <c r="O35" i="8"/>
  <c r="T40" i="8"/>
  <c r="O33" i="8"/>
  <c r="T41" i="8"/>
  <c r="O31" i="8"/>
  <c r="T42" i="8"/>
  <c r="O32" i="8"/>
  <c r="T43" i="8"/>
  <c r="O34" i="8"/>
  <c r="T44" i="8"/>
  <c r="T45" i="8"/>
  <c r="S39" i="8"/>
  <c r="S40" i="8"/>
  <c r="S41" i="8"/>
  <c r="S42" i="8"/>
  <c r="S43" i="8"/>
  <c r="S44" i="8"/>
  <c r="S45" i="8"/>
  <c r="M45" i="8"/>
  <c r="N45" i="8"/>
  <c r="C42" i="8"/>
  <c r="D42" i="8"/>
  <c r="E42" i="8"/>
  <c r="F42" i="8"/>
  <c r="G42" i="8"/>
  <c r="H42" i="8"/>
  <c r="I42" i="8"/>
  <c r="J42" i="8"/>
  <c r="K42" i="8"/>
  <c r="L42" i="8"/>
  <c r="M42" i="8"/>
  <c r="N42" i="8"/>
  <c r="C43" i="8"/>
  <c r="D43" i="8"/>
  <c r="E43" i="8"/>
  <c r="F43" i="8"/>
  <c r="G43" i="8"/>
  <c r="H43" i="8"/>
  <c r="I43" i="8"/>
  <c r="J43" i="8"/>
  <c r="K43" i="8"/>
  <c r="L43" i="8"/>
  <c r="M43" i="8"/>
  <c r="N43" i="8"/>
  <c r="M41" i="8"/>
  <c r="L41" i="8"/>
  <c r="K41" i="8"/>
  <c r="J41" i="8"/>
  <c r="I41" i="8"/>
  <c r="H41" i="8"/>
  <c r="G41" i="8"/>
  <c r="F41" i="8"/>
  <c r="E41" i="8"/>
  <c r="D41" i="8"/>
  <c r="C41" i="8"/>
  <c r="B41" i="8"/>
  <c r="S38" i="8"/>
  <c r="O38" i="8"/>
  <c r="T26" i="8"/>
  <c r="T27" i="8"/>
  <c r="T28" i="8"/>
  <c r="T29" i="8"/>
  <c r="T30" i="8"/>
  <c r="T31" i="8"/>
  <c r="T32" i="8"/>
  <c r="T33" i="8"/>
  <c r="T34" i="8"/>
  <c r="S26" i="8"/>
  <c r="S27" i="8"/>
  <c r="S28" i="8"/>
  <c r="S29" i="8"/>
  <c r="S30" i="8"/>
  <c r="S31" i="8"/>
  <c r="S32" i="8"/>
  <c r="S33" i="8"/>
  <c r="S34" i="8"/>
  <c r="S23" i="8"/>
  <c r="N41" i="7"/>
  <c r="O41" i="7"/>
  <c r="T39" i="7"/>
  <c r="O35" i="7"/>
  <c r="T40" i="7"/>
  <c r="O33" i="7"/>
  <c r="T41" i="7"/>
  <c r="O31" i="7"/>
  <c r="T42" i="7"/>
  <c r="T43" i="7"/>
  <c r="O34" i="7"/>
  <c r="T44" i="7"/>
  <c r="T45" i="7"/>
  <c r="S39" i="7"/>
  <c r="S40" i="7"/>
  <c r="S41" i="7"/>
  <c r="S42" i="7"/>
  <c r="S43" i="7"/>
  <c r="S44" i="7"/>
  <c r="S45" i="7"/>
  <c r="M45" i="7"/>
  <c r="N45" i="7"/>
  <c r="C42" i="7"/>
  <c r="G42" i="7"/>
  <c r="D42" i="7"/>
  <c r="E42" i="7"/>
  <c r="F42" i="7"/>
  <c r="H42" i="7"/>
  <c r="I42" i="7"/>
  <c r="J42" i="7"/>
  <c r="K42" i="7"/>
  <c r="L42" i="7"/>
  <c r="M42" i="7"/>
  <c r="N42" i="7"/>
  <c r="C43" i="7"/>
  <c r="D43" i="7"/>
  <c r="E43" i="7"/>
  <c r="F43" i="7"/>
  <c r="G43" i="7"/>
  <c r="H43" i="7"/>
  <c r="I43" i="7"/>
  <c r="J43" i="7"/>
  <c r="K43" i="7"/>
  <c r="L43" i="7"/>
  <c r="M43" i="7"/>
  <c r="N43" i="7"/>
  <c r="M41" i="7"/>
  <c r="L41" i="7"/>
  <c r="K41" i="7"/>
  <c r="J41" i="7"/>
  <c r="I41" i="7"/>
  <c r="H41" i="7"/>
  <c r="F41" i="7"/>
  <c r="E41" i="7"/>
  <c r="D41" i="7"/>
  <c r="C41" i="7"/>
  <c r="B41" i="7"/>
  <c r="S38" i="7"/>
  <c r="O38" i="7"/>
  <c r="T26" i="7"/>
  <c r="T27" i="7"/>
  <c r="T28" i="7"/>
  <c r="T29" i="7"/>
  <c r="T30" i="7"/>
  <c r="T31" i="7"/>
  <c r="T32" i="7"/>
  <c r="T33" i="7"/>
  <c r="T34" i="7"/>
  <c r="S26" i="7"/>
  <c r="S27" i="7"/>
  <c r="S31" i="7"/>
  <c r="S28" i="7"/>
  <c r="S29" i="7"/>
  <c r="S30" i="7"/>
  <c r="S32" i="7"/>
  <c r="S33" i="7"/>
  <c r="S34" i="7"/>
  <c r="S23" i="7"/>
  <c r="O35" i="6"/>
  <c r="T40" i="6"/>
  <c r="O33" i="6"/>
  <c r="T41" i="6"/>
  <c r="O31" i="6"/>
  <c r="T42" i="6"/>
  <c r="O32" i="6"/>
  <c r="T43" i="6"/>
  <c r="O34" i="6"/>
  <c r="T44" i="6"/>
  <c r="S40" i="6"/>
  <c r="S41" i="6"/>
  <c r="S42" i="6"/>
  <c r="S43" i="6"/>
  <c r="S44" i="6"/>
  <c r="M45" i="6"/>
  <c r="N45" i="6"/>
  <c r="D42" i="6"/>
  <c r="E42" i="6"/>
  <c r="F42" i="6"/>
  <c r="G42" i="6"/>
  <c r="H42" i="6"/>
  <c r="I42" i="6"/>
  <c r="J42" i="6"/>
  <c r="K42" i="6"/>
  <c r="L42" i="6"/>
  <c r="M42" i="6"/>
  <c r="L41" i="6"/>
  <c r="K41" i="6"/>
  <c r="J41" i="6"/>
  <c r="I41" i="6"/>
  <c r="H41" i="6"/>
  <c r="F41" i="6"/>
  <c r="E41" i="6"/>
  <c r="D41" i="6"/>
  <c r="C41" i="6"/>
  <c r="B41" i="6"/>
  <c r="S38" i="6"/>
  <c r="O38" i="6"/>
  <c r="S26" i="6"/>
  <c r="S27" i="6"/>
  <c r="S28" i="6"/>
  <c r="S29" i="6"/>
  <c r="S30" i="6"/>
  <c r="S32" i="6"/>
  <c r="S33" i="6"/>
  <c r="N41" i="5"/>
  <c r="O41" i="5"/>
  <c r="T39" i="5"/>
  <c r="O35" i="5"/>
  <c r="T40" i="5"/>
  <c r="O33" i="5"/>
  <c r="T41" i="5"/>
  <c r="O31" i="5"/>
  <c r="T42" i="5"/>
  <c r="O32" i="5"/>
  <c r="T43" i="5"/>
  <c r="O34" i="5"/>
  <c r="T44" i="5"/>
  <c r="T45" i="5"/>
  <c r="S39" i="5"/>
  <c r="S40" i="5"/>
  <c r="S41" i="5"/>
  <c r="S42" i="5"/>
  <c r="S43" i="5"/>
  <c r="S44" i="5"/>
  <c r="S45" i="5"/>
  <c r="C42" i="5"/>
  <c r="D42" i="5"/>
  <c r="E42" i="5"/>
  <c r="F42" i="5"/>
  <c r="G42" i="5"/>
  <c r="H42" i="5"/>
  <c r="I42" i="5"/>
  <c r="J42" i="5"/>
  <c r="K42" i="5"/>
  <c r="L42" i="5"/>
  <c r="M42" i="5"/>
  <c r="N42" i="5"/>
  <c r="C43" i="5"/>
  <c r="D43" i="5"/>
  <c r="E43" i="5"/>
  <c r="F43" i="5"/>
  <c r="G43" i="5"/>
  <c r="H43" i="5"/>
  <c r="I43" i="5"/>
  <c r="J43" i="5"/>
  <c r="K43" i="5"/>
  <c r="L43" i="5"/>
  <c r="M43" i="5"/>
  <c r="N43" i="5"/>
  <c r="M41" i="5"/>
  <c r="L41" i="5"/>
  <c r="K41" i="5"/>
  <c r="J41" i="5"/>
  <c r="I41" i="5"/>
  <c r="H41" i="5"/>
  <c r="G41" i="5"/>
  <c r="F41" i="5"/>
  <c r="E41" i="5"/>
  <c r="D41" i="5"/>
  <c r="C41" i="5"/>
  <c r="B41" i="5"/>
  <c r="S38" i="5"/>
  <c r="O38" i="5"/>
  <c r="T26" i="5"/>
  <c r="T27" i="5"/>
  <c r="T28" i="5"/>
  <c r="T29" i="5"/>
  <c r="T30" i="5"/>
  <c r="T31" i="5"/>
  <c r="T32" i="5"/>
  <c r="T33" i="5"/>
  <c r="T34" i="5"/>
  <c r="S26" i="5"/>
  <c r="S27" i="5"/>
  <c r="S28" i="5"/>
  <c r="S29" i="5"/>
  <c r="S30" i="5"/>
  <c r="S31" i="5"/>
  <c r="S32" i="5"/>
  <c r="S33" i="5"/>
  <c r="S34" i="5"/>
  <c r="S23" i="5"/>
  <c r="N41" i="4"/>
  <c r="O41" i="4"/>
  <c r="T39" i="4"/>
  <c r="O35" i="4"/>
  <c r="T40" i="4"/>
  <c r="O33" i="4"/>
  <c r="T41" i="4"/>
  <c r="O31" i="4"/>
  <c r="T42" i="4"/>
  <c r="O32" i="4"/>
  <c r="T43" i="4"/>
  <c r="O34" i="4"/>
  <c r="T44" i="4"/>
  <c r="T45" i="4"/>
  <c r="S39" i="4"/>
  <c r="S40" i="4"/>
  <c r="S41" i="4"/>
  <c r="S42" i="4"/>
  <c r="S43" i="4"/>
  <c r="S44" i="4"/>
  <c r="S45" i="4"/>
  <c r="M45" i="4"/>
  <c r="N45" i="4"/>
  <c r="C42" i="4"/>
  <c r="D42" i="4"/>
  <c r="E42" i="4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M41" i="4"/>
  <c r="L41" i="4"/>
  <c r="K41" i="4"/>
  <c r="J41" i="4"/>
  <c r="I41" i="4"/>
  <c r="H41" i="4"/>
  <c r="G41" i="4"/>
  <c r="F41" i="4"/>
  <c r="E41" i="4"/>
  <c r="D41" i="4"/>
  <c r="C41" i="4"/>
  <c r="B41" i="4"/>
  <c r="S38" i="4"/>
  <c r="O38" i="4"/>
  <c r="T26" i="4"/>
  <c r="T27" i="4"/>
  <c r="T28" i="4"/>
  <c r="T29" i="4"/>
  <c r="T30" i="4"/>
  <c r="T31" i="4"/>
  <c r="T32" i="4"/>
  <c r="T33" i="4"/>
  <c r="T34" i="4"/>
  <c r="S26" i="4"/>
  <c r="S27" i="4"/>
  <c r="S28" i="4"/>
  <c r="S29" i="4"/>
  <c r="S30" i="4"/>
  <c r="S31" i="4"/>
  <c r="S32" i="4"/>
  <c r="S33" i="4"/>
  <c r="S34" i="4"/>
  <c r="S23" i="4"/>
  <c r="N41" i="3"/>
  <c r="O41" i="3"/>
  <c r="T39" i="3"/>
  <c r="O35" i="3"/>
  <c r="T40" i="3"/>
  <c r="O33" i="3"/>
  <c r="T41" i="3"/>
  <c r="O31" i="3"/>
  <c r="T42" i="3"/>
  <c r="O32" i="3"/>
  <c r="T43" i="3"/>
  <c r="O34" i="3"/>
  <c r="T44" i="3"/>
  <c r="T45" i="3"/>
  <c r="S39" i="3"/>
  <c r="S40" i="3"/>
  <c r="S41" i="3"/>
  <c r="S42" i="3"/>
  <c r="S43" i="3"/>
  <c r="S44" i="3"/>
  <c r="S45" i="3"/>
  <c r="M45" i="3"/>
  <c r="N45" i="3"/>
  <c r="C42" i="3"/>
  <c r="D42" i="3"/>
  <c r="E42" i="3"/>
  <c r="F42" i="3"/>
  <c r="G42" i="3"/>
  <c r="H42" i="3"/>
  <c r="I42" i="3"/>
  <c r="J42" i="3"/>
  <c r="K42" i="3"/>
  <c r="L42" i="3"/>
  <c r="M42" i="3"/>
  <c r="N42" i="3"/>
  <c r="C43" i="3"/>
  <c r="D43" i="3"/>
  <c r="E43" i="3"/>
  <c r="F43" i="3"/>
  <c r="G43" i="3"/>
  <c r="H43" i="3"/>
  <c r="I43" i="3"/>
  <c r="J43" i="3"/>
  <c r="K43" i="3"/>
  <c r="L43" i="3"/>
  <c r="M43" i="3"/>
  <c r="N43" i="3"/>
  <c r="M41" i="3"/>
  <c r="L41" i="3"/>
  <c r="K41" i="3"/>
  <c r="J41" i="3"/>
  <c r="I41" i="3"/>
  <c r="H41" i="3"/>
  <c r="G41" i="3"/>
  <c r="F41" i="3"/>
  <c r="E41" i="3"/>
  <c r="D41" i="3"/>
  <c r="C41" i="3"/>
  <c r="B41" i="3"/>
  <c r="S38" i="3"/>
  <c r="O38" i="3"/>
  <c r="T26" i="3"/>
  <c r="T27" i="3"/>
  <c r="T28" i="3"/>
  <c r="T29" i="3"/>
  <c r="T30" i="3"/>
  <c r="T31" i="3"/>
  <c r="T32" i="3"/>
  <c r="T33" i="3"/>
  <c r="T34" i="3"/>
  <c r="S26" i="3"/>
  <c r="S27" i="3"/>
  <c r="S28" i="3"/>
  <c r="S29" i="3"/>
  <c r="S30" i="3"/>
  <c r="S31" i="3"/>
  <c r="S32" i="3"/>
  <c r="S33" i="3"/>
  <c r="S34" i="3"/>
  <c r="S23" i="3"/>
  <c r="O41" i="2"/>
  <c r="T39" i="2"/>
  <c r="O35" i="2"/>
  <c r="T40" i="2"/>
  <c r="O33" i="2"/>
  <c r="T41" i="2"/>
  <c r="O31" i="2"/>
  <c r="T42" i="2"/>
  <c r="O32" i="2"/>
  <c r="T43" i="2"/>
  <c r="O34" i="2"/>
  <c r="T44" i="2"/>
  <c r="T45" i="2"/>
  <c r="C42" i="2"/>
  <c r="D42" i="2"/>
  <c r="E42" i="2"/>
  <c r="F42" i="2"/>
  <c r="H42" i="2"/>
  <c r="I42" i="2"/>
  <c r="J42" i="2"/>
  <c r="K42" i="2"/>
  <c r="L42" i="2"/>
  <c r="M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M41" i="2"/>
  <c r="L41" i="2"/>
  <c r="K41" i="2"/>
  <c r="J41" i="2"/>
  <c r="I41" i="2"/>
  <c r="H41" i="2"/>
  <c r="G41" i="2"/>
  <c r="F41" i="2"/>
  <c r="E41" i="2"/>
  <c r="D41" i="2"/>
  <c r="C41" i="2"/>
  <c r="B41" i="2"/>
  <c r="S38" i="2"/>
  <c r="O38" i="2"/>
  <c r="T26" i="2"/>
  <c r="T27" i="2"/>
  <c r="T28" i="2"/>
  <c r="T29" i="2"/>
  <c r="T30" i="2"/>
  <c r="T31" i="2"/>
  <c r="T32" i="2"/>
  <c r="T33" i="2"/>
  <c r="T34" i="2"/>
  <c r="S26" i="2"/>
  <c r="S28" i="2"/>
  <c r="S29" i="2"/>
  <c r="S30" i="2"/>
  <c r="S31" i="2"/>
  <c r="S32" i="2"/>
  <c r="S33" i="2"/>
  <c r="S34" i="2"/>
  <c r="S23" i="2"/>
  <c r="G42" i="12"/>
  <c r="N42" i="12"/>
  <c r="S23" i="12"/>
  <c r="S27" i="12"/>
  <c r="S34" i="12"/>
  <c r="M43" i="12"/>
  <c r="T26" i="12"/>
  <c r="G43" i="12"/>
  <c r="T27" i="12"/>
  <c r="J43" i="12"/>
  <c r="T28" i="12"/>
  <c r="F43" i="12"/>
  <c r="T29" i="12"/>
  <c r="E43" i="12"/>
  <c r="T30" i="12"/>
  <c r="C43" i="12"/>
  <c r="T31" i="12"/>
  <c r="I43" i="12"/>
  <c r="T32" i="12"/>
  <c r="H43" i="12"/>
  <c r="T33" i="12"/>
  <c r="T34" i="12"/>
  <c r="D43" i="12"/>
  <c r="K43" i="12"/>
  <c r="L43" i="12"/>
  <c r="N43" i="12"/>
  <c r="S43" i="12"/>
  <c r="S45" i="12"/>
  <c r="O41" i="12"/>
  <c r="T39" i="12"/>
  <c r="O35" i="12"/>
  <c r="T40" i="12"/>
  <c r="O33" i="12"/>
  <c r="T41" i="12"/>
  <c r="O31" i="12"/>
  <c r="T42" i="12"/>
  <c r="O32" i="12"/>
  <c r="T43" i="12"/>
  <c r="O34" i="12"/>
  <c r="T44" i="12"/>
  <c r="T45" i="12"/>
  <c r="O38" i="12"/>
  <c r="E42" i="23"/>
  <c r="S30" i="23"/>
  <c r="O31" i="23"/>
  <c r="O32" i="23"/>
  <c r="O33" i="23"/>
  <c r="O34" i="23"/>
  <c r="O35" i="23"/>
  <c r="O38" i="23"/>
  <c r="S43" i="23"/>
  <c r="S45" i="23"/>
  <c r="T40" i="23"/>
  <c r="T41" i="23"/>
  <c r="T42" i="23"/>
  <c r="T43" i="23"/>
  <c r="T44" i="23"/>
  <c r="O41" i="23"/>
  <c r="T39" i="23"/>
  <c r="T45" i="23"/>
  <c r="N41" i="6"/>
  <c r="O41" i="6"/>
  <c r="T39" i="6"/>
  <c r="T45" i="6"/>
  <c r="S39" i="6"/>
  <c r="S45" i="6"/>
  <c r="C42" i="6"/>
  <c r="N42" i="6"/>
  <c r="D43" i="6"/>
  <c r="K43" i="6"/>
  <c r="L43" i="6"/>
  <c r="C43" i="6"/>
  <c r="E43" i="6"/>
  <c r="F43" i="6"/>
  <c r="G43" i="6"/>
  <c r="H43" i="6"/>
  <c r="I43" i="6"/>
  <c r="J43" i="6"/>
  <c r="M43" i="6"/>
  <c r="N43" i="6"/>
  <c r="M41" i="6"/>
  <c r="T27" i="6"/>
  <c r="T28" i="6"/>
  <c r="T29" i="6"/>
  <c r="T30" i="6"/>
  <c r="T31" i="6"/>
  <c r="T32" i="6"/>
  <c r="T33" i="6"/>
  <c r="T26" i="6"/>
  <c r="T34" i="6"/>
  <c r="S31" i="6"/>
  <c r="S34" i="6"/>
  <c r="S23" i="6"/>
  <c r="M42" i="23"/>
  <c r="N42" i="23"/>
  <c r="S23" i="23"/>
  <c r="S26" i="23"/>
  <c r="S34" i="23"/>
  <c r="G43" i="23"/>
  <c r="T27" i="23"/>
  <c r="J43" i="23"/>
  <c r="T28" i="23"/>
  <c r="F43" i="23"/>
  <c r="T29" i="23"/>
  <c r="E43" i="23"/>
  <c r="T30" i="23"/>
  <c r="C43" i="23"/>
  <c r="T31" i="23"/>
  <c r="I43" i="23"/>
  <c r="T32" i="23"/>
  <c r="H43" i="23"/>
  <c r="T33" i="23"/>
  <c r="M43" i="23"/>
  <c r="T26" i="23"/>
  <c r="T34" i="23"/>
  <c r="D43" i="23"/>
  <c r="K43" i="23"/>
  <c r="L43" i="23"/>
  <c r="N43" i="23"/>
</calcChain>
</file>

<file path=xl/comments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<sst xmlns="http://schemas.openxmlformats.org/spreadsheetml/2006/main" count="3343" uniqueCount="107">
  <si>
    <t>Elproduktion och bränsleanvändning (MWh) efter tid, region, produktionssätt och bränsletyp</t>
  </si>
  <si>
    <t>1214 Svalöv</t>
  </si>
  <si>
    <t>Elproduktion</t>
  </si>
  <si>
    <t>Olja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</si>
  <si>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</si>
  <si>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</si>
  <si>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</si>
  <si>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</si>
  <si>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</si>
  <si>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</si>
  <si>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</si>
  <si>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</si>
  <si>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</si>
  <si>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</si>
  <si>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</si>
  <si>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</si>
  <si>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</si>
  <si>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</si>
  <si>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</si>
  <si>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</si>
  <si>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</si>
  <si>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</si>
  <si>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</si>
  <si>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</si>
  <si>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</si>
  <si>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</si>
  <si>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</si>
  <si>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</si>
  <si>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</si>
  <si>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</si>
  <si>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</si>
  <si>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</si>
  <si>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</si>
  <si>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Biobränsle</t>
  </si>
  <si>
    <t>Summa förbrukarkategori</t>
  </si>
  <si>
    <t>Gasol</t>
  </si>
  <si>
    <t>slutanv. jordbruk,skogsbruk,fiske</t>
  </si>
  <si>
    <t>Jord, skog</t>
  </si>
  <si>
    <t>Oljeprodukter</t>
  </si>
  <si>
    <t>slutanv. industri, byggverks.</t>
  </si>
  <si>
    <t>industri</t>
  </si>
  <si>
    <t>Etanol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</si>
  <si>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</si>
  <si>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</si>
  <si>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</si>
  <si>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</si>
  <si>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</si>
  <si>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</si>
  <si>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</si>
  <si>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</si>
  <si>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</si>
  <si>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</si>
  <si>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</si>
  <si>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</si>
  <si>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</si>
  <si>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</si>
  <si>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</si>
  <si>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</si>
  <si>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</si>
  <si>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</si>
  <si>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</si>
  <si>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</si>
  <si>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</si>
  <si>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1230 Staffanstorp</t>
  </si>
  <si>
    <t>1231 Burlöv</t>
  </si>
  <si>
    <t>1233 Vellinge</t>
  </si>
  <si>
    <t>1256 Östra Göinge</t>
  </si>
  <si>
    <t>1257 Örkelljunga</t>
  </si>
  <si>
    <t>1260 Bjuv</t>
  </si>
  <si>
    <t>1261 Kävlinge</t>
  </si>
  <si>
    <t>1262 Lomma</t>
  </si>
  <si>
    <t>1263 Svedala</t>
  </si>
  <si>
    <t>1264 Skurup</t>
  </si>
  <si>
    <t>1265 Sjöbo</t>
  </si>
  <si>
    <t>1266 Hörby</t>
  </si>
  <si>
    <t>1267 Höör</t>
  </si>
  <si>
    <t>1270 Tomelilla</t>
  </si>
  <si>
    <t>1272 Bromölla</t>
  </si>
  <si>
    <t>1273 Osby</t>
  </si>
  <si>
    <t>1275 Perstorp</t>
  </si>
  <si>
    <t>1276 Klippan</t>
  </si>
  <si>
    <t>1277 Åstorp</t>
  </si>
  <si>
    <t>1278 Båstad</t>
  </si>
  <si>
    <t>1280 Malmö</t>
  </si>
  <si>
    <t>1281 Lund</t>
  </si>
  <si>
    <t>1282 Landskrona</t>
  </si>
  <si>
    <t>1283 Helsingborg</t>
  </si>
  <si>
    <t>1284 Höganäs</t>
  </si>
  <si>
    <t>1285 Eslöv</t>
  </si>
  <si>
    <t>1286 Ystad</t>
  </si>
  <si>
    <t>1287 Trelleborg</t>
  </si>
  <si>
    <t>1290 Kristianstad</t>
  </si>
  <si>
    <t>1291 Simrishamn</t>
  </si>
  <si>
    <t>1292 Ängelholm</t>
  </si>
  <si>
    <t>1293 Hässleholm</t>
  </si>
  <si>
    <t>Förluster i %</t>
  </si>
  <si>
    <t>Övrigt (Rökg)</t>
  </si>
  <si>
    <t>EXPORT</t>
  </si>
  <si>
    <t>Import</t>
  </si>
  <si>
    <t>Export</t>
  </si>
  <si>
    <t>IMPORT</t>
  </si>
  <si>
    <t>Skåne län</t>
  </si>
  <si>
    <t>Kol/koks</t>
  </si>
  <si>
    <t>El tillförd</t>
  </si>
  <si>
    <t>Export - import</t>
  </si>
  <si>
    <t>(till Sölvesborg)</t>
  </si>
  <si>
    <t>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</si>
</sst>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  <font>
      <i/>
      <sz val="12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33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1" applyFont="1" applyFill="1" applyProtection="1"/>
    <xf numFmtId="0" fontId="5" fillId="0" borderId="0" xfId="1" applyFill="1" applyProtection="1"/>
    <xf numFmtId="0" fontId="7" fillId="0" borderId="0" xfId="1" applyFont="1"/>
    <xf numFmtId="0" fontId="8" fillId="0" borderId="0" xfId="0" applyFont="1"/>
    <xf numFmtId="0" fontId="9" fillId="0" borderId="0" xfId="1" applyFont="1" applyFill="1" applyProtection="1"/>
    <xf numFmtId="3" fontId="5" fillId="0" borderId="0" xfId="1" applyNumberFormat="1"/>
    <xf numFmtId="0" fontId="5" fillId="0" borderId="0" xfId="1"/>
    <xf numFmtId="0" fontId="9" fillId="0" borderId="0" xfId="0" applyFont="1" applyFill="1" applyProtection="1"/>
    <xf numFmtId="3" fontId="10" fillId="0" borderId="0" xfId="0" applyNumberFormat="1" applyFont="1"/>
    <xf numFmtId="3" fontId="5" fillId="0" borderId="0" xfId="1" applyNumberFormat="1" applyFill="1" applyProtection="1"/>
    <xf numFmtId="3" fontId="11" fillId="0" borderId="0" xfId="1" applyNumberFormat="1" applyFont="1" applyFill="1" applyProtection="1"/>
    <xf numFmtId="164" fontId="5" fillId="0" borderId="0" xfId="1" applyNumberFormat="1"/>
    <xf numFmtId="4" fontId="5" fillId="0" borderId="0" xfId="1" applyNumberFormat="1"/>
    <xf numFmtId="165" fontId="5" fillId="0" borderId="0" xfId="1" applyNumberFormat="1"/>
    <xf numFmtId="10" fontId="5" fillId="0" borderId="0" xfId="1" applyNumberFormat="1"/>
    <xf numFmtId="165" fontId="12" fillId="0" borderId="0" xfId="1" applyNumberFormat="1" applyFont="1"/>
    <xf numFmtId="165" fontId="7" fillId="0" borderId="0" xfId="1" applyNumberFormat="1" applyFont="1"/>
    <xf numFmtId="3" fontId="10" fillId="0" borderId="0" xfId="0" applyNumberFormat="1" applyFont="1" applyAlignment="1">
      <alignment horizontal="right"/>
    </xf>
    <xf numFmtId="166" fontId="5" fillId="0" borderId="0" xfId="1" applyNumberFormat="1"/>
    <xf numFmtId="2" fontId="5" fillId="0" borderId="0" xfId="1" applyNumberFormat="1"/>
    <xf numFmtId="0" fontId="13" fillId="0" borderId="0" xfId="1" applyFont="1"/>
    <xf numFmtId="3" fontId="13" fillId="0" borderId="0" xfId="1" applyNumberFormat="1" applyFont="1"/>
    <xf numFmtId="3" fontId="12" fillId="0" borderId="0" xfId="1" applyNumberFormat="1" applyFont="1"/>
    <xf numFmtId="3" fontId="12" fillId="2" borderId="0" xfId="1" applyNumberFormat="1" applyFont="1" applyFill="1"/>
    <xf numFmtId="3" fontId="14" fillId="2" borderId="0" xfId="1" applyNumberFormat="1" applyFont="1" applyFill="1"/>
    <xf numFmtId="3" fontId="5" fillId="2" borderId="0" xfId="1" applyNumberFormat="1" applyFill="1"/>
    <xf numFmtId="0" fontId="10" fillId="0" borderId="0" xfId="0" applyFont="1"/>
    <xf numFmtId="0" fontId="10" fillId="0" borderId="0" xfId="0" applyFont="1" applyAlignment="1">
      <alignment horizontal="right"/>
    </xf>
    <xf numFmtId="1" fontId="5" fillId="0" borderId="0" xfId="1" applyNumberFormat="1"/>
    <xf numFmtId="165" fontId="12" fillId="0" borderId="0" xfId="2" applyNumberFormat="1" applyFont="1"/>
    <xf numFmtId="165" fontId="4" fillId="0" borderId="0" xfId="2" applyNumberFormat="1" applyFont="1"/>
    <xf numFmtId="3" fontId="14" fillId="0" borderId="0" xfId="1" applyNumberFormat="1" applyFont="1"/>
    <xf numFmtId="9" fontId="14" fillId="0" borderId="0" xfId="2" applyFont="1"/>
    <xf numFmtId="0" fontId="5" fillId="0" borderId="0" xfId="1" applyAlignment="1">
      <alignment horizontal="right"/>
    </xf>
    <xf numFmtId="3" fontId="5" fillId="0" borderId="0" xfId="1" applyNumberFormat="1" applyAlignment="1">
      <alignment horizontal="right"/>
    </xf>
    <xf numFmtId="9" fontId="14" fillId="0" borderId="0" xfId="2" applyNumberFormat="1" applyFont="1"/>
    <xf numFmtId="9" fontId="4" fillId="0" borderId="0" xfId="2" applyFont="1"/>
    <xf numFmtId="165" fontId="3" fillId="0" borderId="0" xfId="2" applyNumberFormat="1" applyFont="1"/>
    <xf numFmtId="9" fontId="3" fillId="0" borderId="0" xfId="2" applyFont="1"/>
    <xf numFmtId="1" fontId="5" fillId="4" borderId="0" xfId="33" applyNumberFormat="1" applyFont="1" applyFill="1"/>
    <xf numFmtId="9" fontId="10" fillId="3" borderId="0" xfId="0" applyNumberFormat="1" applyFont="1" applyFill="1"/>
    <xf numFmtId="9" fontId="10" fillId="4" borderId="0" xfId="0" applyNumberFormat="1" applyFont="1" applyFill="1"/>
    <xf numFmtId="3" fontId="10" fillId="0" borderId="0" xfId="0" applyNumberFormat="1" applyFont="1" applyFill="1"/>
    <xf numFmtId="3" fontId="10" fillId="6" borderId="0" xfId="0" applyNumberFormat="1" applyFont="1" applyFill="1"/>
    <xf numFmtId="1" fontId="10" fillId="0" borderId="0" xfId="0" applyNumberFormat="1" applyFont="1"/>
    <xf numFmtId="2" fontId="7" fillId="0" borderId="0" xfId="1" applyNumberFormat="1" applyFont="1"/>
    <xf numFmtId="9" fontId="10" fillId="0" borderId="0" xfId="33" applyFont="1"/>
    <xf numFmtId="3" fontId="20" fillId="0" borderId="0" xfId="0" applyNumberFormat="1" applyFont="1" applyFill="1"/>
    <xf numFmtId="3" fontId="5" fillId="5" borderId="0" xfId="1" applyNumberFormat="1" applyFill="1" applyProtection="1"/>
    <xf numFmtId="3" fontId="19" fillId="0" borderId="0" xfId="0" applyNumberFormat="1" applyFont="1"/>
    <xf numFmtId="0" fontId="21" fillId="0" borderId="0" xfId="1" applyFont="1" applyFill="1" applyProtection="1"/>
    <xf numFmtId="3" fontId="21" fillId="0" borderId="0" xfId="1" applyNumberFormat="1" applyFont="1" applyFill="1" applyProtection="1"/>
    <xf numFmtId="165" fontId="10" fillId="4" borderId="0" xfId="0" applyNumberFormat="1" applyFont="1" applyFill="1"/>
    <xf numFmtId="9" fontId="5" fillId="0" borderId="0" xfId="33" applyFont="1" applyFill="1" applyProtection="1"/>
    <xf numFmtId="3" fontId="7" fillId="0" borderId="0" xfId="1" applyNumberFormat="1" applyFont="1"/>
    <xf numFmtId="3" fontId="19" fillId="0" borderId="0" xfId="0" applyNumberFormat="1" applyFont="1" applyFill="1"/>
    <xf numFmtId="3" fontId="19" fillId="0" borderId="0" xfId="0" applyNumberFormat="1" applyFont="1" applyAlignment="1">
      <alignment horizontal="right"/>
    </xf>
    <xf numFmtId="0" fontId="0" fillId="0" borderId="0" xfId="0" applyFill="1" applyProtection="1"/>
    <xf numFmtId="3" fontId="0" fillId="0" borderId="0" xfId="0" applyNumberFormat="1" applyFill="1" applyProtection="1"/>
    <xf numFmtId="0" fontId="0" fillId="0" borderId="0" xfId="0" applyFill="1" applyAlignment="1" applyProtection="1">
      <alignment horizontal="right"/>
    </xf>
    <xf numFmtId="3" fontId="10" fillId="0" borderId="0" xfId="0" applyNumberFormat="1" applyFont="1" applyFill="1" applyBorder="1"/>
    <xf numFmtId="3" fontId="19" fillId="0" borderId="0" xfId="0" applyNumberFormat="1" applyFont="1" applyFill="1" applyAlignment="1">
      <alignment horizontal="right"/>
    </xf>
    <xf numFmtId="0" fontId="22" fillId="0" borderId="0" xfId="1" applyFont="1" applyFill="1"/>
    <xf numFmtId="1" fontId="21" fillId="0" borderId="0" xfId="1" applyNumberFormat="1" applyFont="1" applyFill="1" applyProtection="1"/>
    <xf numFmtId="0" fontId="19" fillId="0" borderId="0" xfId="0" applyFont="1" applyFill="1"/>
    <xf numFmtId="3" fontId="23" fillId="0" borderId="0" xfId="0" applyNumberFormat="1" applyFont="1" applyFill="1"/>
    <xf numFmtId="166" fontId="10" fillId="0" borderId="0" xfId="0" applyNumberFormat="1" applyFont="1" applyAlignment="1">
      <alignment horizontal="right"/>
    </xf>
    <xf numFmtId="9" fontId="5" fillId="0" borderId="0" xfId="33" applyFont="1" applyFill="1"/>
    <xf numFmtId="3" fontId="13" fillId="0" borderId="0" xfId="1" applyNumberFormat="1" applyFont="1" applyFill="1"/>
    <xf numFmtId="3" fontId="5" fillId="0" borderId="0" xfId="1" applyNumberFormat="1" applyFill="1"/>
    <xf numFmtId="165" fontId="5" fillId="0" borderId="0" xfId="33" applyNumberFormat="1" applyFont="1" applyFill="1"/>
    <xf numFmtId="9" fontId="10" fillId="0" borderId="0" xfId="0" applyNumberFormat="1" applyFont="1" applyFill="1"/>
    <xf numFmtId="0" fontId="24" fillId="0" borderId="0" xfId="0" applyFont="1"/>
    <xf numFmtId="3" fontId="0" fillId="0" borderId="0" xfId="0" applyNumberFormat="1"/>
    <xf numFmtId="9" fontId="0" fillId="0" borderId="0" xfId="232" applyFont="1"/>
  </cellXfs>
  <cellStyles count="233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Normal" xfId="0" builtinId="0"/>
    <cellStyle name="Normal 2" xfId="1"/>
    <cellStyle name="Percent" xfId="33" builtinId="5"/>
    <cellStyle name="Percent 2" xfId="2"/>
    <cellStyle name="Percent 3" xfId="23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41" Type="http://schemas.openxmlformats.org/officeDocument/2006/relationships/customXml" Target="../customXml/item3.xml"/><Relationship Id="rId24" Type="http://schemas.openxmlformats.org/officeDocument/2006/relationships/worksheet" Target="worksheets/sheet24.xml"/><Relationship Id="rId1" Type="http://schemas.openxmlformats.org/officeDocument/2006/relationships/worksheet" Target="worksheets/sheet1.xml"/><Relationship Id="rId32" Type="http://schemas.openxmlformats.org/officeDocument/2006/relationships/worksheet" Target="worksheets/sheet32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5" Type="http://schemas.openxmlformats.org/officeDocument/2006/relationships/worksheet" Target="worksheets/sheet5.xml"/><Relationship Id="rId36" Type="http://schemas.openxmlformats.org/officeDocument/2006/relationships/styles" Target="styles.xml"/><Relationship Id="rId15" Type="http://schemas.openxmlformats.org/officeDocument/2006/relationships/worksheet" Target="worksheets/sheet15.xml"/><Relationship Id="rId31" Type="http://schemas.openxmlformats.org/officeDocument/2006/relationships/worksheet" Target="worksheets/sheet3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" Type="http://schemas.openxmlformats.org/officeDocument/2006/relationships/worksheet" Target="worksheets/sheet4.xml"/><Relationship Id="rId30" Type="http://schemas.openxmlformats.org/officeDocument/2006/relationships/worksheet" Target="worksheets/sheet30.xml"/><Relationship Id="rId9" Type="http://schemas.openxmlformats.org/officeDocument/2006/relationships/worksheet" Target="worksheets/sheet9.xml"/><Relationship Id="rId35" Type="http://schemas.openxmlformats.org/officeDocument/2006/relationships/theme" Target="theme/theme1.xml"/><Relationship Id="rId14" Type="http://schemas.openxmlformats.org/officeDocument/2006/relationships/worksheet" Target="worksheets/sheet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5.vml"/><Relationship Id="rId2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6.vml"/><Relationship Id="rId2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7.vml"/><Relationship Id="rId2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8.vml"/><Relationship Id="rId2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9.vml"/><Relationship Id="rId2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0.vml"/><Relationship Id="rId2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1.vml"/><Relationship Id="rId2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2.vml"/><Relationship Id="rId2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3.vml"/><Relationship Id="rId2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4.vml"/><Relationship Id="rId2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5.vml"/><Relationship Id="rId2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6.vml"/><Relationship Id="rId2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7.vml"/><Relationship Id="rId2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8.vml"/><Relationship Id="rId2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9.vml"/><Relationship Id="rId2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0.vml"/><Relationship Id="rId2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1.vml"/><Relationship Id="rId2" Type="http://schemas.openxmlformats.org/officeDocument/2006/relationships/comments" Target="../comments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2.vml"/><Relationship Id="rId2" Type="http://schemas.openxmlformats.org/officeDocument/2006/relationships/comments" Target="../comments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3.vml"/><Relationship Id="rId2" Type="http://schemas.openxmlformats.org/officeDocument/2006/relationships/comments" Target="../comments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zoomScale="125" zoomScaleNormal="125" zoomScalePageLayoutView="125" workbookViewId="0">
      <selection activeCell="P43" sqref="P43"/>
    </sheetView>
  </sheetViews>
  <sheetFormatPr baseColWidth="10" defaultRowHeight="15" x14ac:dyDescent="0"/>
  <cols>
    <col min="1" max="1" width="20.33203125" customWidth="1"/>
    <col min="13" max="13" width="12" customWidth="1"/>
    <col min="14" max="14" width="11.83203125" customWidth="1"/>
    <col min="19" max="19" width="11.83203125" customWidth="1"/>
  </cols>
  <sheetData>
    <row r="1" spans="1:14">
      <c r="A1" s="73" t="s">
        <v>0</v>
      </c>
    </row>
    <row r="2" spans="1:14">
      <c r="A2" s="73" t="s">
        <v>101</v>
      </c>
    </row>
    <row r="3" spans="1:14">
      <c r="A3">
        <v>2013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33</v>
      </c>
      <c r="H3" t="s">
        <v>7</v>
      </c>
      <c r="I3" t="s">
        <v>6</v>
      </c>
      <c r="J3" t="s">
        <v>8</v>
      </c>
      <c r="K3" t="s">
        <v>9</v>
      </c>
      <c r="L3" t="s">
        <v>10</v>
      </c>
      <c r="M3" t="s">
        <v>11</v>
      </c>
      <c r="N3" t="s">
        <v>12</v>
      </c>
    </row>
    <row r="6" spans="1:14">
      <c r="A6" t="s">
        <v>13</v>
      </c>
      <c r="B6" s="74">
        <v>1837806</v>
      </c>
      <c r="C6" s="74">
        <v>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>
        <v>0</v>
      </c>
    </row>
    <row r="7" spans="1:14">
      <c r="A7" t="s">
        <v>14</v>
      </c>
      <c r="B7" s="74">
        <v>470</v>
      </c>
      <c r="C7" s="74">
        <v>1902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>
        <f>SUM(C7:M7)</f>
        <v>1902</v>
      </c>
    </row>
    <row r="8" spans="1:14">
      <c r="A8" t="s">
        <v>15</v>
      </c>
      <c r="B8" s="74">
        <v>99858</v>
      </c>
      <c r="C8" s="74"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>
        <v>0</v>
      </c>
    </row>
    <row r="9" spans="1:14">
      <c r="A9" t="s">
        <v>16</v>
      </c>
      <c r="B9" s="74">
        <v>1125543</v>
      </c>
      <c r="C9" s="74">
        <v>0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>
        <v>0</v>
      </c>
    </row>
    <row r="10" spans="1:14">
      <c r="A10" t="s">
        <v>17</v>
      </c>
      <c r="B10" s="74">
        <f>SUM(B6:B9)</f>
        <v>3063677</v>
      </c>
      <c r="C10" s="74">
        <f t="shared" ref="C10:N10" si="0">SUM(C6:C9)</f>
        <v>1902</v>
      </c>
      <c r="D10" s="74">
        <f t="shared" si="0"/>
        <v>0</v>
      </c>
      <c r="E10" s="74">
        <f t="shared" si="0"/>
        <v>0</v>
      </c>
      <c r="F10" s="74">
        <f t="shared" si="0"/>
        <v>0</v>
      </c>
      <c r="G10" s="74">
        <f t="shared" si="0"/>
        <v>0</v>
      </c>
      <c r="H10" s="74">
        <f t="shared" si="0"/>
        <v>0</v>
      </c>
      <c r="I10" s="74">
        <f t="shared" si="0"/>
        <v>0</v>
      </c>
      <c r="J10" s="74">
        <f t="shared" si="0"/>
        <v>0</v>
      </c>
      <c r="K10" s="74">
        <f t="shared" si="0"/>
        <v>0</v>
      </c>
      <c r="L10" s="74">
        <f t="shared" si="0"/>
        <v>0</v>
      </c>
      <c r="M10" s="74">
        <f t="shared" si="0"/>
        <v>0</v>
      </c>
      <c r="N10" s="74">
        <f t="shared" si="0"/>
        <v>1902</v>
      </c>
    </row>
    <row r="11" spans="1:14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>
      <c r="A13" s="73" t="s">
        <v>18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>
      <c r="B15" s="74" t="s">
        <v>19</v>
      </c>
      <c r="C15" s="74" t="s">
        <v>3</v>
      </c>
      <c r="D15" s="74" t="s">
        <v>4</v>
      </c>
      <c r="E15" s="74" t="s">
        <v>5</v>
      </c>
      <c r="F15" s="74" t="s">
        <v>20</v>
      </c>
      <c r="G15" s="74" t="s">
        <v>33</v>
      </c>
      <c r="H15" s="74" t="s">
        <v>7</v>
      </c>
      <c r="I15" s="74" t="s">
        <v>6</v>
      </c>
      <c r="J15" s="74" t="s">
        <v>8</v>
      </c>
      <c r="K15" s="74" t="s">
        <v>9</v>
      </c>
      <c r="L15" s="74" t="s">
        <v>10</v>
      </c>
      <c r="M15" s="74" t="s">
        <v>11</v>
      </c>
      <c r="N15" s="74" t="s">
        <v>12</v>
      </c>
    </row>
    <row r="16" spans="1:14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21">
      <c r="A17" t="s">
        <v>21</v>
      </c>
      <c r="B17" s="74">
        <v>3768849</v>
      </c>
      <c r="C17" s="74">
        <v>80160</v>
      </c>
      <c r="D17" s="74">
        <v>0</v>
      </c>
      <c r="E17" s="74">
        <v>2620912</v>
      </c>
      <c r="F17" s="74">
        <v>280987</v>
      </c>
      <c r="G17" s="74">
        <v>1382931</v>
      </c>
      <c r="H17" s="74">
        <v>34453</v>
      </c>
      <c r="I17" s="74">
        <v>0</v>
      </c>
      <c r="J17" s="74">
        <v>0</v>
      </c>
      <c r="K17" s="74">
        <v>2113615</v>
      </c>
      <c r="L17" s="74">
        <v>0</v>
      </c>
      <c r="M17" s="74">
        <v>0</v>
      </c>
      <c r="N17" s="74">
        <f>SUM(C17:M17)</f>
        <v>6513058</v>
      </c>
    </row>
    <row r="18" spans="1:21">
      <c r="A18" t="s">
        <v>22</v>
      </c>
      <c r="B18" s="74">
        <v>1329357.5999999999</v>
      </c>
      <c r="C18" s="74">
        <v>22204.473333333332</v>
      </c>
      <c r="D18" s="74">
        <v>0</v>
      </c>
      <c r="E18" s="74">
        <v>112023.66666666667</v>
      </c>
      <c r="F18" s="74">
        <v>29592</v>
      </c>
      <c r="G18" s="74">
        <v>864685.19333333336</v>
      </c>
      <c r="H18" s="74">
        <v>33344.555555555555</v>
      </c>
      <c r="I18" s="74">
        <v>0</v>
      </c>
      <c r="J18" s="74">
        <v>0</v>
      </c>
      <c r="K18" s="74">
        <v>346554</v>
      </c>
      <c r="L18" s="74">
        <v>0</v>
      </c>
      <c r="M18" s="74">
        <v>3769</v>
      </c>
      <c r="N18" s="74">
        <f>SUM(C18:M18)</f>
        <v>1412172.888888889</v>
      </c>
    </row>
    <row r="19" spans="1:21">
      <c r="A19" t="s">
        <v>23</v>
      </c>
      <c r="B19" s="74">
        <v>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>
        <v>0</v>
      </c>
      <c r="N19" s="74">
        <f t="shared" ref="N19:N20" si="1">SUM(C19:M19)</f>
        <v>0</v>
      </c>
    </row>
    <row r="20" spans="1:21">
      <c r="A20" t="s">
        <v>24</v>
      </c>
      <c r="B20" s="74">
        <v>771593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>
        <v>254625.69</v>
      </c>
      <c r="N20" s="74">
        <f t="shared" si="1"/>
        <v>254625.69</v>
      </c>
    </row>
    <row r="21" spans="1:21">
      <c r="A21" t="s">
        <v>25</v>
      </c>
      <c r="B21" s="74">
        <v>830771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>
        <v>0</v>
      </c>
      <c r="N21" s="74">
        <v>0</v>
      </c>
    </row>
    <row r="22" spans="1:21">
      <c r="A22" t="s">
        <v>26</v>
      </c>
      <c r="B22" s="74">
        <v>0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>
        <v>0</v>
      </c>
      <c r="N22" s="74">
        <v>0</v>
      </c>
    </row>
    <row r="23" spans="1:21">
      <c r="A23" t="s">
        <v>17</v>
      </c>
      <c r="B23" s="74">
        <f>SUM(B17:B22)</f>
        <v>6700570.5999999996</v>
      </c>
      <c r="C23" s="74">
        <f t="shared" ref="C23:N23" si="2">SUM(C17:C22)</f>
        <v>102364.47333333333</v>
      </c>
      <c r="D23" s="74">
        <f t="shared" si="2"/>
        <v>0</v>
      </c>
      <c r="E23" s="74">
        <f t="shared" si="2"/>
        <v>2732935.6666666665</v>
      </c>
      <c r="F23" s="74">
        <f t="shared" si="2"/>
        <v>310579</v>
      </c>
      <c r="G23" s="74">
        <f t="shared" si="2"/>
        <v>2247616.1933333334</v>
      </c>
      <c r="H23" s="74">
        <f t="shared" si="2"/>
        <v>67797.555555555562</v>
      </c>
      <c r="I23" s="74">
        <f t="shared" si="2"/>
        <v>0</v>
      </c>
      <c r="J23" s="74">
        <f t="shared" si="2"/>
        <v>0</v>
      </c>
      <c r="K23" s="74">
        <f t="shared" si="2"/>
        <v>2460169</v>
      </c>
      <c r="L23" s="74">
        <f t="shared" si="2"/>
        <v>0</v>
      </c>
      <c r="M23" s="74">
        <f t="shared" si="2"/>
        <v>258394.69</v>
      </c>
      <c r="N23" s="74">
        <f t="shared" si="2"/>
        <v>8179856.5788888894</v>
      </c>
      <c r="R23" s="3" t="s">
        <v>27</v>
      </c>
      <c r="S23" s="12">
        <f>(N42-B48)/1000</f>
        <v>38306.700838888893</v>
      </c>
      <c r="T23" s="3"/>
    </row>
    <row r="24" spans="1:21">
      <c r="A24" t="s">
        <v>98</v>
      </c>
      <c r="B24" s="74">
        <v>177221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R24" s="3"/>
      <c r="S24" s="3"/>
      <c r="T24" s="3"/>
    </row>
    <row r="25" spans="1:21"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R25" s="3"/>
      <c r="S25" s="3" t="s">
        <v>28</v>
      </c>
      <c r="T25" s="3" t="s">
        <v>29</v>
      </c>
    </row>
    <row r="26" spans="1:21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R26" s="3" t="s">
        <v>11</v>
      </c>
      <c r="S26" s="13">
        <f>M42/1000</f>
        <v>12487.078730000001</v>
      </c>
      <c r="T26" s="14">
        <f>M43</f>
        <v>0.32550730757451646</v>
      </c>
      <c r="U26" s="14"/>
    </row>
    <row r="27" spans="1:21">
      <c r="A27" s="73" t="s">
        <v>30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R27" s="74" t="s">
        <v>33</v>
      </c>
      <c r="S27" s="13">
        <f>G42/1000</f>
        <v>3801.8025022333336</v>
      </c>
      <c r="T27" s="15">
        <f>G43</f>
        <v>9.9103603267826273E-2</v>
      </c>
    </row>
    <row r="28" spans="1:21"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R28" s="3" t="s">
        <v>8</v>
      </c>
      <c r="S28" s="13">
        <f>J42/1000</f>
        <v>48.64</v>
      </c>
      <c r="T28" s="14">
        <f>J43</f>
        <v>1.2679246910157409E-3</v>
      </c>
    </row>
    <row r="29" spans="1:21">
      <c r="B29" s="74" t="s">
        <v>31</v>
      </c>
      <c r="C29" s="74" t="s">
        <v>3</v>
      </c>
      <c r="D29" s="74" t="s">
        <v>4</v>
      </c>
      <c r="E29" s="74" t="s">
        <v>5</v>
      </c>
      <c r="F29" s="74" t="s">
        <v>32</v>
      </c>
      <c r="G29" s="74" t="s">
        <v>33</v>
      </c>
      <c r="H29" s="74" t="s">
        <v>7</v>
      </c>
      <c r="I29" s="74" t="s">
        <v>6</v>
      </c>
      <c r="J29" s="74" t="s">
        <v>8</v>
      </c>
      <c r="K29" s="74" t="s">
        <v>9</v>
      </c>
      <c r="L29" s="74" t="s">
        <v>10</v>
      </c>
      <c r="M29" s="74" t="s">
        <v>11</v>
      </c>
      <c r="N29" s="74" t="s">
        <v>34</v>
      </c>
      <c r="R29" s="3" t="s">
        <v>9</v>
      </c>
      <c r="S29" s="13">
        <f>K42/1000</f>
        <v>2486.1190000000001</v>
      </c>
      <c r="T29" s="14">
        <f>K43</f>
        <v>6.4806983242256644E-2</v>
      </c>
    </row>
    <row r="30" spans="1:21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R30" s="3" t="s">
        <v>32</v>
      </c>
      <c r="S30" s="13">
        <f>F42/1000</f>
        <v>1230.7102199999999</v>
      </c>
      <c r="T30" s="14">
        <f>F43</f>
        <v>3.2081576386172171E-2</v>
      </c>
    </row>
    <row r="31" spans="1:21">
      <c r="A31" t="s">
        <v>36</v>
      </c>
      <c r="B31" s="74">
        <v>0</v>
      </c>
      <c r="C31" s="74">
        <v>482474.78</v>
      </c>
      <c r="D31" s="74">
        <v>0</v>
      </c>
      <c r="E31" s="74">
        <v>0</v>
      </c>
      <c r="F31" s="74">
        <v>48813.22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537279</v>
      </c>
      <c r="N31" s="74">
        <f>SUM(B31:M31)</f>
        <v>1068567</v>
      </c>
      <c r="O31" s="16">
        <f>N31/N$39</f>
        <v>2.9027116024797902E-2</v>
      </c>
      <c r="P31" s="17" t="s">
        <v>37</v>
      </c>
      <c r="Q31" s="3"/>
      <c r="R31" s="3" t="s">
        <v>35</v>
      </c>
      <c r="S31" s="12">
        <f>E42/1000</f>
        <v>5653.9736666666658</v>
      </c>
      <c r="T31" s="14">
        <f>E43</f>
        <v>0.14738513187334434</v>
      </c>
    </row>
    <row r="32" spans="1:21">
      <c r="A32" t="s">
        <v>39</v>
      </c>
      <c r="B32" s="74">
        <v>294795.28602423344</v>
      </c>
      <c r="C32" s="74">
        <v>392397.61109999998</v>
      </c>
      <c r="D32" s="74">
        <v>621362</v>
      </c>
      <c r="E32" s="74">
        <v>2670970</v>
      </c>
      <c r="F32" s="74">
        <v>30474</v>
      </c>
      <c r="G32" s="74">
        <v>664096.30890000006</v>
      </c>
      <c r="H32" s="74">
        <v>21076</v>
      </c>
      <c r="I32" s="74">
        <v>1378000</v>
      </c>
      <c r="J32" s="74">
        <v>48640</v>
      </c>
      <c r="K32" s="74">
        <v>25950</v>
      </c>
      <c r="L32" s="74">
        <v>0</v>
      </c>
      <c r="M32" s="74">
        <v>3272833</v>
      </c>
      <c r="N32" s="74">
        <f t="shared" ref="N32:N38" si="3">SUM(B32:M32)</f>
        <v>9420594.2060242333</v>
      </c>
      <c r="O32" s="16">
        <f>N32/N$39</f>
        <v>0.25590597598541248</v>
      </c>
      <c r="P32" s="17" t="s">
        <v>40</v>
      </c>
      <c r="Q32" s="3"/>
      <c r="R32" s="3" t="s">
        <v>102</v>
      </c>
      <c r="S32" s="12">
        <f>D42/1000</f>
        <v>621.36199999999997</v>
      </c>
      <c r="T32" s="14">
        <f>D43</f>
        <v>1.6197372982296933E-2</v>
      </c>
    </row>
    <row r="33" spans="1:20">
      <c r="A33" t="s">
        <v>42</v>
      </c>
      <c r="B33" s="74">
        <v>969944.77974662953</v>
      </c>
      <c r="C33" s="74">
        <v>42857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1431333</v>
      </c>
      <c r="N33" s="74">
        <f t="shared" si="3"/>
        <v>2444134.7797466293</v>
      </c>
      <c r="O33" s="16">
        <f>N33/N$39</f>
        <v>6.6393762704584053E-2</v>
      </c>
      <c r="P33" s="17" t="s">
        <v>43</v>
      </c>
      <c r="Q33" s="3"/>
      <c r="R33" s="3" t="s">
        <v>6</v>
      </c>
      <c r="S33" s="12">
        <f>I42/1000</f>
        <v>1378</v>
      </c>
      <c r="T33" s="14">
        <f>I43</f>
        <v>3.5921057241358779E-2</v>
      </c>
    </row>
    <row r="34" spans="1:20">
      <c r="A34" t="s">
        <v>44</v>
      </c>
      <c r="B34" s="74">
        <v>0</v>
      </c>
      <c r="C34" s="74">
        <v>9139059</v>
      </c>
      <c r="D34" s="74">
        <v>0</v>
      </c>
      <c r="E34" s="74">
        <v>250068</v>
      </c>
      <c r="F34" s="74">
        <v>840844</v>
      </c>
      <c r="G34" s="74">
        <v>0</v>
      </c>
      <c r="H34" s="74">
        <v>172689</v>
      </c>
      <c r="I34" s="74">
        <v>0</v>
      </c>
      <c r="J34" s="74">
        <v>0</v>
      </c>
      <c r="K34" s="74">
        <v>0</v>
      </c>
      <c r="L34" s="74">
        <v>0</v>
      </c>
      <c r="M34" s="74">
        <v>132459</v>
      </c>
      <c r="N34" s="74">
        <f t="shared" si="3"/>
        <v>10535119</v>
      </c>
      <c r="O34" s="16">
        <f>N34/N$39</f>
        <v>0.28618151369830142</v>
      </c>
      <c r="P34" s="17" t="s">
        <v>45</v>
      </c>
      <c r="Q34" s="3"/>
      <c r="R34" s="3" t="s">
        <v>38</v>
      </c>
      <c r="S34" s="13">
        <f>C42/1000</f>
        <v>10392.651164433333</v>
      </c>
      <c r="T34" s="15">
        <f>C43</f>
        <v>0.27091075280630172</v>
      </c>
    </row>
    <row r="35" spans="1:20">
      <c r="A35" t="s">
        <v>46</v>
      </c>
      <c r="B35" s="74">
        <v>876771.6030936914</v>
      </c>
      <c r="C35" s="74">
        <v>182676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3268069</v>
      </c>
      <c r="N35" s="74">
        <f t="shared" si="3"/>
        <v>4327516.6030936912</v>
      </c>
      <c r="O35" s="16">
        <f>N35/N$39</f>
        <v>0.1175549371609266</v>
      </c>
      <c r="P35" s="17" t="s">
        <v>47</v>
      </c>
      <c r="Q35" s="17"/>
      <c r="R35" s="3" t="s">
        <v>10</v>
      </c>
      <c r="S35" s="13">
        <f>L42/1000</f>
        <v>0</v>
      </c>
      <c r="T35" s="15">
        <f>L43</f>
        <v>0</v>
      </c>
    </row>
    <row r="36" spans="1:20">
      <c r="A36" t="s">
        <v>48</v>
      </c>
      <c r="B36" s="74">
        <v>734174.07815404749</v>
      </c>
      <c r="C36" s="74">
        <v>35151.300000000003</v>
      </c>
      <c r="D36" s="74">
        <v>0</v>
      </c>
      <c r="E36" s="74">
        <v>0</v>
      </c>
      <c r="F36" s="74">
        <v>0</v>
      </c>
      <c r="G36" s="74">
        <v>890090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3326147</v>
      </c>
      <c r="N36" s="74">
        <f t="shared" si="3"/>
        <v>4985562.3781540478</v>
      </c>
      <c r="O36" s="17"/>
      <c r="P36" s="17"/>
      <c r="Q36" s="3"/>
      <c r="R36" s="3" t="s">
        <v>7</v>
      </c>
      <c r="S36" s="13">
        <f>H42/1000</f>
        <v>261.56255555555555</v>
      </c>
      <c r="T36" s="14">
        <f>H43</f>
        <v>6.818289934910883E-3</v>
      </c>
    </row>
    <row r="37" spans="1:20">
      <c r="A37" t="s">
        <v>49</v>
      </c>
      <c r="B37" s="74">
        <v>2958708.7729813983</v>
      </c>
      <c r="C37" s="74">
        <v>15671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777460</v>
      </c>
      <c r="N37" s="74">
        <f t="shared" si="3"/>
        <v>3751839.7729813983</v>
      </c>
      <c r="O37" s="17"/>
      <c r="P37" s="17"/>
      <c r="Q37" s="3"/>
      <c r="R37" s="3"/>
      <c r="S37" s="13">
        <f>SUM(S26:S36)</f>
        <v>38361.899838888887</v>
      </c>
      <c r="T37" s="14">
        <f>SUM(T26:T36)</f>
        <v>0.99999999999999989</v>
      </c>
    </row>
    <row r="38" spans="1:20">
      <c r="A38" t="s">
        <v>50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279383</v>
      </c>
      <c r="N38" s="74">
        <f t="shared" si="3"/>
        <v>279383</v>
      </c>
      <c r="O38" s="17">
        <f>SUM(O31:O35)</f>
        <v>0.75506330557402235</v>
      </c>
      <c r="P38" s="17"/>
      <c r="Q38" s="3"/>
      <c r="R38" s="2"/>
      <c r="S38" s="2"/>
      <c r="T38" s="2"/>
    </row>
    <row r="39" spans="1:20">
      <c r="A39" t="s">
        <v>17</v>
      </c>
      <c r="B39" s="74">
        <f>SUM(B31:B38)</f>
        <v>5834394.5200000005</v>
      </c>
      <c r="C39" s="74">
        <f t="shared" ref="C39:N39" si="4">SUM(C31:C38)</f>
        <v>10290286.691100001</v>
      </c>
      <c r="D39" s="74">
        <f t="shared" si="4"/>
        <v>621362</v>
      </c>
      <c r="E39" s="74">
        <f t="shared" si="4"/>
        <v>2921038</v>
      </c>
      <c r="F39" s="74">
        <f t="shared" si="4"/>
        <v>920131.22</v>
      </c>
      <c r="G39" s="74">
        <f t="shared" si="4"/>
        <v>1554186.3089000001</v>
      </c>
      <c r="H39" s="74">
        <f t="shared" si="4"/>
        <v>193765</v>
      </c>
      <c r="I39" s="74">
        <f t="shared" si="4"/>
        <v>1378000</v>
      </c>
      <c r="J39" s="74">
        <f t="shared" si="4"/>
        <v>48640</v>
      </c>
      <c r="K39" s="74">
        <f t="shared" si="4"/>
        <v>25950</v>
      </c>
      <c r="L39" s="74">
        <f t="shared" si="4"/>
        <v>0</v>
      </c>
      <c r="M39" s="74">
        <f t="shared" si="4"/>
        <v>13024963</v>
      </c>
      <c r="N39" s="74">
        <f t="shared" si="4"/>
        <v>36812716.740000002</v>
      </c>
      <c r="R39" s="7"/>
      <c r="S39" s="7"/>
      <c r="T39" s="7"/>
    </row>
    <row r="40" spans="1:20">
      <c r="R40" s="7"/>
      <c r="S40" s="7" t="s">
        <v>28</v>
      </c>
      <c r="T40" s="7" t="s">
        <v>29</v>
      </c>
    </row>
    <row r="41" spans="1:20">
      <c r="A41" s="21" t="s">
        <v>54</v>
      </c>
      <c r="B41" s="22">
        <f>B38+B37+B36</f>
        <v>3692882.8511354458</v>
      </c>
      <c r="C41" s="22">
        <f t="shared" ref="C41:N41" si="5">C38+C37+C36</f>
        <v>50822.3</v>
      </c>
      <c r="D41" s="22">
        <f t="shared" si="5"/>
        <v>0</v>
      </c>
      <c r="E41" s="22">
        <f t="shared" si="5"/>
        <v>0</v>
      </c>
      <c r="F41" s="22">
        <f t="shared" si="5"/>
        <v>0</v>
      </c>
      <c r="G41" s="22">
        <f t="shared" si="5"/>
        <v>890090</v>
      </c>
      <c r="H41" s="22">
        <f t="shared" si="5"/>
        <v>0</v>
      </c>
      <c r="I41" s="22">
        <f t="shared" si="5"/>
        <v>0</v>
      </c>
      <c r="J41" s="22">
        <f t="shared" si="5"/>
        <v>0</v>
      </c>
      <c r="K41" s="22">
        <f t="shared" si="5"/>
        <v>0</v>
      </c>
      <c r="L41" s="22">
        <f t="shared" si="5"/>
        <v>0</v>
      </c>
      <c r="M41" s="22">
        <f t="shared" si="5"/>
        <v>4382990</v>
      </c>
      <c r="N41" s="22">
        <f t="shared" si="5"/>
        <v>9016785.1511354465</v>
      </c>
      <c r="O41" s="16">
        <f>N41/N$39</f>
        <v>0.24493669442597749</v>
      </c>
      <c r="P41" s="16" t="s">
        <v>55</v>
      </c>
      <c r="R41" s="7" t="s">
        <v>51</v>
      </c>
      <c r="S41" s="19">
        <f>N45/1000</f>
        <v>1908.1731199999992</v>
      </c>
      <c r="T41" s="7"/>
    </row>
    <row r="42" spans="1:20">
      <c r="A42" s="23" t="s">
        <v>57</v>
      </c>
      <c r="B42" s="22"/>
      <c r="C42" s="24">
        <f>C39+C23</f>
        <v>10392651.164433334</v>
      </c>
      <c r="D42" s="24">
        <f t="shared" ref="D42:K42" si="6">D39+D23+D10</f>
        <v>621362</v>
      </c>
      <c r="E42" s="24">
        <f t="shared" si="6"/>
        <v>5653973.666666666</v>
      </c>
      <c r="F42" s="24">
        <f t="shared" si="6"/>
        <v>1230710.22</v>
      </c>
      <c r="G42" s="24">
        <f t="shared" si="6"/>
        <v>3801802.5022333334</v>
      </c>
      <c r="H42" s="24">
        <f t="shared" si="6"/>
        <v>261562.55555555556</v>
      </c>
      <c r="I42" s="24">
        <f t="shared" si="6"/>
        <v>1378000</v>
      </c>
      <c r="J42" s="24">
        <f t="shared" si="6"/>
        <v>48640</v>
      </c>
      <c r="K42" s="24">
        <f t="shared" si="6"/>
        <v>2486119</v>
      </c>
      <c r="L42" s="24">
        <v>0</v>
      </c>
      <c r="M42" s="24">
        <f>M39+M23-B6+M45-B7</f>
        <v>12487078.73</v>
      </c>
      <c r="N42" s="25">
        <f>SUM(C42:M42)</f>
        <v>38361899.838888891</v>
      </c>
      <c r="O42" s="25">
        <f>N42-B48</f>
        <v>38306700.838888891</v>
      </c>
      <c r="P42" s="7" t="s">
        <v>106</v>
      </c>
      <c r="R42" s="7" t="s">
        <v>52</v>
      </c>
      <c r="S42" s="20">
        <f>N41/1000</f>
        <v>9016.7851511354456</v>
      </c>
      <c r="T42" s="15">
        <f>O41</f>
        <v>0.24493669442597749</v>
      </c>
    </row>
    <row r="43" spans="1:20">
      <c r="A43" s="23" t="s">
        <v>58</v>
      </c>
      <c r="B43" s="22"/>
      <c r="C43" s="16">
        <f t="shared" ref="C43:M43" si="7">C42/$N42</f>
        <v>0.27091075280630172</v>
      </c>
      <c r="D43" s="16">
        <f t="shared" si="7"/>
        <v>1.6197372982296933E-2</v>
      </c>
      <c r="E43" s="16">
        <f t="shared" si="7"/>
        <v>0.14738513187334434</v>
      </c>
      <c r="F43" s="16">
        <f t="shared" si="7"/>
        <v>3.2081576386172171E-2</v>
      </c>
      <c r="G43" s="16">
        <f t="shared" si="7"/>
        <v>9.9103603267826273E-2</v>
      </c>
      <c r="H43" s="16">
        <f t="shared" si="7"/>
        <v>6.818289934910883E-3</v>
      </c>
      <c r="I43" s="16">
        <f t="shared" si="7"/>
        <v>3.5921057241358779E-2</v>
      </c>
      <c r="J43" s="16">
        <f t="shared" si="7"/>
        <v>1.2679246910157409E-3</v>
      </c>
      <c r="K43" s="16">
        <f t="shared" si="7"/>
        <v>6.4806983242256644E-2</v>
      </c>
      <c r="L43" s="16">
        <f t="shared" si="7"/>
        <v>0</v>
      </c>
      <c r="M43" s="16">
        <f t="shared" si="7"/>
        <v>0.32550730757451646</v>
      </c>
      <c r="N43" s="16">
        <f>SUM(C43:M43)</f>
        <v>1</v>
      </c>
      <c r="O43" s="7"/>
      <c r="P43" s="7"/>
      <c r="R43" s="7" t="s">
        <v>53</v>
      </c>
      <c r="S43" s="20">
        <f>N35/1000</f>
        <v>4327.5166030936907</v>
      </c>
      <c r="T43" s="15">
        <f>O35</f>
        <v>0.1175549371609266</v>
      </c>
    </row>
    <row r="44" spans="1:20">
      <c r="A44" s="6" t="s">
        <v>99</v>
      </c>
      <c r="B44" s="6">
        <v>232420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R44" s="7" t="s">
        <v>56</v>
      </c>
      <c r="S44" s="20">
        <f>N33/1000</f>
        <v>2444.1347797466292</v>
      </c>
      <c r="T44" s="14">
        <f>O33</f>
        <v>6.6393762704584053E-2</v>
      </c>
    </row>
    <row r="45" spans="1:20">
      <c r="A45" s="6" t="s">
        <v>61</v>
      </c>
      <c r="B45" s="6">
        <f>B23-B39</f>
        <v>866176.07999999914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1041997.04</v>
      </c>
      <c r="N45" s="25">
        <f>B45+M45</f>
        <v>1908173.1199999992</v>
      </c>
      <c r="O45" s="7"/>
      <c r="P45" s="7"/>
      <c r="R45" s="7" t="s">
        <v>37</v>
      </c>
      <c r="S45" s="20">
        <f>N31/1000</f>
        <v>1068.567</v>
      </c>
      <c r="T45" s="14">
        <f>O31</f>
        <v>2.9027116024797902E-2</v>
      </c>
    </row>
    <row r="46" spans="1:20">
      <c r="B46" s="75">
        <f>B45/B23</f>
        <v>0.12926900285178686</v>
      </c>
      <c r="R46" s="7" t="s">
        <v>59</v>
      </c>
      <c r="S46" s="20">
        <f>N32/1000</f>
        <v>9420.5942060242342</v>
      </c>
      <c r="T46" s="15">
        <f>O32</f>
        <v>0.25590597598541248</v>
      </c>
    </row>
    <row r="47" spans="1:20">
      <c r="L47" t="s">
        <v>103</v>
      </c>
      <c r="M47" s="74">
        <f>M42-B8-B9</f>
        <v>11261677.73</v>
      </c>
      <c r="R47" s="7" t="s">
        <v>60</v>
      </c>
      <c r="S47" s="20">
        <f>N34/1000</f>
        <v>10535.119000000001</v>
      </c>
      <c r="T47" s="15">
        <f>O34</f>
        <v>0.28618151369830142</v>
      </c>
    </row>
    <row r="48" spans="1:20">
      <c r="A48" t="s">
        <v>104</v>
      </c>
      <c r="B48" s="74">
        <f>B44-B24</f>
        <v>55199</v>
      </c>
      <c r="D48" s="74"/>
      <c r="R48" s="7" t="s">
        <v>62</v>
      </c>
      <c r="S48" s="20">
        <f>SUM(S42:S47)</f>
        <v>36812.716740000003</v>
      </c>
      <c r="T48" s="14">
        <f>SUM(T42:T47)</f>
        <v>1</v>
      </c>
    </row>
    <row r="49" spans="1:1">
      <c r="A49" t="s">
        <v>105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 enableFormatConditionsCalculation="0"/>
  <dimension ref="A1:AU70"/>
  <sheetViews>
    <sheetView topLeftCell="A11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70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17461</v>
      </c>
      <c r="C6" s="43">
        <v>0</v>
      </c>
      <c r="D6" s="43">
        <v>0</v>
      </c>
      <c r="E6" s="9">
        <v>0</v>
      </c>
      <c r="F6" s="9">
        <v>0</v>
      </c>
      <c r="G6" s="43">
        <v>0</v>
      </c>
      <c r="H6" s="9">
        <v>0</v>
      </c>
      <c r="I6" s="9"/>
      <c r="J6" s="9"/>
      <c r="K6" s="43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17461</v>
      </c>
      <c r="C10" s="9">
        <v>0</v>
      </c>
      <c r="D10" s="43">
        <v>0</v>
      </c>
      <c r="E10" s="9">
        <v>0</v>
      </c>
      <c r="F10" s="9">
        <v>0</v>
      </c>
      <c r="G10" s="43">
        <v>0</v>
      </c>
      <c r="H10" s="9">
        <v>0</v>
      </c>
      <c r="I10" s="9"/>
      <c r="J10" s="9"/>
      <c r="K10" s="43">
        <f>K6</f>
        <v>0</v>
      </c>
      <c r="L10" s="9"/>
      <c r="M10" s="9"/>
      <c r="N10" s="9">
        <v>0</v>
      </c>
      <c r="O10" s="3"/>
      <c r="P10" s="3"/>
      <c r="Q10" s="3"/>
      <c r="R10" s="6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86291</v>
      </c>
      <c r="C17" s="9">
        <v>759</v>
      </c>
      <c r="D17" s="56">
        <v>0</v>
      </c>
      <c r="E17" s="9">
        <v>0</v>
      </c>
      <c r="F17" s="9">
        <v>0</v>
      </c>
      <c r="G17" s="56">
        <v>148174</v>
      </c>
      <c r="H17" s="9">
        <v>0</v>
      </c>
      <c r="I17" s="9"/>
      <c r="J17" s="9"/>
      <c r="K17" s="56"/>
      <c r="L17" s="9"/>
      <c r="M17" s="9"/>
      <c r="N17" s="50">
        <f>SUM(C17:M17)</f>
        <v>148933</v>
      </c>
      <c r="O17" s="3"/>
      <c r="P17" s="3"/>
      <c r="Q17" s="63"/>
      <c r="R17" s="6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86291</v>
      </c>
      <c r="C23" s="9">
        <f>C17</f>
        <v>759</v>
      </c>
      <c r="D23" s="56">
        <v>0</v>
      </c>
      <c r="E23" s="9">
        <v>0</v>
      </c>
      <c r="F23" s="9">
        <v>0</v>
      </c>
      <c r="G23" s="56">
        <f>G17</f>
        <v>148174</v>
      </c>
      <c r="H23" s="9">
        <v>0</v>
      </c>
      <c r="I23" s="9"/>
      <c r="J23" s="9"/>
      <c r="K23" s="56"/>
      <c r="L23" s="9"/>
      <c r="M23" s="9"/>
      <c r="N23" s="9">
        <f>N17</f>
        <v>148933</v>
      </c>
      <c r="O23" s="3"/>
      <c r="P23" s="3"/>
      <c r="Q23" s="3"/>
      <c r="R23" s="3" t="s">
        <v>27</v>
      </c>
      <c r="S23" s="12">
        <f>N42/1000</f>
        <v>441.07031999999998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154.37132</v>
      </c>
      <c r="T26" s="14">
        <f>M43</f>
        <v>0.34999253633751642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154.964</v>
      </c>
      <c r="T27" s="15">
        <f>G43</f>
        <v>0.35133626765002007</v>
      </c>
    </row>
    <row r="28" spans="1:20" ht="15">
      <c r="A28" s="4" t="s">
        <v>70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11.106</v>
      </c>
      <c r="T29" s="14">
        <f>F43</f>
        <v>2.5179658427254864E-2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0</v>
      </c>
      <c r="T30" s="14">
        <f>E43</f>
        <v>0</v>
      </c>
    </row>
    <row r="31" spans="1:20" ht="15">
      <c r="A31" s="5" t="s">
        <v>36</v>
      </c>
      <c r="B31" s="9">
        <v>0</v>
      </c>
      <c r="C31" s="62">
        <f>C39-C37-C36-C35-C33-C34-C32</f>
        <v>2731</v>
      </c>
      <c r="D31" s="9">
        <v>0</v>
      </c>
      <c r="E31" s="9">
        <v>0</v>
      </c>
      <c r="F31" s="62">
        <f>F39-F34-F32</f>
        <v>276</v>
      </c>
      <c r="G31" s="9">
        <v>0</v>
      </c>
      <c r="H31" s="9">
        <v>0</v>
      </c>
      <c r="I31" s="9"/>
      <c r="J31" s="9"/>
      <c r="K31" s="9"/>
      <c r="L31" s="9"/>
      <c r="M31" s="9">
        <v>1583</v>
      </c>
      <c r="N31" s="62">
        <f>M31+C31+F31</f>
        <v>4590</v>
      </c>
      <c r="O31" s="16">
        <f>N31/N$39</f>
        <v>1.2200243473268443E-2</v>
      </c>
      <c r="P31" s="17" t="s">
        <v>37</v>
      </c>
      <c r="Q31" s="3"/>
      <c r="R31" s="3" t="s">
        <v>38</v>
      </c>
      <c r="S31" s="13">
        <f>C42/1000</f>
        <v>120.629</v>
      </c>
      <c r="T31" s="15">
        <f>C43</f>
        <v>0.27349153758520861</v>
      </c>
    </row>
    <row r="32" spans="1:20" ht="15">
      <c r="A32" s="5" t="s">
        <v>39</v>
      </c>
      <c r="B32" s="9">
        <v>5094</v>
      </c>
      <c r="C32" s="62">
        <v>131</v>
      </c>
      <c r="D32" s="9">
        <v>0</v>
      </c>
      <c r="E32" s="9">
        <v>0</v>
      </c>
      <c r="F32" s="62">
        <v>6</v>
      </c>
      <c r="G32" s="9">
        <v>0</v>
      </c>
      <c r="H32" s="9">
        <v>0</v>
      </c>
      <c r="I32" s="9"/>
      <c r="J32" s="9"/>
      <c r="K32" s="9"/>
      <c r="L32" s="9"/>
      <c r="M32" s="9">
        <v>13070</v>
      </c>
      <c r="N32" s="62">
        <f>M32+F32+C32+B32</f>
        <v>18301</v>
      </c>
      <c r="O32" s="16">
        <f>N32/N$39</f>
        <v>4.8644151591347662E-2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24576</v>
      </c>
      <c r="C33" s="9">
        <v>190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43"/>
      <c r="K33" s="9"/>
      <c r="L33" s="9"/>
      <c r="M33" s="9">
        <v>13618</v>
      </c>
      <c r="N33" s="9">
        <v>38384</v>
      </c>
      <c r="O33" s="16">
        <f>N33/N$39</f>
        <v>0.1020248682958466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115956</v>
      </c>
      <c r="D34" s="9">
        <v>0</v>
      </c>
      <c r="E34" s="9">
        <v>0</v>
      </c>
      <c r="F34" s="9">
        <v>10824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126780</v>
      </c>
      <c r="O34" s="16">
        <f>N34/N$39</f>
        <v>0.33698188835315318</v>
      </c>
      <c r="P34" s="17" t="s">
        <v>45</v>
      </c>
      <c r="Q34" s="3"/>
      <c r="R34" s="3"/>
      <c r="S34" s="13">
        <f>SUM(S26:S33)</f>
        <v>441.07032000000004</v>
      </c>
      <c r="T34" s="14">
        <f>SUM(T26:T33)</f>
        <v>1</v>
      </c>
    </row>
    <row r="35" spans="1:47" ht="15">
      <c r="A35" s="5" t="s">
        <v>46</v>
      </c>
      <c r="B35" s="9">
        <v>5655</v>
      </c>
      <c r="C35" s="9">
        <v>24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32738</v>
      </c>
      <c r="N35" s="9">
        <v>38417</v>
      </c>
      <c r="O35" s="16">
        <f>N35/N$39</f>
        <v>0.10211258246460866</v>
      </c>
      <c r="P35" s="17" t="s">
        <v>47</v>
      </c>
      <c r="Q35" s="17"/>
    </row>
    <row r="36" spans="1:47" ht="15">
      <c r="A36" s="5" t="s">
        <v>48</v>
      </c>
      <c r="B36" s="9">
        <v>26309</v>
      </c>
      <c r="C36" s="9">
        <v>639</v>
      </c>
      <c r="D36" s="9">
        <v>0</v>
      </c>
      <c r="E36" s="9">
        <v>0</v>
      </c>
      <c r="F36" s="9">
        <v>0</v>
      </c>
      <c r="G36" s="9">
        <v>6790</v>
      </c>
      <c r="H36" s="9">
        <v>0</v>
      </c>
      <c r="I36" s="9"/>
      <c r="J36" s="9"/>
      <c r="K36" s="9"/>
      <c r="L36" s="9"/>
      <c r="M36" s="9">
        <v>84282</v>
      </c>
      <c r="N36" s="9">
        <v>118019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17719</v>
      </c>
      <c r="C37" s="9">
        <v>199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13311</v>
      </c>
      <c r="N37" s="9">
        <v>31229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502</v>
      </c>
      <c r="N38" s="9">
        <v>502</v>
      </c>
      <c r="O38" s="17">
        <f>SUM(O31:O35)</f>
        <v>0.60196373417822457</v>
      </c>
      <c r="P38" s="17"/>
      <c r="Q38" s="3"/>
      <c r="R38" s="7" t="s">
        <v>51</v>
      </c>
      <c r="S38" s="19">
        <f>N45/1000</f>
        <v>19.666319999999999</v>
      </c>
      <c r="T38" s="7"/>
    </row>
    <row r="39" spans="1:47" ht="15">
      <c r="A39" s="5" t="s">
        <v>17</v>
      </c>
      <c r="B39" s="9">
        <v>79353</v>
      </c>
      <c r="C39" s="9">
        <v>119870</v>
      </c>
      <c r="D39" s="9">
        <v>0</v>
      </c>
      <c r="E39" s="9">
        <v>0</v>
      </c>
      <c r="F39" s="9">
        <v>11106</v>
      </c>
      <c r="G39" s="9">
        <v>6790</v>
      </c>
      <c r="H39" s="9">
        <v>0</v>
      </c>
      <c r="I39" s="9"/>
      <c r="J39" s="9"/>
      <c r="K39" s="9"/>
      <c r="L39" s="9"/>
      <c r="M39" s="9">
        <v>159104</v>
      </c>
      <c r="N39" s="9">
        <v>376222</v>
      </c>
      <c r="O39" s="3"/>
      <c r="P39" s="3"/>
      <c r="Q39" s="3"/>
      <c r="R39" s="7" t="s">
        <v>52</v>
      </c>
      <c r="S39" s="20">
        <f>N41/1000</f>
        <v>149.75</v>
      </c>
      <c r="T39" s="14">
        <f>O41</f>
        <v>0.39803626582177543</v>
      </c>
    </row>
    <row r="40" spans="1:47">
      <c r="R40" s="7" t="s">
        <v>53</v>
      </c>
      <c r="S40" s="20">
        <f>N35/1000</f>
        <v>38.417000000000002</v>
      </c>
      <c r="T40" s="15">
        <f>O35</f>
        <v>0.10211258246460866</v>
      </c>
    </row>
    <row r="41" spans="1:47" ht="15">
      <c r="A41" s="21" t="s">
        <v>54</v>
      </c>
      <c r="B41" s="22">
        <f>B38+B37+B36</f>
        <v>44028</v>
      </c>
      <c r="C41" s="22">
        <f t="shared" ref="C41:N41" si="0">C38+C37+C36</f>
        <v>838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6790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98095</v>
      </c>
      <c r="N41" s="22">
        <f t="shared" si="0"/>
        <v>149750</v>
      </c>
      <c r="O41" s="16">
        <f>N41/N$39</f>
        <v>0.39803626582177543</v>
      </c>
      <c r="P41" s="16" t="s">
        <v>55</v>
      </c>
      <c r="Q41" s="7"/>
      <c r="R41" s="7" t="s">
        <v>56</v>
      </c>
      <c r="S41" s="20">
        <f>N33/1000</f>
        <v>38.384</v>
      </c>
      <c r="T41" s="14">
        <f>O33</f>
        <v>0.1020248682958466</v>
      </c>
    </row>
    <row r="42" spans="1:47" ht="15">
      <c r="A42" s="23" t="s">
        <v>57</v>
      </c>
      <c r="B42" s="22"/>
      <c r="C42" s="24">
        <f>C39+C23+C10</f>
        <v>120629</v>
      </c>
      <c r="D42" s="24">
        <f t="shared" ref="D42:L42" si="1">D39+D23+D10</f>
        <v>0</v>
      </c>
      <c r="E42" s="24">
        <f t="shared" si="1"/>
        <v>0</v>
      </c>
      <c r="F42" s="24">
        <f t="shared" si="1"/>
        <v>11106</v>
      </c>
      <c r="G42" s="24">
        <f t="shared" si="1"/>
        <v>154964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154371.32</v>
      </c>
      <c r="N42" s="25">
        <f>SUM(C42:M42)</f>
        <v>441070.32</v>
      </c>
      <c r="O42" s="7"/>
      <c r="P42" s="7"/>
      <c r="Q42" s="7"/>
      <c r="R42" s="7" t="s">
        <v>37</v>
      </c>
      <c r="S42" s="20">
        <f>N31/1000</f>
        <v>4.59</v>
      </c>
      <c r="T42" s="14">
        <f>O31</f>
        <v>1.2200243473268443E-2</v>
      </c>
    </row>
    <row r="43" spans="1:47" ht="15">
      <c r="A43" s="23" t="s">
        <v>58</v>
      </c>
      <c r="B43" s="22"/>
      <c r="C43" s="16">
        <f t="shared" ref="C43:M43" si="2">C42/$N42</f>
        <v>0.27349153758520861</v>
      </c>
      <c r="D43" s="16">
        <f>D42/$N42</f>
        <v>0</v>
      </c>
      <c r="E43" s="16">
        <f t="shared" si="2"/>
        <v>0</v>
      </c>
      <c r="F43" s="16">
        <f t="shared" si="2"/>
        <v>2.5179658427254864E-2</v>
      </c>
      <c r="G43" s="16">
        <f t="shared" si="2"/>
        <v>0.35133626765002007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0.34999253633751642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18.300999999999998</v>
      </c>
      <c r="T43" s="15">
        <f>O32</f>
        <v>4.8644151591347662E-2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126.78</v>
      </c>
      <c r="T44" s="15">
        <f>O34</f>
        <v>0.33698188835315318</v>
      </c>
    </row>
    <row r="45" spans="1:47" ht="15">
      <c r="A45" s="6" t="s">
        <v>61</v>
      </c>
      <c r="B45" s="6">
        <f>B23-B39</f>
        <v>6938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12728.32</v>
      </c>
      <c r="N45" s="25">
        <f>B45+M45</f>
        <v>19666.32</v>
      </c>
      <c r="O45" s="7"/>
      <c r="P45" s="7"/>
      <c r="Q45" s="7"/>
      <c r="R45" s="7" t="s">
        <v>62</v>
      </c>
      <c r="S45" s="20">
        <f>SUM(S39:S44)</f>
        <v>376.22199999999998</v>
      </c>
      <c r="T45" s="14">
        <f>SUM(T39:T44)</f>
        <v>1</v>
      </c>
    </row>
    <row r="46" spans="1:47" ht="15">
      <c r="A46" s="9" t="s">
        <v>95</v>
      </c>
      <c r="B46" s="42">
        <f>B45/B23</f>
        <v>8.0402359458112665E-2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8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8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 enableFormatConditionsCalculation="0"/>
  <dimension ref="A1:AU70"/>
  <sheetViews>
    <sheetView topLeftCell="A7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65964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65964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f>N18*0.9</f>
        <v>9041.4</v>
      </c>
      <c r="C18" s="56">
        <v>0</v>
      </c>
      <c r="D18" s="9">
        <v>0</v>
      </c>
      <c r="E18" s="9">
        <v>4246</v>
      </c>
      <c r="F18" s="9">
        <v>0</v>
      </c>
      <c r="G18" s="56">
        <v>5800</v>
      </c>
      <c r="H18" s="9">
        <v>0</v>
      </c>
      <c r="I18" s="9"/>
      <c r="J18" s="9"/>
      <c r="K18" s="9"/>
      <c r="L18" s="9"/>
      <c r="M18" s="9"/>
      <c r="N18" s="9">
        <f>G18+E18</f>
        <v>10046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f>B18</f>
        <v>9041.4</v>
      </c>
      <c r="C23" s="9">
        <f>C18</f>
        <v>0</v>
      </c>
      <c r="D23" s="9">
        <v>0</v>
      </c>
      <c r="E23" s="9">
        <v>4246</v>
      </c>
      <c r="F23" s="9">
        <v>0</v>
      </c>
      <c r="G23" s="9">
        <f>G18</f>
        <v>5800</v>
      </c>
      <c r="H23" s="9">
        <v>0</v>
      </c>
      <c r="I23" s="9"/>
      <c r="J23" s="9"/>
      <c r="K23" s="9"/>
      <c r="L23" s="9"/>
      <c r="M23" s="9"/>
      <c r="N23" s="9">
        <f>N18</f>
        <v>10046</v>
      </c>
      <c r="O23" s="3"/>
      <c r="P23" s="3"/>
      <c r="Q23" s="3"/>
      <c r="R23" s="3" t="s">
        <v>27</v>
      </c>
      <c r="S23" s="12">
        <f>N42/1000</f>
        <v>380.83211999999997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189.33912000000001</v>
      </c>
      <c r="T26" s="14">
        <f>M43</f>
        <v>0.49717213978694863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16.189</v>
      </c>
      <c r="T27" s="15">
        <f>G43</f>
        <v>4.2509544625595135E-2</v>
      </c>
    </row>
    <row r="28" spans="1:20" ht="15">
      <c r="A28" s="4" t="s">
        <v>71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12.164999999999999</v>
      </c>
      <c r="T29" s="14">
        <f>F43</f>
        <v>3.1943208991930615E-2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23.266999999999999</v>
      </c>
      <c r="T30" s="14">
        <f>E43</f>
        <v>6.1095161826161093E-2</v>
      </c>
    </row>
    <row r="31" spans="1:20" ht="15">
      <c r="A31" s="5" t="s">
        <v>36</v>
      </c>
      <c r="B31" s="9">
        <v>0</v>
      </c>
      <c r="C31" s="9">
        <v>11245</v>
      </c>
      <c r="D31" s="9">
        <v>0</v>
      </c>
      <c r="E31" s="9">
        <v>0</v>
      </c>
      <c r="F31" s="9">
        <v>1126</v>
      </c>
      <c r="G31" s="9">
        <v>0</v>
      </c>
      <c r="H31" s="9">
        <v>0</v>
      </c>
      <c r="I31" s="9"/>
      <c r="J31" s="9"/>
      <c r="K31" s="9"/>
      <c r="L31" s="9"/>
      <c r="M31" s="9">
        <v>8326</v>
      </c>
      <c r="N31" s="9">
        <v>20697</v>
      </c>
      <c r="O31" s="16">
        <f>N31/N$39</f>
        <v>5.6727733193000923E-2</v>
      </c>
      <c r="P31" s="17" t="s">
        <v>37</v>
      </c>
      <c r="Q31" s="3"/>
      <c r="R31" s="3" t="s">
        <v>38</v>
      </c>
      <c r="S31" s="13">
        <f>C42/1000</f>
        <v>139.87200000000001</v>
      </c>
      <c r="T31" s="15">
        <f>C43</f>
        <v>0.36727994476936454</v>
      </c>
    </row>
    <row r="32" spans="1:20" ht="15">
      <c r="A32" s="5" t="s">
        <v>39</v>
      </c>
      <c r="B32" s="9">
        <v>0</v>
      </c>
      <c r="C32" s="9">
        <v>1501</v>
      </c>
      <c r="D32" s="9">
        <v>0</v>
      </c>
      <c r="E32" s="9">
        <v>19021</v>
      </c>
      <c r="F32" s="9">
        <v>118</v>
      </c>
      <c r="G32" s="9">
        <v>0</v>
      </c>
      <c r="H32" s="9">
        <v>0</v>
      </c>
      <c r="I32" s="9"/>
      <c r="J32" s="9"/>
      <c r="K32" s="9"/>
      <c r="L32" s="9"/>
      <c r="M32" s="9">
        <v>31530</v>
      </c>
      <c r="N32" s="9">
        <v>52169</v>
      </c>
      <c r="O32" s="16">
        <f>N32/N$39</f>
        <v>0.14298831294127964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828</v>
      </c>
      <c r="C33" s="9">
        <v>2000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13146</v>
      </c>
      <c r="N33" s="9">
        <v>15974</v>
      </c>
      <c r="O33" s="16">
        <f>N33/N$39</f>
        <v>4.3782616322413717E-2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123725</v>
      </c>
      <c r="D34" s="9">
        <v>0</v>
      </c>
      <c r="E34" s="9">
        <v>0</v>
      </c>
      <c r="F34" s="9">
        <v>10921</v>
      </c>
      <c r="G34" s="9">
        <v>0</v>
      </c>
      <c r="H34" s="9">
        <v>0</v>
      </c>
      <c r="I34" s="9"/>
      <c r="J34" s="9"/>
      <c r="K34" s="9"/>
      <c r="L34" s="9"/>
      <c r="M34" s="9">
        <v>69</v>
      </c>
      <c r="N34" s="9">
        <v>134715</v>
      </c>
      <c r="O34" s="16">
        <f>N34/N$39</f>
        <v>0.36923595579529012</v>
      </c>
      <c r="P34" s="17" t="s">
        <v>45</v>
      </c>
      <c r="Q34" s="3"/>
      <c r="R34" s="3"/>
      <c r="S34" s="13">
        <f>SUM(S26:S33)</f>
        <v>380.83212000000003</v>
      </c>
      <c r="T34" s="14">
        <f>SUM(T26:T33)</f>
        <v>0.99999999999999989</v>
      </c>
    </row>
    <row r="35" spans="1:47" ht="15">
      <c r="A35" s="5" t="s">
        <v>46</v>
      </c>
      <c r="B35" s="9">
        <v>5961</v>
      </c>
      <c r="C35" s="9">
        <v>372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41088</v>
      </c>
      <c r="N35" s="9">
        <v>47421</v>
      </c>
      <c r="O35" s="16">
        <f>N35/N$39</f>
        <v>0.12997467438494936</v>
      </c>
      <c r="P35" s="17" t="s">
        <v>47</v>
      </c>
      <c r="Q35" s="17"/>
    </row>
    <row r="36" spans="1:47" ht="15">
      <c r="A36" s="5" t="s">
        <v>48</v>
      </c>
      <c r="B36" s="9">
        <v>1298</v>
      </c>
      <c r="C36" s="9">
        <v>881</v>
      </c>
      <c r="D36" s="9">
        <v>0</v>
      </c>
      <c r="E36" s="9">
        <v>0</v>
      </c>
      <c r="F36" s="9">
        <v>0</v>
      </c>
      <c r="G36" s="9">
        <v>10389</v>
      </c>
      <c r="H36" s="9">
        <v>0</v>
      </c>
      <c r="I36" s="9"/>
      <c r="J36" s="9"/>
      <c r="K36" s="9"/>
      <c r="L36" s="9"/>
      <c r="M36" s="9">
        <v>74966</v>
      </c>
      <c r="N36" s="9">
        <v>87533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0</v>
      </c>
      <c r="C37" s="9">
        <v>149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4540</v>
      </c>
      <c r="N37" s="9">
        <v>4689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1649</v>
      </c>
      <c r="N38" s="9">
        <v>1649</v>
      </c>
      <c r="O38" s="17">
        <f>SUM(O31:O35)</f>
        <v>0.74270929263693375</v>
      </c>
      <c r="P38" s="17"/>
      <c r="Q38" s="3"/>
      <c r="R38" s="7" t="s">
        <v>51</v>
      </c>
      <c r="S38" s="19">
        <f>N45/1000</f>
        <v>14.979520000000001</v>
      </c>
      <c r="T38" s="7"/>
    </row>
    <row r="39" spans="1:47" ht="15">
      <c r="A39" s="5" t="s">
        <v>17</v>
      </c>
      <c r="B39" s="9">
        <v>8087</v>
      </c>
      <c r="C39" s="9">
        <v>139872</v>
      </c>
      <c r="D39" s="9">
        <v>0</v>
      </c>
      <c r="E39" s="9">
        <v>19021</v>
      </c>
      <c r="F39" s="9">
        <v>12165</v>
      </c>
      <c r="G39" s="9">
        <v>10389</v>
      </c>
      <c r="H39" s="9">
        <v>0</v>
      </c>
      <c r="I39" s="9"/>
      <c r="J39" s="9"/>
      <c r="K39" s="9"/>
      <c r="L39" s="9"/>
      <c r="M39" s="9">
        <v>175314</v>
      </c>
      <c r="N39" s="9">
        <v>364848</v>
      </c>
      <c r="O39" s="3"/>
      <c r="P39" s="3"/>
      <c r="Q39" s="3"/>
      <c r="R39" s="7" t="s">
        <v>52</v>
      </c>
      <c r="S39" s="20">
        <f>N41/1000</f>
        <v>93.870999999999995</v>
      </c>
      <c r="T39" s="14">
        <f>O41</f>
        <v>0.25728796649563657</v>
      </c>
    </row>
    <row r="40" spans="1:47">
      <c r="R40" s="7" t="s">
        <v>53</v>
      </c>
      <c r="S40" s="20">
        <f>N35/1000</f>
        <v>47.420999999999999</v>
      </c>
      <c r="T40" s="15">
        <f>O35</f>
        <v>0.12997467438494936</v>
      </c>
    </row>
    <row r="41" spans="1:47" ht="15">
      <c r="A41" s="21" t="s">
        <v>54</v>
      </c>
      <c r="B41" s="22">
        <f>B38+B37+B36</f>
        <v>1298</v>
      </c>
      <c r="C41" s="22">
        <f t="shared" ref="C41:N41" si="0">C38+C37+C36</f>
        <v>1030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10389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81155</v>
      </c>
      <c r="N41" s="22">
        <f t="shared" si="0"/>
        <v>93871</v>
      </c>
      <c r="O41" s="16">
        <f>N41/N$39</f>
        <v>0.25728796649563657</v>
      </c>
      <c r="P41" s="16" t="s">
        <v>55</v>
      </c>
      <c r="Q41" s="7"/>
      <c r="R41" s="7" t="s">
        <v>56</v>
      </c>
      <c r="S41" s="20">
        <f>N33/1000</f>
        <v>15.974</v>
      </c>
      <c r="T41" s="14">
        <f>O33</f>
        <v>4.3782616322413717E-2</v>
      </c>
    </row>
    <row r="42" spans="1:47" ht="15">
      <c r="A42" s="23" t="s">
        <v>57</v>
      </c>
      <c r="B42" s="22"/>
      <c r="C42" s="24">
        <f>C39+C23+C10</f>
        <v>139872</v>
      </c>
      <c r="D42" s="24">
        <f t="shared" ref="D42:L42" si="1">D39+D23+D10</f>
        <v>0</v>
      </c>
      <c r="E42" s="24">
        <f t="shared" si="1"/>
        <v>23267</v>
      </c>
      <c r="F42" s="24">
        <f t="shared" si="1"/>
        <v>12165</v>
      </c>
      <c r="G42" s="24">
        <f t="shared" si="1"/>
        <v>16189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189339.12</v>
      </c>
      <c r="N42" s="25">
        <f>SUM(C42:M42)</f>
        <v>380832.12</v>
      </c>
      <c r="O42" s="7"/>
      <c r="P42" s="7"/>
      <c r="Q42" s="7"/>
      <c r="R42" s="7" t="s">
        <v>37</v>
      </c>
      <c r="S42" s="20">
        <f>N31/1000</f>
        <v>20.696999999999999</v>
      </c>
      <c r="T42" s="14">
        <f>O31</f>
        <v>5.6727733193000923E-2</v>
      </c>
    </row>
    <row r="43" spans="1:47" ht="15">
      <c r="A43" s="23" t="s">
        <v>58</v>
      </c>
      <c r="B43" s="22"/>
      <c r="C43" s="16">
        <f t="shared" ref="C43:M43" si="2">C42/$N42</f>
        <v>0.36727994476936454</v>
      </c>
      <c r="D43" s="16">
        <f t="shared" si="2"/>
        <v>0</v>
      </c>
      <c r="E43" s="16">
        <f t="shared" si="2"/>
        <v>6.1095161826161093E-2</v>
      </c>
      <c r="F43" s="16">
        <f t="shared" si="2"/>
        <v>3.1943208991930615E-2</v>
      </c>
      <c r="G43" s="16">
        <f t="shared" si="2"/>
        <v>4.2509544625595135E-2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0.49717213978694863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52.168999999999997</v>
      </c>
      <c r="T43" s="15">
        <f>O32</f>
        <v>0.14298831294127964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134.715</v>
      </c>
      <c r="T44" s="15">
        <f>O34</f>
        <v>0.36923595579529012</v>
      </c>
    </row>
    <row r="45" spans="1:47" ht="15">
      <c r="A45" s="6" t="s">
        <v>61</v>
      </c>
      <c r="B45" s="6">
        <f>B23-B39</f>
        <v>954.39999999999964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14025.12</v>
      </c>
      <c r="N45" s="25">
        <f>B45+M45</f>
        <v>14979.52</v>
      </c>
      <c r="O45" s="7"/>
      <c r="P45" s="7"/>
      <c r="Q45" s="7"/>
      <c r="R45" s="7" t="s">
        <v>62</v>
      </c>
      <c r="S45" s="20">
        <f>SUM(S39:S44)</f>
        <v>364.84699999999998</v>
      </c>
      <c r="T45" s="14">
        <f>SUM(T39:T44)</f>
        <v>0.99999725913257032</v>
      </c>
    </row>
    <row r="46" spans="1:47" ht="15">
      <c r="A46" s="9" t="s">
        <v>95</v>
      </c>
      <c r="B46" s="41">
        <f>B45/B23</f>
        <v>0.10555887362576588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 enableFormatConditionsCalculation="0"/>
  <dimension ref="A1:AU70"/>
  <sheetViews>
    <sheetView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9" width="8.83203125" style="2"/>
    <col min="10" max="10" width="10.1640625" style="2" bestFit="1" customWidth="1"/>
    <col min="11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72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1810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57">
        <v>1810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29454</v>
      </c>
      <c r="C18" s="9">
        <v>328</v>
      </c>
      <c r="D18" s="9">
        <v>0</v>
      </c>
      <c r="E18" s="9">
        <v>0</v>
      </c>
      <c r="F18" s="9">
        <v>0</v>
      </c>
      <c r="G18" s="9">
        <v>33298</v>
      </c>
      <c r="H18" s="9">
        <v>0</v>
      </c>
      <c r="I18" s="9"/>
      <c r="J18" s="9"/>
      <c r="K18" s="9"/>
      <c r="L18" s="9"/>
      <c r="M18" s="9"/>
      <c r="N18" s="9">
        <v>33626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29454</v>
      </c>
      <c r="C23" s="9">
        <v>328</v>
      </c>
      <c r="D23" s="9">
        <v>0</v>
      </c>
      <c r="E23" s="9">
        <v>0</v>
      </c>
      <c r="F23" s="9">
        <v>0</v>
      </c>
      <c r="G23" s="9">
        <v>33298</v>
      </c>
      <c r="H23" s="9">
        <v>0</v>
      </c>
      <c r="I23" s="9"/>
      <c r="J23" s="9"/>
      <c r="K23" s="9"/>
      <c r="L23" s="9"/>
      <c r="M23" s="9"/>
      <c r="N23" s="9">
        <v>33626</v>
      </c>
      <c r="O23" s="3"/>
      <c r="P23" s="3"/>
      <c r="Q23" s="3"/>
      <c r="R23" s="3" t="s">
        <v>27</v>
      </c>
      <c r="S23" s="12">
        <f>N42/1000</f>
        <v>362.3544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148.2354</v>
      </c>
      <c r="T26" s="14">
        <f>M43</f>
        <v>0.40908955431478128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55.182000000000002</v>
      </c>
      <c r="T27" s="15">
        <f>G43</f>
        <v>0.15228737390797517</v>
      </c>
    </row>
    <row r="28" spans="1:20" ht="15">
      <c r="A28" s="4" t="s">
        <v>72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11.565</v>
      </c>
      <c r="T29" s="14">
        <f>F43</f>
        <v>3.1916267609831697E-2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0</v>
      </c>
      <c r="T30" s="14">
        <f>E43</f>
        <v>0</v>
      </c>
    </row>
    <row r="31" spans="1:20" ht="15">
      <c r="A31" s="5" t="s">
        <v>36</v>
      </c>
      <c r="B31" s="9">
        <v>0</v>
      </c>
      <c r="C31" s="9">
        <v>13041</v>
      </c>
      <c r="D31" s="9">
        <v>0</v>
      </c>
      <c r="E31" s="9">
        <v>0</v>
      </c>
      <c r="F31" s="9">
        <v>1367</v>
      </c>
      <c r="G31" s="9">
        <v>0</v>
      </c>
      <c r="H31" s="9">
        <v>0</v>
      </c>
      <c r="I31" s="9"/>
      <c r="J31" s="9"/>
      <c r="K31" s="9"/>
      <c r="L31" s="9"/>
      <c r="M31" s="9">
        <v>13321</v>
      </c>
      <c r="N31" s="43">
        <f t="shared" ref="N31:N35" si="0">SUM(B31:M31)</f>
        <v>27729</v>
      </c>
      <c r="O31" s="16">
        <f>N31/N$39</f>
        <v>8.0526797252755231E-2</v>
      </c>
      <c r="P31" s="17" t="s">
        <v>37</v>
      </c>
      <c r="Q31" s="3"/>
      <c r="R31" s="3" t="s">
        <v>38</v>
      </c>
      <c r="S31" s="13">
        <f>C42/1000</f>
        <v>147.37200000000001</v>
      </c>
      <c r="T31" s="15">
        <f>C43</f>
        <v>0.40670680416741178</v>
      </c>
    </row>
    <row r="32" spans="1:20" ht="15">
      <c r="A32" s="5" t="s">
        <v>39</v>
      </c>
      <c r="B32" s="56">
        <v>531.94000000000005</v>
      </c>
      <c r="C32" s="62">
        <v>7799</v>
      </c>
      <c r="D32" s="9">
        <v>0</v>
      </c>
      <c r="E32" s="9">
        <v>0</v>
      </c>
      <c r="F32" s="9">
        <v>76</v>
      </c>
      <c r="G32" s="62">
        <v>84</v>
      </c>
      <c r="H32" s="9">
        <v>0</v>
      </c>
      <c r="I32" s="9"/>
      <c r="J32" s="9"/>
      <c r="K32" s="9"/>
      <c r="L32" s="9"/>
      <c r="M32" s="9">
        <v>15410</v>
      </c>
      <c r="N32" s="56">
        <f t="shared" si="0"/>
        <v>23900.940000000002</v>
      </c>
      <c r="O32" s="16">
        <f>N32/N$39</f>
        <v>6.9409865106216162E-2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56">
        <v>10904.769999999999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10901</v>
      </c>
      <c r="N33" s="56">
        <f t="shared" si="0"/>
        <v>21805.769999999997</v>
      </c>
      <c r="O33" s="16">
        <f>N33/N$39</f>
        <v>6.3325356836893221E-2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43">
        <v>0</v>
      </c>
      <c r="C34" s="9">
        <v>124950</v>
      </c>
      <c r="D34" s="9">
        <v>0</v>
      </c>
      <c r="E34" s="9">
        <v>0</v>
      </c>
      <c r="F34" s="9">
        <v>10121</v>
      </c>
      <c r="G34" s="9">
        <v>0</v>
      </c>
      <c r="H34" s="9">
        <v>0</v>
      </c>
      <c r="I34" s="9"/>
      <c r="J34" s="9"/>
      <c r="K34" s="9"/>
      <c r="L34" s="9"/>
      <c r="M34" s="9">
        <v>111</v>
      </c>
      <c r="N34" s="56">
        <f t="shared" si="0"/>
        <v>135182</v>
      </c>
      <c r="O34" s="16">
        <f>N34/N$39</f>
        <v>0.39257721180792521</v>
      </c>
      <c r="P34" s="17" t="s">
        <v>45</v>
      </c>
      <c r="Q34" s="3"/>
      <c r="R34" s="3"/>
      <c r="S34" s="13">
        <f>SUM(S26:S33)</f>
        <v>362.3544</v>
      </c>
      <c r="T34" s="14">
        <f>SUM(T26:T33)</f>
        <v>0.99999999999999989</v>
      </c>
    </row>
    <row r="35" spans="1:47" ht="15">
      <c r="A35" s="5" t="s">
        <v>46</v>
      </c>
      <c r="B35" s="56">
        <v>1063.8800000000001</v>
      </c>
      <c r="C35" s="9">
        <v>293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19544</v>
      </c>
      <c r="N35" s="56">
        <f t="shared" si="0"/>
        <v>20900.88</v>
      </c>
      <c r="O35" s="16">
        <f>N35/N$39</f>
        <v>6.0697498148659053E-2</v>
      </c>
      <c r="P35" s="17" t="s">
        <v>47</v>
      </c>
      <c r="Q35" s="17"/>
    </row>
    <row r="36" spans="1:47" ht="15">
      <c r="A36" s="5" t="s">
        <v>48</v>
      </c>
      <c r="B36" s="56">
        <v>1329.8500000000001</v>
      </c>
      <c r="C36" s="62">
        <v>523</v>
      </c>
      <c r="D36" s="9">
        <v>0</v>
      </c>
      <c r="E36" s="9">
        <v>0</v>
      </c>
      <c r="F36" s="9">
        <v>0</v>
      </c>
      <c r="G36" s="62">
        <v>21800</v>
      </c>
      <c r="H36" s="9">
        <v>0</v>
      </c>
      <c r="I36" s="9"/>
      <c r="J36" s="9"/>
      <c r="K36" s="9"/>
      <c r="L36" s="9"/>
      <c r="M36" s="9">
        <v>66924</v>
      </c>
      <c r="N36" s="56">
        <f>SUM(B36:M36)</f>
        <v>90576.85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64">
        <v>12766.56</v>
      </c>
      <c r="C37" s="9">
        <v>438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6360</v>
      </c>
      <c r="N37" s="56">
        <f t="shared" ref="N37:N39" si="1">SUM(B37:M37)</f>
        <v>19564.559999999998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43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4684</v>
      </c>
      <c r="N38" s="43">
        <f t="shared" si="1"/>
        <v>4684</v>
      </c>
      <c r="O38" s="17">
        <f>SUM(O31:O35)</f>
        <v>0.66653672915244899</v>
      </c>
      <c r="P38" s="17"/>
      <c r="Q38" s="3"/>
      <c r="R38" s="7" t="s">
        <v>51</v>
      </c>
      <c r="S38" s="19">
        <f>N45/1000</f>
        <v>13.837399999999999</v>
      </c>
      <c r="T38" s="7"/>
    </row>
    <row r="39" spans="1:47" ht="15">
      <c r="A39" s="5" t="s">
        <v>17</v>
      </c>
      <c r="B39" s="56">
        <v>26597</v>
      </c>
      <c r="C39" s="18">
        <f>SUM(C31:C38)</f>
        <v>147044</v>
      </c>
      <c r="D39" s="9">
        <v>0</v>
      </c>
      <c r="E39" s="9">
        <v>0</v>
      </c>
      <c r="F39" s="9">
        <v>11565</v>
      </c>
      <c r="G39" s="18">
        <f>G36+G31+G32</f>
        <v>21884</v>
      </c>
      <c r="H39" s="9">
        <v>0</v>
      </c>
      <c r="I39" s="9"/>
      <c r="J39" s="9"/>
      <c r="K39" s="9"/>
      <c r="L39" s="9"/>
      <c r="M39" s="9">
        <v>137255</v>
      </c>
      <c r="N39" s="56">
        <f t="shared" si="1"/>
        <v>344345</v>
      </c>
      <c r="O39" s="3"/>
      <c r="P39" s="3"/>
      <c r="Q39" s="3"/>
      <c r="R39" s="7" t="s">
        <v>52</v>
      </c>
      <c r="S39" s="20">
        <f>N41/1000</f>
        <v>114.82541000000001</v>
      </c>
      <c r="T39" s="14">
        <f>O41</f>
        <v>0.33346036678331326</v>
      </c>
    </row>
    <row r="40" spans="1:47">
      <c r="R40" s="7" t="s">
        <v>53</v>
      </c>
      <c r="S40" s="20">
        <f>N35/1000</f>
        <v>20.900880000000001</v>
      </c>
      <c r="T40" s="15">
        <f>O35</f>
        <v>6.0697498148659053E-2</v>
      </c>
    </row>
    <row r="41" spans="1:47" ht="15">
      <c r="A41" s="21" t="s">
        <v>54</v>
      </c>
      <c r="B41" s="22">
        <f>B38+B36+B37</f>
        <v>14096.41</v>
      </c>
      <c r="C41" s="22">
        <f t="shared" ref="C41:M41" si="2">C38+C37+C36</f>
        <v>961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21800</v>
      </c>
      <c r="H41" s="22">
        <f t="shared" si="2"/>
        <v>0</v>
      </c>
      <c r="I41" s="22">
        <f t="shared" si="2"/>
        <v>0</v>
      </c>
      <c r="J41" s="22">
        <f>J38+J37+J36</f>
        <v>0</v>
      </c>
      <c r="K41" s="22">
        <f t="shared" si="2"/>
        <v>0</v>
      </c>
      <c r="L41" s="22">
        <f t="shared" si="2"/>
        <v>0</v>
      </c>
      <c r="M41" s="22">
        <f t="shared" si="2"/>
        <v>77968</v>
      </c>
      <c r="N41" s="22">
        <f>N38+N37+N36</f>
        <v>114825.41</v>
      </c>
      <c r="O41" s="16">
        <f>N41/N$39</f>
        <v>0.33346036678331326</v>
      </c>
      <c r="P41" s="16" t="s">
        <v>55</v>
      </c>
      <c r="Q41" s="7"/>
      <c r="R41" s="7" t="s">
        <v>56</v>
      </c>
      <c r="S41" s="20">
        <f>N33/1000</f>
        <v>21.805769999999995</v>
      </c>
      <c r="T41" s="14">
        <f>O33</f>
        <v>6.3325356836893221E-2</v>
      </c>
    </row>
    <row r="42" spans="1:47" ht="15">
      <c r="A42" s="23" t="s">
        <v>57</v>
      </c>
      <c r="B42" s="22"/>
      <c r="C42" s="24">
        <f>C39+C23+C10</f>
        <v>147372</v>
      </c>
      <c r="D42" s="24">
        <f t="shared" ref="D42:L42" si="3">D39+D23+D10</f>
        <v>0</v>
      </c>
      <c r="E42" s="24">
        <f t="shared" si="3"/>
        <v>0</v>
      </c>
      <c r="F42" s="24">
        <f t="shared" si="3"/>
        <v>11565</v>
      </c>
      <c r="G42" s="24">
        <f t="shared" si="3"/>
        <v>55182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>M39+M23-B6+M45</f>
        <v>148235.4</v>
      </c>
      <c r="N42" s="25">
        <f>SUM(C42:M42)</f>
        <v>362354.4</v>
      </c>
      <c r="O42" s="7"/>
      <c r="P42" s="7"/>
      <c r="Q42" s="7"/>
      <c r="R42" s="7" t="s">
        <v>37</v>
      </c>
      <c r="S42" s="20">
        <f>N31/1000</f>
        <v>27.728999999999999</v>
      </c>
      <c r="T42" s="14">
        <f>O31</f>
        <v>8.0526797252755231E-2</v>
      </c>
    </row>
    <row r="43" spans="1:47" ht="15">
      <c r="A43" s="23" t="s">
        <v>58</v>
      </c>
      <c r="B43" s="22"/>
      <c r="C43" s="16">
        <f t="shared" ref="C43:M43" si="4">C42/$N42</f>
        <v>0.40670680416741178</v>
      </c>
      <c r="D43" s="16">
        <f t="shared" si="4"/>
        <v>0</v>
      </c>
      <c r="E43" s="16">
        <f t="shared" si="4"/>
        <v>0</v>
      </c>
      <c r="F43" s="16">
        <f t="shared" si="4"/>
        <v>3.1916267609831697E-2</v>
      </c>
      <c r="G43" s="16">
        <f t="shared" si="4"/>
        <v>0.15228737390797517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0.40908955431478128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23.900940000000002</v>
      </c>
      <c r="T43" s="15">
        <f>O32</f>
        <v>6.9409865106216162E-2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135.18199999999999</v>
      </c>
      <c r="T44" s="15">
        <f>O34</f>
        <v>0.39257721180792521</v>
      </c>
    </row>
    <row r="45" spans="1:47" ht="15">
      <c r="A45" s="6" t="s">
        <v>61</v>
      </c>
      <c r="B45" s="6">
        <f>B23-B39</f>
        <v>2857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10980.4</v>
      </c>
      <c r="N45" s="25">
        <f>B45+M45</f>
        <v>13837.4</v>
      </c>
      <c r="O45" s="7"/>
      <c r="P45" s="7"/>
      <c r="Q45" s="7"/>
      <c r="R45" s="7" t="s">
        <v>62</v>
      </c>
      <c r="S45" s="20">
        <f>SUM(S39:S44)</f>
        <v>344.34399999999994</v>
      </c>
      <c r="T45" s="14">
        <f>SUM(T39:T44)</f>
        <v>0.99999709593576203</v>
      </c>
    </row>
    <row r="46" spans="1:47" ht="15">
      <c r="A46" s="9" t="s">
        <v>95</v>
      </c>
      <c r="B46" s="41">
        <f>B45/B23</f>
        <v>9.6998709852651591E-2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7"/>
      <c r="H48" s="1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 enableFormatConditionsCalculation="0"/>
  <dimension ref="A1:AU70"/>
  <sheetViews>
    <sheetView topLeftCell="A11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9583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62">
        <v>9583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56">
        <v>30176</v>
      </c>
      <c r="C17" s="56">
        <v>620</v>
      </c>
      <c r="D17" s="9">
        <v>0</v>
      </c>
      <c r="E17" s="9">
        <v>0</v>
      </c>
      <c r="F17" s="9">
        <v>0</v>
      </c>
      <c r="G17" s="56">
        <v>28900</v>
      </c>
      <c r="H17" s="9">
        <v>0</v>
      </c>
      <c r="I17" s="9"/>
      <c r="J17" s="9"/>
      <c r="K17" s="9"/>
      <c r="L17" s="9"/>
      <c r="M17" s="9"/>
      <c r="N17" s="56">
        <f>SUM(C17:L17)</f>
        <v>29520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50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56">
        <f>B17</f>
        <v>30176</v>
      </c>
      <c r="C23" s="9">
        <f>C17</f>
        <v>620</v>
      </c>
      <c r="D23" s="9">
        <v>0</v>
      </c>
      <c r="E23" s="9">
        <v>0</v>
      </c>
      <c r="F23" s="9">
        <v>0</v>
      </c>
      <c r="G23" s="9">
        <f>G17</f>
        <v>28900</v>
      </c>
      <c r="H23" s="9">
        <v>0</v>
      </c>
      <c r="I23" s="9"/>
      <c r="J23" s="9"/>
      <c r="K23" s="9"/>
      <c r="L23" s="9"/>
      <c r="M23" s="9"/>
      <c r="N23" s="9">
        <f>N17</f>
        <v>29520</v>
      </c>
      <c r="O23" s="3"/>
      <c r="P23" s="3"/>
      <c r="Q23" s="3"/>
      <c r="R23" s="3" t="s">
        <v>27</v>
      </c>
      <c r="S23" s="12">
        <f>N42/1000</f>
        <v>376.59307999999999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192.24107999999998</v>
      </c>
      <c r="T26" s="14">
        <f>M43</f>
        <v>0.51047427637278942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48.634999999999998</v>
      </c>
      <c r="T27" s="15">
        <f>G43</f>
        <v>0.12914469910068449</v>
      </c>
    </row>
    <row r="28" spans="1:20" ht="15">
      <c r="A28" s="4" t="s">
        <v>73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10.654999999999999</v>
      </c>
      <c r="T29" s="14">
        <f>F43</f>
        <v>2.8293138047040062E-2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0</v>
      </c>
      <c r="T30" s="14">
        <f>E43</f>
        <v>0</v>
      </c>
    </row>
    <row r="31" spans="1:20" ht="15">
      <c r="A31" s="5" t="s">
        <v>36</v>
      </c>
      <c r="B31" s="9">
        <v>0</v>
      </c>
      <c r="C31" s="62">
        <f>(N31-M31)*0.91</f>
        <v>27509.3</v>
      </c>
      <c r="D31" s="9">
        <v>0</v>
      </c>
      <c r="E31" s="9">
        <v>0</v>
      </c>
      <c r="F31" s="62">
        <f>(N31-M31)*0.09</f>
        <v>2720.7</v>
      </c>
      <c r="G31" s="9">
        <v>0</v>
      </c>
      <c r="H31" s="9">
        <v>0</v>
      </c>
      <c r="I31" s="9"/>
      <c r="J31" s="9"/>
      <c r="K31" s="9"/>
      <c r="L31" s="9"/>
      <c r="M31" s="9">
        <v>30985</v>
      </c>
      <c r="N31" s="9">
        <v>61215</v>
      </c>
      <c r="O31" s="16">
        <f>N31/N$39</f>
        <v>0.17073742165993089</v>
      </c>
      <c r="P31" s="17" t="s">
        <v>37</v>
      </c>
      <c r="Q31" s="3"/>
      <c r="R31" s="3" t="s">
        <v>38</v>
      </c>
      <c r="S31" s="13">
        <f>C42/1000</f>
        <v>125.062</v>
      </c>
      <c r="T31" s="15">
        <f>C43</f>
        <v>0.33208788647948606</v>
      </c>
    </row>
    <row r="32" spans="1:20" ht="15">
      <c r="A32" s="5" t="s">
        <v>39</v>
      </c>
      <c r="B32" s="9">
        <v>500</v>
      </c>
      <c r="C32" s="62">
        <f>C39-C37-C36-C35-C34-C33-C31</f>
        <v>4240.7000000000007</v>
      </c>
      <c r="D32" s="9">
        <v>0</v>
      </c>
      <c r="E32" s="9">
        <v>0</v>
      </c>
      <c r="F32" s="62">
        <f>N32-M32-C32-B32</f>
        <v>162.29999999999927</v>
      </c>
      <c r="G32" s="9">
        <v>0</v>
      </c>
      <c r="H32" s="9">
        <v>0</v>
      </c>
      <c r="I32" s="9"/>
      <c r="J32" s="9"/>
      <c r="K32" s="9"/>
      <c r="L32" s="9"/>
      <c r="M32" s="9">
        <v>14690</v>
      </c>
      <c r="N32" s="9">
        <v>19593</v>
      </c>
      <c r="O32" s="16">
        <f>N32/N$39</f>
        <v>5.4647689334036201E-2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7900</v>
      </c>
      <c r="C33" s="9">
        <v>22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17410</v>
      </c>
      <c r="N33" s="9">
        <v>25331</v>
      </c>
      <c r="O33" s="16">
        <f>N33/N$39</f>
        <v>7.0651794953323688E-2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91310</v>
      </c>
      <c r="D34" s="9">
        <v>0</v>
      </c>
      <c r="E34" s="9">
        <v>0</v>
      </c>
      <c r="F34" s="9">
        <v>7774</v>
      </c>
      <c r="G34" s="9">
        <v>0</v>
      </c>
      <c r="H34" s="9">
        <v>0</v>
      </c>
      <c r="I34" s="9"/>
      <c r="J34" s="9"/>
      <c r="K34" s="9"/>
      <c r="L34" s="9"/>
      <c r="M34" s="9">
        <v>4</v>
      </c>
      <c r="N34" s="9">
        <v>99087</v>
      </c>
      <c r="O34" s="16">
        <f>N34/N$39</f>
        <v>0.27636786571947353</v>
      </c>
      <c r="P34" s="17" t="s">
        <v>45</v>
      </c>
      <c r="Q34" s="3"/>
      <c r="R34" s="3"/>
      <c r="S34" s="13">
        <f>SUM(S26:S33)</f>
        <v>376.59307999999999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73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22651</v>
      </c>
      <c r="N35" s="9">
        <v>22724</v>
      </c>
      <c r="O35" s="16">
        <f>N35/N$39</f>
        <v>6.3380497750555737E-2</v>
      </c>
      <c r="P35" s="17" t="s">
        <v>47</v>
      </c>
      <c r="Q35" s="17"/>
    </row>
    <row r="36" spans="1:47" ht="15">
      <c r="A36" s="5" t="s">
        <v>48</v>
      </c>
      <c r="B36" s="9">
        <v>4500</v>
      </c>
      <c r="C36" s="9">
        <v>1038</v>
      </c>
      <c r="D36" s="9">
        <v>0</v>
      </c>
      <c r="E36" s="9">
        <v>0</v>
      </c>
      <c r="F36" s="9">
        <v>0</v>
      </c>
      <c r="G36" s="9">
        <v>19735</v>
      </c>
      <c r="H36" s="9">
        <v>0</v>
      </c>
      <c r="I36" s="9"/>
      <c r="J36" s="9"/>
      <c r="K36" s="9"/>
      <c r="L36" s="9"/>
      <c r="M36" s="9">
        <v>71988</v>
      </c>
      <c r="N36" s="9">
        <v>97261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12800</v>
      </c>
      <c r="C37" s="9">
        <v>249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5261</v>
      </c>
      <c r="N37" s="9">
        <v>18310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15011</v>
      </c>
      <c r="N38" s="9">
        <v>15011</v>
      </c>
      <c r="O38" s="17">
        <f>SUM(O31:O35)</f>
        <v>0.63578526941732005</v>
      </c>
      <c r="P38" s="17"/>
      <c r="Q38" s="3"/>
      <c r="R38" s="7" t="s">
        <v>51</v>
      </c>
      <c r="S38" s="19">
        <f>N45/1000</f>
        <v>18.716080000000002</v>
      </c>
      <c r="T38" s="7"/>
    </row>
    <row r="39" spans="1:47" ht="15">
      <c r="A39" s="5" t="s">
        <v>17</v>
      </c>
      <c r="B39" s="9">
        <v>25700</v>
      </c>
      <c r="C39" s="9">
        <v>124442</v>
      </c>
      <c r="D39" s="9">
        <v>0</v>
      </c>
      <c r="E39" s="9">
        <v>0</v>
      </c>
      <c r="F39" s="9">
        <v>10655</v>
      </c>
      <c r="G39" s="9">
        <v>19735</v>
      </c>
      <c r="H39" s="9">
        <v>0</v>
      </c>
      <c r="I39" s="9"/>
      <c r="J39" s="9"/>
      <c r="K39" s="9"/>
      <c r="L39" s="9"/>
      <c r="M39" s="9">
        <v>178001</v>
      </c>
      <c r="N39" s="9">
        <v>358533</v>
      </c>
      <c r="O39" s="3"/>
      <c r="P39" s="3"/>
      <c r="Q39" s="3"/>
      <c r="R39" s="7" t="s">
        <v>52</v>
      </c>
      <c r="S39" s="20">
        <f>N41/1000</f>
        <v>130.58199999999999</v>
      </c>
      <c r="T39" s="14">
        <f>O41</f>
        <v>0.36421194143914226</v>
      </c>
    </row>
    <row r="40" spans="1:47">
      <c r="R40" s="7" t="s">
        <v>53</v>
      </c>
      <c r="S40" s="20">
        <f>N35/1000</f>
        <v>22.724</v>
      </c>
      <c r="T40" s="15">
        <f>O35</f>
        <v>6.3380497750555737E-2</v>
      </c>
    </row>
    <row r="41" spans="1:47" ht="15">
      <c r="A41" s="21" t="s">
        <v>54</v>
      </c>
      <c r="B41" s="22">
        <f>B38+B37+B36</f>
        <v>17300</v>
      </c>
      <c r="C41" s="22">
        <f t="shared" ref="C41:N41" si="0">C38+C37+C36</f>
        <v>1287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19735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92260</v>
      </c>
      <c r="N41" s="22">
        <f t="shared" si="0"/>
        <v>130582</v>
      </c>
      <c r="O41" s="16">
        <f>N41/N$39</f>
        <v>0.36421194143914226</v>
      </c>
      <c r="P41" s="16" t="s">
        <v>55</v>
      </c>
      <c r="Q41" s="7"/>
      <c r="R41" s="7" t="s">
        <v>56</v>
      </c>
      <c r="S41" s="20">
        <f>N33/1000</f>
        <v>25.331</v>
      </c>
      <c r="T41" s="14">
        <f>O33</f>
        <v>7.0651794953323688E-2</v>
      </c>
    </row>
    <row r="42" spans="1:47" ht="15">
      <c r="A42" s="23" t="s">
        <v>57</v>
      </c>
      <c r="B42" s="22"/>
      <c r="C42" s="24">
        <f>C39+C23+C10</f>
        <v>125062</v>
      </c>
      <c r="D42" s="24">
        <f t="shared" ref="D42:L42" si="1">D39+D23+D10</f>
        <v>0</v>
      </c>
      <c r="E42" s="24">
        <f t="shared" si="1"/>
        <v>0</v>
      </c>
      <c r="F42" s="24">
        <f t="shared" si="1"/>
        <v>10655</v>
      </c>
      <c r="G42" s="24">
        <f t="shared" si="1"/>
        <v>48635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192241.08</v>
      </c>
      <c r="N42" s="25">
        <f>SUM(C42:M42)</f>
        <v>376593.07999999996</v>
      </c>
      <c r="O42" s="7"/>
      <c r="P42" s="7"/>
      <c r="Q42" s="7"/>
      <c r="R42" s="7" t="s">
        <v>37</v>
      </c>
      <c r="S42" s="20">
        <f>N31/1000</f>
        <v>61.215000000000003</v>
      </c>
      <c r="T42" s="14">
        <f>O31</f>
        <v>0.17073742165993089</v>
      </c>
    </row>
    <row r="43" spans="1:47" ht="15">
      <c r="A43" s="23" t="s">
        <v>58</v>
      </c>
      <c r="B43" s="22"/>
      <c r="C43" s="16">
        <f t="shared" ref="C43:M43" si="2">C42/$N42</f>
        <v>0.33208788647948606</v>
      </c>
      <c r="D43" s="16">
        <f t="shared" si="2"/>
        <v>0</v>
      </c>
      <c r="E43" s="16">
        <f t="shared" si="2"/>
        <v>0</v>
      </c>
      <c r="F43" s="16">
        <f t="shared" si="2"/>
        <v>2.8293138047040062E-2</v>
      </c>
      <c r="G43" s="16">
        <f t="shared" si="2"/>
        <v>0.12914469910068449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0.51047427637278942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19.593</v>
      </c>
      <c r="T43" s="15">
        <f>O32</f>
        <v>5.4647689334036201E-2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99.087000000000003</v>
      </c>
      <c r="T44" s="15">
        <f>O34</f>
        <v>0.27636786571947353</v>
      </c>
    </row>
    <row r="45" spans="1:47" ht="15">
      <c r="A45" s="6" t="s">
        <v>61</v>
      </c>
      <c r="B45" s="6">
        <f>B23-B39</f>
        <v>4476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14240.08</v>
      </c>
      <c r="N45" s="25">
        <f>B45+M45</f>
        <v>18716.080000000002</v>
      </c>
      <c r="O45" s="7"/>
      <c r="P45" s="7"/>
      <c r="Q45" s="7"/>
      <c r="R45" s="7" t="s">
        <v>62</v>
      </c>
      <c r="S45" s="20">
        <f>SUM(S39:S44)</f>
        <v>358.53199999999998</v>
      </c>
      <c r="T45" s="14">
        <f>SUM(T39:T44)</f>
        <v>0.99999721085646232</v>
      </c>
    </row>
    <row r="46" spans="1:47" ht="15">
      <c r="A46" s="9" t="s">
        <v>95</v>
      </c>
      <c r="B46" s="41">
        <f>B45/B23</f>
        <v>0.14832979851537645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 enableFormatConditionsCalculation="0"/>
  <dimension ref="A1:AU70"/>
  <sheetViews>
    <sheetView topLeftCell="A17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32320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32320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32416</v>
      </c>
      <c r="C18" s="9">
        <v>627</v>
      </c>
      <c r="D18" s="9">
        <v>0</v>
      </c>
      <c r="E18" s="9">
        <v>0</v>
      </c>
      <c r="F18" s="9">
        <v>0</v>
      </c>
      <c r="G18" s="9">
        <v>35460</v>
      </c>
      <c r="H18" s="9">
        <v>0</v>
      </c>
      <c r="I18" s="9"/>
      <c r="J18" s="9"/>
      <c r="K18" s="9"/>
      <c r="L18" s="9"/>
      <c r="M18" s="9"/>
      <c r="N18" s="9">
        <v>36087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2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32416</v>
      </c>
      <c r="C23" s="9">
        <v>627</v>
      </c>
      <c r="D23" s="9">
        <v>0</v>
      </c>
      <c r="E23" s="9">
        <v>0</v>
      </c>
      <c r="F23" s="9">
        <v>0</v>
      </c>
      <c r="G23" s="9">
        <v>35460</v>
      </c>
      <c r="H23" s="9">
        <v>0</v>
      </c>
      <c r="I23" s="9"/>
      <c r="J23" s="9"/>
      <c r="K23" s="9"/>
      <c r="L23" s="9"/>
      <c r="M23" s="9"/>
      <c r="N23" s="9">
        <v>36087</v>
      </c>
      <c r="O23" s="3"/>
      <c r="P23" s="3"/>
      <c r="Q23" s="3"/>
      <c r="R23" s="3" t="s">
        <v>27</v>
      </c>
      <c r="S23" s="12">
        <f>N42/1000</f>
        <v>370.52492000000007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136.78092000000001</v>
      </c>
      <c r="T26" s="14">
        <f>M43</f>
        <v>0.3691544417579255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73.212000000000003</v>
      </c>
      <c r="T27" s="15">
        <f>G43</f>
        <v>0.1975899488757733</v>
      </c>
    </row>
    <row r="28" spans="1:20" ht="15">
      <c r="A28" s="4" t="s">
        <v>74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13.39</v>
      </c>
      <c r="T29" s="14">
        <f>F43</f>
        <v>3.6137920224097203E-2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0.53500000000000003</v>
      </c>
      <c r="T30" s="14">
        <f>E43</f>
        <v>1.4438974846820018E-3</v>
      </c>
    </row>
    <row r="31" spans="1:20" ht="15">
      <c r="A31" s="5" t="s">
        <v>36</v>
      </c>
      <c r="B31" s="9">
        <v>0</v>
      </c>
      <c r="C31" s="9">
        <v>17637</v>
      </c>
      <c r="D31" s="9">
        <v>0</v>
      </c>
      <c r="E31" s="9">
        <v>0</v>
      </c>
      <c r="F31" s="56">
        <v>1900</v>
      </c>
      <c r="G31" s="9">
        <v>0</v>
      </c>
      <c r="H31" s="9">
        <v>0</v>
      </c>
      <c r="I31" s="9"/>
      <c r="J31" s="9"/>
      <c r="K31" s="9"/>
      <c r="L31" s="9"/>
      <c r="M31" s="9">
        <v>6628</v>
      </c>
      <c r="N31" s="9">
        <v>26166</v>
      </c>
      <c r="O31" s="16">
        <f>N31/N$39</f>
        <v>7.4057302000164152E-2</v>
      </c>
      <c r="P31" s="17" t="s">
        <v>37</v>
      </c>
      <c r="Q31" s="3"/>
      <c r="R31" s="3" t="s">
        <v>38</v>
      </c>
      <c r="S31" s="13">
        <f>C42/1000</f>
        <v>146.607</v>
      </c>
      <c r="T31" s="15">
        <f>C43</f>
        <v>0.39567379165752192</v>
      </c>
    </row>
    <row r="32" spans="1:20" ht="15">
      <c r="A32" s="5" t="s">
        <v>39</v>
      </c>
      <c r="B32" s="9">
        <v>700</v>
      </c>
      <c r="C32" s="9">
        <v>4093</v>
      </c>
      <c r="D32" s="9">
        <v>0</v>
      </c>
      <c r="E32" s="62">
        <f>N32-M32-C32-B32-F32</f>
        <v>535</v>
      </c>
      <c r="F32" s="62">
        <v>204</v>
      </c>
      <c r="G32" s="9">
        <v>0</v>
      </c>
      <c r="H32" s="9">
        <v>0</v>
      </c>
      <c r="I32" s="9"/>
      <c r="J32" s="9"/>
      <c r="K32" s="9"/>
      <c r="L32" s="9"/>
      <c r="M32" s="9">
        <v>15943</v>
      </c>
      <c r="N32" s="9">
        <v>21475</v>
      </c>
      <c r="O32" s="16">
        <f>N32/N$39</f>
        <v>6.0780423467611602E-2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11100</v>
      </c>
      <c r="C33" s="9">
        <v>362</v>
      </c>
      <c r="D33" s="9">
        <v>0</v>
      </c>
      <c r="E33" s="9">
        <v>0</v>
      </c>
      <c r="F33" s="56">
        <v>0</v>
      </c>
      <c r="G33" s="9">
        <v>0</v>
      </c>
      <c r="H33" s="9">
        <v>0</v>
      </c>
      <c r="I33" s="9"/>
      <c r="J33" s="9"/>
      <c r="K33" s="9"/>
      <c r="L33" s="9"/>
      <c r="M33" s="9">
        <v>15405</v>
      </c>
      <c r="N33" s="9">
        <v>26867</v>
      </c>
      <c r="O33" s="16">
        <f>N33/N$39</f>
        <v>7.6041333518245449E-2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122688</v>
      </c>
      <c r="D34" s="9">
        <v>0</v>
      </c>
      <c r="E34" s="9">
        <v>0</v>
      </c>
      <c r="F34" s="56">
        <v>11286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133974</v>
      </c>
      <c r="O34" s="16">
        <f>N34/N$39</f>
        <v>0.37918493381372748</v>
      </c>
      <c r="P34" s="17" t="s">
        <v>45</v>
      </c>
      <c r="Q34" s="3"/>
      <c r="R34" s="3"/>
      <c r="S34" s="13">
        <f>SUM(S26:S33)</f>
        <v>370.52492000000001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456</v>
      </c>
      <c r="D35" s="9">
        <v>0</v>
      </c>
      <c r="E35" s="9">
        <v>0</v>
      </c>
      <c r="F35" s="56">
        <v>0</v>
      </c>
      <c r="G35" s="9">
        <v>0</v>
      </c>
      <c r="H35" s="9">
        <v>0</v>
      </c>
      <c r="I35" s="9"/>
      <c r="J35" s="9"/>
      <c r="K35" s="9"/>
      <c r="L35" s="9"/>
      <c r="M35" s="9">
        <v>21763</v>
      </c>
      <c r="N35" s="9">
        <v>22219</v>
      </c>
      <c r="O35" s="16">
        <f>N35/N$39</f>
        <v>6.2886157347001731E-2</v>
      </c>
      <c r="P35" s="17" t="s">
        <v>47</v>
      </c>
      <c r="Q35" s="17"/>
    </row>
    <row r="36" spans="1:47" ht="15">
      <c r="A36" s="5" t="s">
        <v>48</v>
      </c>
      <c r="B36" s="9">
        <v>3100</v>
      </c>
      <c r="C36" s="9">
        <v>604</v>
      </c>
      <c r="D36" s="9">
        <v>0</v>
      </c>
      <c r="E36" s="9">
        <v>0</v>
      </c>
      <c r="F36" s="56">
        <v>0</v>
      </c>
      <c r="G36" s="9">
        <v>37752</v>
      </c>
      <c r="H36" s="9">
        <v>0</v>
      </c>
      <c r="I36" s="9"/>
      <c r="J36" s="9"/>
      <c r="K36" s="9"/>
      <c r="L36" s="9"/>
      <c r="M36" s="9">
        <v>40012</v>
      </c>
      <c r="N36" s="9">
        <v>81468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14116</v>
      </c>
      <c r="C37" s="9">
        <v>140</v>
      </c>
      <c r="D37" s="9">
        <v>0</v>
      </c>
      <c r="E37" s="9">
        <v>0</v>
      </c>
      <c r="F37" s="56">
        <v>0</v>
      </c>
      <c r="G37" s="9">
        <v>0</v>
      </c>
      <c r="H37" s="9">
        <v>0</v>
      </c>
      <c r="I37" s="9"/>
      <c r="J37" s="9"/>
      <c r="K37" s="9"/>
      <c r="L37" s="9"/>
      <c r="M37" s="9">
        <v>15800</v>
      </c>
      <c r="N37" s="9">
        <v>30056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56">
        <v>0</v>
      </c>
      <c r="G38" s="9">
        <v>0</v>
      </c>
      <c r="H38" s="9">
        <v>0</v>
      </c>
      <c r="I38" s="9"/>
      <c r="J38" s="9"/>
      <c r="K38" s="9"/>
      <c r="L38" s="9"/>
      <c r="M38" s="9">
        <v>11097</v>
      </c>
      <c r="N38" s="9">
        <v>11097</v>
      </c>
      <c r="O38" s="17">
        <f>SUM(O31:O35)</f>
        <v>0.6529501501467504</v>
      </c>
      <c r="P38" s="17"/>
      <c r="Q38" s="3"/>
      <c r="R38" s="7" t="s">
        <v>51</v>
      </c>
      <c r="S38" s="19">
        <f>N45/1000</f>
        <v>13.53192</v>
      </c>
      <c r="T38" s="7"/>
    </row>
    <row r="39" spans="1:47" ht="15">
      <c r="A39" s="5" t="s">
        <v>17</v>
      </c>
      <c r="B39" s="9">
        <v>29016</v>
      </c>
      <c r="C39" s="9">
        <v>145980</v>
      </c>
      <c r="D39" s="9">
        <v>0</v>
      </c>
      <c r="E39" s="18">
        <f>E32</f>
        <v>535</v>
      </c>
      <c r="F39" s="18">
        <f>F31+F32+F34</f>
        <v>13390</v>
      </c>
      <c r="G39" s="9">
        <v>37752</v>
      </c>
      <c r="H39" s="9">
        <v>0</v>
      </c>
      <c r="I39" s="9"/>
      <c r="J39" s="9"/>
      <c r="K39" s="9"/>
      <c r="L39" s="9"/>
      <c r="M39" s="9">
        <v>126649</v>
      </c>
      <c r="N39" s="9">
        <v>353321</v>
      </c>
      <c r="O39" s="3"/>
      <c r="P39" s="3"/>
      <c r="Q39" s="3"/>
      <c r="R39" s="7" t="s">
        <v>52</v>
      </c>
      <c r="S39" s="20">
        <f>N41/1000</f>
        <v>122.621</v>
      </c>
      <c r="T39" s="14">
        <f>O41</f>
        <v>0.34705268014072188</v>
      </c>
    </row>
    <row r="40" spans="1:47">
      <c r="R40" s="7" t="s">
        <v>53</v>
      </c>
      <c r="S40" s="20">
        <f>N35/1000</f>
        <v>22.219000000000001</v>
      </c>
      <c r="T40" s="15">
        <f>O35</f>
        <v>6.2886157347001731E-2</v>
      </c>
    </row>
    <row r="41" spans="1:47" ht="15">
      <c r="A41" s="21" t="s">
        <v>54</v>
      </c>
      <c r="B41" s="22">
        <f>B38+B37+B36</f>
        <v>17216</v>
      </c>
      <c r="C41" s="22">
        <f t="shared" ref="C41:N41" si="0">C38+C37+C36</f>
        <v>744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37752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66909</v>
      </c>
      <c r="N41" s="22">
        <f t="shared" si="0"/>
        <v>122621</v>
      </c>
      <c r="O41" s="16">
        <f>N41/N$39</f>
        <v>0.34705268014072188</v>
      </c>
      <c r="P41" s="16" t="s">
        <v>55</v>
      </c>
      <c r="Q41" s="7"/>
      <c r="R41" s="7" t="s">
        <v>56</v>
      </c>
      <c r="S41" s="20">
        <f>N33/1000</f>
        <v>26.867000000000001</v>
      </c>
      <c r="T41" s="14">
        <f>O33</f>
        <v>7.6041333518245449E-2</v>
      </c>
    </row>
    <row r="42" spans="1:47" ht="15">
      <c r="A42" s="23" t="s">
        <v>57</v>
      </c>
      <c r="B42" s="22"/>
      <c r="C42" s="24">
        <f>C39+C23+C10</f>
        <v>146607</v>
      </c>
      <c r="D42" s="24">
        <f t="shared" ref="D42:L42" si="1">D39+D23+D10</f>
        <v>0</v>
      </c>
      <c r="E42" s="24">
        <f t="shared" si="1"/>
        <v>535</v>
      </c>
      <c r="F42" s="24">
        <f t="shared" si="1"/>
        <v>13390</v>
      </c>
      <c r="G42" s="24">
        <f t="shared" si="1"/>
        <v>73212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136780.92000000001</v>
      </c>
      <c r="N42" s="25">
        <f>SUM(C42:M42)</f>
        <v>370524.92000000004</v>
      </c>
      <c r="O42" s="7"/>
      <c r="P42" s="7"/>
      <c r="Q42" s="7"/>
      <c r="R42" s="7" t="s">
        <v>37</v>
      </c>
      <c r="S42" s="20">
        <f>N31/1000</f>
        <v>26.166</v>
      </c>
      <c r="T42" s="14">
        <f>O31</f>
        <v>7.4057302000164152E-2</v>
      </c>
    </row>
    <row r="43" spans="1:47" ht="15">
      <c r="A43" s="23" t="s">
        <v>58</v>
      </c>
      <c r="B43" s="22"/>
      <c r="C43" s="16">
        <f t="shared" ref="C43:M43" si="2">C42/$N42</f>
        <v>0.39567379165752192</v>
      </c>
      <c r="D43" s="16">
        <f t="shared" si="2"/>
        <v>0</v>
      </c>
      <c r="E43" s="16">
        <f t="shared" si="2"/>
        <v>1.4438974846820018E-3</v>
      </c>
      <c r="F43" s="16">
        <f t="shared" si="2"/>
        <v>3.6137920224097203E-2</v>
      </c>
      <c r="G43" s="16">
        <f t="shared" si="2"/>
        <v>0.1975899488757733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0.3691544417579255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21.475000000000001</v>
      </c>
      <c r="T43" s="15">
        <f>O32</f>
        <v>6.0780423467611602E-2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133.97399999999999</v>
      </c>
      <c r="T44" s="15">
        <f>O34</f>
        <v>0.37918493381372748</v>
      </c>
    </row>
    <row r="45" spans="1:47" ht="15">
      <c r="A45" s="6" t="s">
        <v>61</v>
      </c>
      <c r="B45" s="6">
        <f>B23-B39</f>
        <v>3400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10131.92</v>
      </c>
      <c r="N45" s="25">
        <f>B45+M45</f>
        <v>13531.92</v>
      </c>
      <c r="O45" s="7"/>
      <c r="P45" s="7"/>
      <c r="Q45" s="7"/>
      <c r="R45" s="7" t="s">
        <v>62</v>
      </c>
      <c r="S45" s="20">
        <f>SUM(S39:S44)</f>
        <v>353.322</v>
      </c>
      <c r="T45" s="14">
        <f>SUM(T39:T44)</f>
        <v>1.0000028302874724</v>
      </c>
    </row>
    <row r="46" spans="1:47" ht="15">
      <c r="A46" s="9" t="s">
        <v>95</v>
      </c>
      <c r="B46" s="42">
        <f>B45/B23</f>
        <v>0.10488647581441264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8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8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/>
  <dimension ref="A1:AU70"/>
  <sheetViews>
    <sheetView topLeftCell="A11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24207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24207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28100</v>
      </c>
      <c r="C18" s="9">
        <v>0</v>
      </c>
      <c r="D18" s="9">
        <v>0</v>
      </c>
      <c r="E18" s="9">
        <v>166</v>
      </c>
      <c r="F18" s="9">
        <v>0</v>
      </c>
      <c r="G18" s="9">
        <v>27720</v>
      </c>
      <c r="H18" s="9">
        <v>0</v>
      </c>
      <c r="I18" s="9"/>
      <c r="J18" s="9"/>
      <c r="K18" s="9"/>
      <c r="L18" s="9"/>
      <c r="M18" s="9"/>
      <c r="N18" s="9">
        <v>27886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28100</v>
      </c>
      <c r="C23" s="9">
        <v>0</v>
      </c>
      <c r="D23" s="9">
        <v>0</v>
      </c>
      <c r="E23" s="9">
        <v>166</v>
      </c>
      <c r="F23" s="9">
        <v>0</v>
      </c>
      <c r="G23" s="9">
        <v>27720</v>
      </c>
      <c r="H23" s="9">
        <v>0</v>
      </c>
      <c r="I23" s="9"/>
      <c r="J23" s="9"/>
      <c r="K23" s="9"/>
      <c r="L23" s="9"/>
      <c r="M23" s="9"/>
      <c r="N23" s="9">
        <v>27886</v>
      </c>
      <c r="O23" s="3"/>
      <c r="P23" s="3"/>
      <c r="Q23" s="3"/>
      <c r="R23" s="3" t="s">
        <v>27</v>
      </c>
      <c r="S23" s="12">
        <f>N42/1000</f>
        <v>382.54328000000004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142.41528</v>
      </c>
      <c r="T26" s="14">
        <f>M43</f>
        <v>0.37228540519650477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58.485999999999997</v>
      </c>
      <c r="T27" s="15">
        <f>G43</f>
        <v>0.15288727591816537</v>
      </c>
    </row>
    <row r="28" spans="1:20" ht="15">
      <c r="A28" s="4" t="s">
        <v>75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14.146000000000001</v>
      </c>
      <c r="T29" s="14">
        <f>F43</f>
        <v>3.697882237011195E-2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1.139</v>
      </c>
      <c r="T30" s="14">
        <f>E43</f>
        <v>2.9774408793692571E-3</v>
      </c>
    </row>
    <row r="31" spans="1:20" ht="15">
      <c r="A31" s="5" t="s">
        <v>36</v>
      </c>
      <c r="B31" s="9">
        <v>0</v>
      </c>
      <c r="C31" s="9">
        <v>5724</v>
      </c>
      <c r="D31" s="9">
        <v>0</v>
      </c>
      <c r="E31" s="9">
        <v>0</v>
      </c>
      <c r="F31" s="9">
        <v>606</v>
      </c>
      <c r="G31" s="9">
        <v>0</v>
      </c>
      <c r="H31" s="9">
        <v>0</v>
      </c>
      <c r="I31" s="9"/>
      <c r="J31" s="9"/>
      <c r="K31" s="9"/>
      <c r="L31" s="9"/>
      <c r="M31" s="9">
        <v>3311</v>
      </c>
      <c r="N31" s="9">
        <v>9641</v>
      </c>
      <c r="O31" s="16">
        <f>N31/N$39</f>
        <v>2.6133887039587106E-2</v>
      </c>
      <c r="P31" s="17" t="s">
        <v>37</v>
      </c>
      <c r="Q31" s="3"/>
      <c r="R31" s="3" t="s">
        <v>38</v>
      </c>
      <c r="S31" s="13">
        <f>C42/1000</f>
        <v>166.357</v>
      </c>
      <c r="T31" s="15">
        <f>C43</f>
        <v>0.43487105563584855</v>
      </c>
    </row>
    <row r="32" spans="1:20" ht="15">
      <c r="A32" s="5" t="s">
        <v>39</v>
      </c>
      <c r="B32" s="9">
        <v>2000</v>
      </c>
      <c r="C32" s="62">
        <v>444</v>
      </c>
      <c r="D32" s="9">
        <v>0</v>
      </c>
      <c r="E32" s="62">
        <f>N32-C32-B32-F32-M32</f>
        <v>973</v>
      </c>
      <c r="F32" s="9">
        <v>16</v>
      </c>
      <c r="G32" s="9">
        <v>0</v>
      </c>
      <c r="H32" s="9">
        <v>0</v>
      </c>
      <c r="I32" s="9"/>
      <c r="J32" s="9"/>
      <c r="K32" s="9"/>
      <c r="L32" s="9"/>
      <c r="M32" s="9">
        <v>10879</v>
      </c>
      <c r="N32" s="9">
        <v>14312</v>
      </c>
      <c r="O32" s="16">
        <f>N32/N$39</f>
        <v>3.8795580469927461E-2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7200</v>
      </c>
      <c r="C33" s="9">
        <v>372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20505</v>
      </c>
      <c r="N33" s="9">
        <v>28077</v>
      </c>
      <c r="O33" s="16">
        <f>N33/N$39</f>
        <v>7.6108406431955933E-2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158388</v>
      </c>
      <c r="D34" s="9">
        <v>0</v>
      </c>
      <c r="E34" s="9">
        <v>0</v>
      </c>
      <c r="F34" s="9">
        <v>13524</v>
      </c>
      <c r="G34" s="9">
        <v>0</v>
      </c>
      <c r="H34" s="9">
        <v>0</v>
      </c>
      <c r="I34" s="9"/>
      <c r="J34" s="9"/>
      <c r="K34" s="9"/>
      <c r="L34" s="9"/>
      <c r="M34" s="9">
        <v>70</v>
      </c>
      <c r="N34" s="9">
        <v>171982</v>
      </c>
      <c r="O34" s="16">
        <f>N34/N$39</f>
        <v>0.46619211293872725</v>
      </c>
      <c r="P34" s="17" t="s">
        <v>45</v>
      </c>
      <c r="Q34" s="3"/>
      <c r="R34" s="3"/>
      <c r="S34" s="13">
        <f>SUM(S26:S33)</f>
        <v>382.54327999999998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670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14730</v>
      </c>
      <c r="N35" s="9">
        <v>15400</v>
      </c>
      <c r="O35" s="16">
        <f>N35/N$39</f>
        <v>4.1744825268088523E-2</v>
      </c>
      <c r="P35" s="17" t="s">
        <v>47</v>
      </c>
      <c r="Q35" s="17"/>
    </row>
    <row r="36" spans="1:47" ht="15">
      <c r="A36" s="5" t="s">
        <v>48</v>
      </c>
      <c r="B36" s="9">
        <v>1300</v>
      </c>
      <c r="C36" s="9">
        <v>540</v>
      </c>
      <c r="D36" s="9">
        <v>0</v>
      </c>
      <c r="E36" s="9">
        <v>0</v>
      </c>
      <c r="F36" s="9">
        <v>0</v>
      </c>
      <c r="G36" s="9">
        <v>30766</v>
      </c>
      <c r="H36" s="9">
        <v>0</v>
      </c>
      <c r="I36" s="9"/>
      <c r="J36" s="9"/>
      <c r="K36" s="9"/>
      <c r="L36" s="9"/>
      <c r="M36" s="9">
        <v>55661</v>
      </c>
      <c r="N36" s="9">
        <v>88267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14300</v>
      </c>
      <c r="C37" s="9">
        <v>219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14588</v>
      </c>
      <c r="N37" s="9">
        <v>29107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12122</v>
      </c>
      <c r="N38" s="9">
        <v>12122</v>
      </c>
      <c r="O38" s="17">
        <f>SUM(O31:O35)</f>
        <v>0.64897481214828634</v>
      </c>
      <c r="P38" s="17"/>
      <c r="Q38" s="3"/>
      <c r="R38" s="7" t="s">
        <v>51</v>
      </c>
      <c r="S38" s="19">
        <f>N45/1000</f>
        <v>13.84928</v>
      </c>
      <c r="T38" s="7"/>
    </row>
    <row r="39" spans="1:47" ht="15">
      <c r="A39" s="5" t="s">
        <v>17</v>
      </c>
      <c r="B39" s="9">
        <v>24800</v>
      </c>
      <c r="C39" s="57">
        <f>SUM(C31:C38)</f>
        <v>166357</v>
      </c>
      <c r="D39" s="9">
        <v>0</v>
      </c>
      <c r="E39" s="57">
        <f>SUM(E31:E38)</f>
        <v>973</v>
      </c>
      <c r="F39" s="9">
        <v>14146</v>
      </c>
      <c r="G39" s="9">
        <v>30766</v>
      </c>
      <c r="H39" s="9">
        <v>0</v>
      </c>
      <c r="I39" s="9"/>
      <c r="J39" s="9"/>
      <c r="K39" s="9"/>
      <c r="L39" s="9"/>
      <c r="M39" s="9">
        <v>131866</v>
      </c>
      <c r="N39" s="9">
        <v>368908</v>
      </c>
      <c r="O39" s="3"/>
      <c r="P39" s="3"/>
      <c r="Q39" s="3"/>
      <c r="R39" s="7" t="s">
        <v>52</v>
      </c>
      <c r="S39" s="20">
        <f>N41/1000</f>
        <v>129.49600000000001</v>
      </c>
      <c r="T39" s="14">
        <f>O41</f>
        <v>0.35102518785171372</v>
      </c>
    </row>
    <row r="40" spans="1:47">
      <c r="R40" s="7" t="s">
        <v>53</v>
      </c>
      <c r="S40" s="20">
        <f>N35/1000</f>
        <v>15.4</v>
      </c>
      <c r="T40" s="15">
        <f>O35</f>
        <v>4.1744825268088523E-2</v>
      </c>
    </row>
    <row r="41" spans="1:47" ht="15">
      <c r="A41" s="21" t="s">
        <v>54</v>
      </c>
      <c r="B41" s="22">
        <f>B38+B37+B36</f>
        <v>15600</v>
      </c>
      <c r="C41" s="22">
        <f t="shared" ref="C41:N41" si="0">C38+C37+C36</f>
        <v>759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30766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82371</v>
      </c>
      <c r="N41" s="22">
        <f t="shared" si="0"/>
        <v>129496</v>
      </c>
      <c r="O41" s="16">
        <f>N41/N$39</f>
        <v>0.35102518785171372</v>
      </c>
      <c r="P41" s="16" t="s">
        <v>55</v>
      </c>
      <c r="Q41" s="7"/>
      <c r="R41" s="7" t="s">
        <v>56</v>
      </c>
      <c r="S41" s="20">
        <f>N33/1000</f>
        <v>28.077000000000002</v>
      </c>
      <c r="T41" s="14">
        <f>O33</f>
        <v>7.6108406431955933E-2</v>
      </c>
    </row>
    <row r="42" spans="1:47" ht="15">
      <c r="A42" s="23" t="s">
        <v>57</v>
      </c>
      <c r="B42" s="22"/>
      <c r="C42" s="24">
        <f>C39+C23+C10</f>
        <v>166357</v>
      </c>
      <c r="D42" s="24">
        <f t="shared" ref="D42:L42" si="1">D39+D23+D10</f>
        <v>0</v>
      </c>
      <c r="E42" s="24">
        <f t="shared" si="1"/>
        <v>1139</v>
      </c>
      <c r="F42" s="24">
        <f t="shared" si="1"/>
        <v>14146</v>
      </c>
      <c r="G42" s="24">
        <f t="shared" si="1"/>
        <v>58486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142415.28</v>
      </c>
      <c r="N42" s="25">
        <f>SUM(C42:M42)</f>
        <v>382543.28</v>
      </c>
      <c r="O42" s="7"/>
      <c r="P42" s="7"/>
      <c r="Q42" s="7"/>
      <c r="R42" s="7" t="s">
        <v>37</v>
      </c>
      <c r="S42" s="20">
        <f>N31/1000</f>
        <v>9.641</v>
      </c>
      <c r="T42" s="14">
        <f>O31</f>
        <v>2.6133887039587106E-2</v>
      </c>
    </row>
    <row r="43" spans="1:47" ht="15">
      <c r="A43" s="23" t="s">
        <v>58</v>
      </c>
      <c r="B43" s="22"/>
      <c r="C43" s="16">
        <f t="shared" ref="C43:M43" si="2">C42/$N42</f>
        <v>0.43487105563584855</v>
      </c>
      <c r="D43" s="16">
        <f t="shared" si="2"/>
        <v>0</v>
      </c>
      <c r="E43" s="16">
        <f t="shared" si="2"/>
        <v>2.9774408793692571E-3</v>
      </c>
      <c r="F43" s="16">
        <f t="shared" si="2"/>
        <v>3.697882237011195E-2</v>
      </c>
      <c r="G43" s="16">
        <f t="shared" si="2"/>
        <v>0.15288727591816537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0.37228540519650477</v>
      </c>
      <c r="N43" s="16">
        <f>SUM(C43:M43)</f>
        <v>0.99999999999999989</v>
      </c>
      <c r="O43" s="7"/>
      <c r="P43" s="7"/>
      <c r="Q43" s="7"/>
      <c r="R43" s="7" t="s">
        <v>59</v>
      </c>
      <c r="S43" s="20">
        <f>N32/1000</f>
        <v>14.311999999999999</v>
      </c>
      <c r="T43" s="15">
        <f>O32</f>
        <v>3.8795580469927461E-2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171.982</v>
      </c>
      <c r="T44" s="15">
        <f>O34</f>
        <v>0.46619211293872725</v>
      </c>
    </row>
    <row r="45" spans="1:47" ht="15">
      <c r="A45" s="6" t="s">
        <v>61</v>
      </c>
      <c r="B45" s="6">
        <f>B23-B39</f>
        <v>3300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10549.28</v>
      </c>
      <c r="N45" s="25">
        <f>B45+M45</f>
        <v>13849.28</v>
      </c>
      <c r="O45" s="7"/>
      <c r="P45" s="7"/>
      <c r="Q45" s="7"/>
      <c r="R45" s="7" t="s">
        <v>62</v>
      </c>
      <c r="S45" s="20">
        <f>SUM(S39:S44)</f>
        <v>368.90800000000002</v>
      </c>
      <c r="T45" s="14">
        <f>SUM(T39:T44)</f>
        <v>1</v>
      </c>
    </row>
    <row r="46" spans="1:47" ht="15">
      <c r="A46" s="9" t="s">
        <v>95</v>
      </c>
      <c r="B46" s="42">
        <f>B45/B23</f>
        <v>0.11743772241992882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8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7"/>
      <c r="F55" s="28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7"/>
      <c r="F56" s="28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 enableFormatConditionsCalculation="0"/>
  <dimension ref="A1:AU70"/>
  <sheetViews>
    <sheetView topLeftCell="A11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58576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58576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34100</v>
      </c>
      <c r="C18" s="9">
        <v>149</v>
      </c>
      <c r="D18" s="9">
        <v>0</v>
      </c>
      <c r="E18" s="9">
        <v>0</v>
      </c>
      <c r="F18" s="9">
        <v>0</v>
      </c>
      <c r="G18" s="9">
        <v>36288</v>
      </c>
      <c r="H18" s="9">
        <v>0</v>
      </c>
      <c r="I18" s="9"/>
      <c r="J18" s="9"/>
      <c r="K18" s="9"/>
      <c r="L18" s="9"/>
      <c r="M18" s="9"/>
      <c r="N18" s="9">
        <v>36437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43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34100</v>
      </c>
      <c r="C23" s="9">
        <v>149</v>
      </c>
      <c r="D23" s="9">
        <v>0</v>
      </c>
      <c r="E23" s="9">
        <v>0</v>
      </c>
      <c r="F23" s="9">
        <v>0</v>
      </c>
      <c r="G23" s="9">
        <v>36288</v>
      </c>
      <c r="H23" s="9">
        <v>0</v>
      </c>
      <c r="I23" s="9"/>
      <c r="J23" s="9"/>
      <c r="K23" s="9"/>
      <c r="L23" s="9"/>
      <c r="M23" s="9"/>
      <c r="N23" s="9">
        <v>36437</v>
      </c>
      <c r="O23" s="3"/>
      <c r="P23" s="3"/>
      <c r="Q23" s="3"/>
      <c r="R23" s="3" t="s">
        <v>27</v>
      </c>
      <c r="S23" s="12">
        <f>N42/1000</f>
        <v>379.38544000000002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162.45143999999999</v>
      </c>
      <c r="T26" s="14">
        <f>M43</f>
        <v>0.42819629556685151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57.813000000000002</v>
      </c>
      <c r="T27" s="15">
        <f>G43</f>
        <v>0.15238592182135402</v>
      </c>
    </row>
    <row r="28" spans="1:20" ht="15">
      <c r="A28" s="4" t="s">
        <v>76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13.147</v>
      </c>
      <c r="T29" s="14">
        <f>F43</f>
        <v>3.4653412107749838E-2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1.04</v>
      </c>
      <c r="T30" s="14">
        <f>E43</f>
        <v>2.7412754690849498E-3</v>
      </c>
    </row>
    <row r="31" spans="1:20" ht="15">
      <c r="A31" s="5" t="s">
        <v>36</v>
      </c>
      <c r="B31" s="9">
        <v>0</v>
      </c>
      <c r="C31" s="9">
        <v>31773</v>
      </c>
      <c r="D31" s="9">
        <v>0</v>
      </c>
      <c r="E31" s="9">
        <v>0</v>
      </c>
      <c r="F31" s="9">
        <v>3437</v>
      </c>
      <c r="G31" s="9">
        <v>0</v>
      </c>
      <c r="H31" s="9">
        <v>0</v>
      </c>
      <c r="I31" s="9"/>
      <c r="J31" s="9"/>
      <c r="K31" s="9"/>
      <c r="L31" s="9"/>
      <c r="M31" s="9">
        <v>27462</v>
      </c>
      <c r="N31" s="9">
        <v>62672</v>
      </c>
      <c r="O31" s="16">
        <f>N31/N$39</f>
        <v>0.17269152661932749</v>
      </c>
      <c r="P31" s="17" t="s">
        <v>37</v>
      </c>
      <c r="Q31" s="3"/>
      <c r="R31" s="3" t="s">
        <v>38</v>
      </c>
      <c r="S31" s="13">
        <f>C42/1000</f>
        <v>144.934</v>
      </c>
      <c r="T31" s="15">
        <f>C43</f>
        <v>0.38202309503495968</v>
      </c>
    </row>
    <row r="32" spans="1:20" ht="15">
      <c r="A32" s="5" t="s">
        <v>39</v>
      </c>
      <c r="B32" s="9">
        <v>2700</v>
      </c>
      <c r="C32" s="9">
        <v>1921</v>
      </c>
      <c r="D32" s="9">
        <v>0</v>
      </c>
      <c r="E32" s="62">
        <f>N32-C32-F32-B32-M32-G32</f>
        <v>1040</v>
      </c>
      <c r="F32" s="9">
        <v>122</v>
      </c>
      <c r="G32" s="62">
        <v>1322</v>
      </c>
      <c r="H32" s="9">
        <v>0</v>
      </c>
      <c r="I32" s="9"/>
      <c r="J32" s="9"/>
      <c r="K32" s="9"/>
      <c r="L32" s="9"/>
      <c r="M32" s="9">
        <v>27176</v>
      </c>
      <c r="N32" s="9">
        <v>34281</v>
      </c>
      <c r="O32" s="16">
        <f>N32/N$39</f>
        <v>9.4460655859668841E-2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11300</v>
      </c>
      <c r="C33" s="9">
        <v>200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14899</v>
      </c>
      <c r="N33" s="9">
        <v>26399</v>
      </c>
      <c r="O33" s="16">
        <f>N33/N$39</f>
        <v>7.2741951927872514E-2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110429</v>
      </c>
      <c r="D34" s="9">
        <v>0</v>
      </c>
      <c r="E34" s="9">
        <v>0</v>
      </c>
      <c r="F34" s="9">
        <v>9587</v>
      </c>
      <c r="G34" s="9">
        <v>0</v>
      </c>
      <c r="H34" s="9">
        <v>0</v>
      </c>
      <c r="I34" s="9"/>
      <c r="J34" s="9"/>
      <c r="K34" s="9"/>
      <c r="L34" s="9"/>
      <c r="M34" s="9">
        <v>5</v>
      </c>
      <c r="N34" s="9">
        <v>120022</v>
      </c>
      <c r="O34" s="16">
        <f>N34/N$39</f>
        <v>0.33071838154047939</v>
      </c>
      <c r="P34" s="17" t="s">
        <v>45</v>
      </c>
      <c r="Q34" s="3"/>
      <c r="R34" s="3"/>
      <c r="S34" s="13">
        <f>SUM(S26:S33)</f>
        <v>379.38543999999996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40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19132</v>
      </c>
      <c r="N35" s="9">
        <v>19172</v>
      </c>
      <c r="O35" s="16">
        <f>N35/N$39</f>
        <v>5.2828088274600248E-2</v>
      </c>
      <c r="P35" s="17" t="s">
        <v>47</v>
      </c>
      <c r="Q35" s="17"/>
    </row>
    <row r="36" spans="1:47" ht="15">
      <c r="A36" s="5" t="s">
        <v>48</v>
      </c>
      <c r="B36" s="9">
        <v>4000</v>
      </c>
      <c r="C36" s="9">
        <v>292</v>
      </c>
      <c r="D36" s="9">
        <v>0</v>
      </c>
      <c r="E36" s="9">
        <v>0</v>
      </c>
      <c r="F36" s="9">
        <v>0</v>
      </c>
      <c r="G36" s="9">
        <v>20203</v>
      </c>
      <c r="H36" s="9">
        <v>0</v>
      </c>
      <c r="I36" s="9"/>
      <c r="J36" s="9"/>
      <c r="K36" s="9"/>
      <c r="L36" s="9"/>
      <c r="M36" s="9">
        <v>48313</v>
      </c>
      <c r="N36" s="9">
        <v>72807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14000</v>
      </c>
      <c r="C37" s="9">
        <v>129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5033</v>
      </c>
      <c r="N37" s="9">
        <v>19162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8398</v>
      </c>
      <c r="N38" s="9">
        <v>8398</v>
      </c>
      <c r="O38" s="17">
        <f>SUM(O31:O35)</f>
        <v>0.72344060422194845</v>
      </c>
      <c r="P38" s="17"/>
      <c r="Q38" s="3"/>
      <c r="R38" s="7" t="s">
        <v>51</v>
      </c>
      <c r="S38" s="19">
        <f>N45/1000</f>
        <v>14.13344</v>
      </c>
      <c r="T38" s="7"/>
    </row>
    <row r="39" spans="1:47" ht="15">
      <c r="A39" s="5" t="s">
        <v>17</v>
      </c>
      <c r="B39" s="9">
        <v>32000</v>
      </c>
      <c r="C39" s="9">
        <v>144785</v>
      </c>
      <c r="D39" s="9">
        <v>0</v>
      </c>
      <c r="E39" s="57">
        <f>SUM(E31:E38)</f>
        <v>1040</v>
      </c>
      <c r="F39" s="9">
        <v>13147</v>
      </c>
      <c r="G39" s="57">
        <f>SUM(G31:G38)</f>
        <v>21525</v>
      </c>
      <c r="H39" s="9">
        <v>0</v>
      </c>
      <c r="I39" s="9"/>
      <c r="J39" s="9"/>
      <c r="K39" s="9"/>
      <c r="L39" s="9"/>
      <c r="M39" s="9">
        <v>150418</v>
      </c>
      <c r="N39" s="9">
        <v>362913</v>
      </c>
      <c r="O39" s="3"/>
      <c r="P39" s="3"/>
      <c r="Q39" s="3"/>
      <c r="R39" s="7" t="s">
        <v>52</v>
      </c>
      <c r="S39" s="20">
        <f>N41/1000</f>
        <v>100.367</v>
      </c>
      <c r="T39" s="14">
        <f>O41</f>
        <v>0.2765593957780515</v>
      </c>
    </row>
    <row r="40" spans="1:47">
      <c r="R40" s="7" t="s">
        <v>53</v>
      </c>
      <c r="S40" s="20">
        <f>N35/1000</f>
        <v>19.172000000000001</v>
      </c>
      <c r="T40" s="15">
        <f>O35</f>
        <v>5.2828088274600248E-2</v>
      </c>
    </row>
    <row r="41" spans="1:47" ht="15">
      <c r="A41" s="21" t="s">
        <v>54</v>
      </c>
      <c r="B41" s="22">
        <f>B38+B37+B36</f>
        <v>18000</v>
      </c>
      <c r="C41" s="22">
        <f t="shared" ref="C41:N41" si="0">C38+C37+C36</f>
        <v>421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20203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61744</v>
      </c>
      <c r="N41" s="22">
        <f t="shared" si="0"/>
        <v>100367</v>
      </c>
      <c r="O41" s="16">
        <f>N41/N$39</f>
        <v>0.2765593957780515</v>
      </c>
      <c r="P41" s="16" t="s">
        <v>55</v>
      </c>
      <c r="Q41" s="7"/>
      <c r="R41" s="7" t="s">
        <v>56</v>
      </c>
      <c r="S41" s="20">
        <f>N33/1000</f>
        <v>26.399000000000001</v>
      </c>
      <c r="T41" s="14">
        <f>O33</f>
        <v>7.2741951927872514E-2</v>
      </c>
    </row>
    <row r="42" spans="1:47" ht="15">
      <c r="A42" s="23" t="s">
        <v>57</v>
      </c>
      <c r="B42" s="22"/>
      <c r="C42" s="24">
        <f>C39+C23+C10</f>
        <v>144934</v>
      </c>
      <c r="D42" s="24">
        <f t="shared" ref="D42:L42" si="1">D39+D23+D10</f>
        <v>0</v>
      </c>
      <c r="E42" s="24">
        <f t="shared" si="1"/>
        <v>1040</v>
      </c>
      <c r="F42" s="24">
        <f t="shared" si="1"/>
        <v>13147</v>
      </c>
      <c r="G42" s="24">
        <f t="shared" si="1"/>
        <v>57813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162451.44</v>
      </c>
      <c r="N42" s="25">
        <f>SUM(C42:M42)</f>
        <v>379385.44</v>
      </c>
      <c r="O42" s="7"/>
      <c r="P42" s="7"/>
      <c r="Q42" s="7"/>
      <c r="R42" s="7" t="s">
        <v>37</v>
      </c>
      <c r="S42" s="20">
        <f>N31/1000</f>
        <v>62.671999999999997</v>
      </c>
      <c r="T42" s="14">
        <f>O31</f>
        <v>0.17269152661932749</v>
      </c>
    </row>
    <row r="43" spans="1:47" ht="15">
      <c r="A43" s="23" t="s">
        <v>58</v>
      </c>
      <c r="B43" s="22"/>
      <c r="C43" s="16">
        <f t="shared" ref="C43:M43" si="2">C42/$N42</f>
        <v>0.38202309503495968</v>
      </c>
      <c r="D43" s="16">
        <f t="shared" si="2"/>
        <v>0</v>
      </c>
      <c r="E43" s="16">
        <f t="shared" si="2"/>
        <v>2.7412754690849498E-3</v>
      </c>
      <c r="F43" s="16">
        <f t="shared" si="2"/>
        <v>3.4653412107749838E-2</v>
      </c>
      <c r="G43" s="16">
        <f t="shared" si="2"/>
        <v>0.15238592182135402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0.42819629556685151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34.280999999999999</v>
      </c>
      <c r="T43" s="15">
        <f>O32</f>
        <v>9.4460655859668841E-2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120.02200000000001</v>
      </c>
      <c r="T44" s="15">
        <f>O34</f>
        <v>0.33071838154047939</v>
      </c>
    </row>
    <row r="45" spans="1:47" ht="15">
      <c r="A45" s="6" t="s">
        <v>61</v>
      </c>
      <c r="B45" s="6">
        <f>B23-B39</f>
        <v>2100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12033.44</v>
      </c>
      <c r="N45" s="25">
        <f>B45+M45</f>
        <v>14133.44</v>
      </c>
      <c r="O45" s="7"/>
      <c r="P45" s="7"/>
      <c r="Q45" s="7"/>
      <c r="R45" s="7" t="s">
        <v>62</v>
      </c>
      <c r="S45" s="20">
        <f>SUM(S39:S44)</f>
        <v>362.91300000000001</v>
      </c>
      <c r="T45" s="14">
        <f>SUM(T39:T44)</f>
        <v>0.99999999999999989</v>
      </c>
    </row>
    <row r="46" spans="1:47" ht="15">
      <c r="A46" s="9" t="s">
        <v>95</v>
      </c>
      <c r="B46" s="42">
        <f>B45/B23</f>
        <v>6.1583577712609971E-2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9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 enableFormatConditionsCalculation="0"/>
  <dimension ref="A1:AU70"/>
  <sheetViews>
    <sheetView topLeftCell="C21" workbookViewId="0">
      <selection activeCell="B44" sqref="B44"/>
    </sheetView>
  </sheetViews>
  <sheetFormatPr baseColWidth="10" defaultColWidth="8.83203125" defaultRowHeight="14" x14ac:dyDescent="0"/>
  <cols>
    <col min="1" max="1" width="21.6640625" style="2" customWidth="1"/>
    <col min="2" max="2" width="12" style="2" customWidth="1"/>
    <col min="3" max="3" width="13.83203125" style="2" customWidth="1"/>
    <col min="4" max="4" width="11.1640625" style="2" bestFit="1" customWidth="1"/>
    <col min="5" max="5" width="12.6640625" style="2" bestFit="1" customWidth="1"/>
    <col min="6" max="13" width="11.1640625" style="2" bestFit="1" customWidth="1"/>
    <col min="14" max="14" width="11.33203125" style="2" customWidth="1"/>
    <col min="15" max="18" width="8.83203125" style="2"/>
    <col min="19" max="19" width="11" style="2" customWidth="1"/>
    <col min="20" max="20" width="11.6640625" style="2" customWidth="1"/>
    <col min="21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56">
        <v>0</v>
      </c>
      <c r="C6" s="56">
        <v>0</v>
      </c>
      <c r="D6" s="9">
        <v>0</v>
      </c>
      <c r="E6" s="56">
        <v>0</v>
      </c>
      <c r="F6" s="9">
        <v>0</v>
      </c>
      <c r="G6" s="56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50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5319</v>
      </c>
      <c r="C18" s="9">
        <v>60</v>
      </c>
      <c r="D18" s="9">
        <v>0</v>
      </c>
      <c r="E18" s="9">
        <v>0</v>
      </c>
      <c r="F18" s="9">
        <v>3436</v>
      </c>
      <c r="G18" s="9">
        <v>2261</v>
      </c>
      <c r="H18" s="9">
        <v>0</v>
      </c>
      <c r="I18" s="9"/>
      <c r="J18" s="9"/>
      <c r="K18" s="9"/>
      <c r="L18" s="9"/>
      <c r="M18" s="9"/>
      <c r="N18" s="9">
        <v>5757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98522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103841</v>
      </c>
      <c r="C23" s="9">
        <v>60</v>
      </c>
      <c r="D23" s="9">
        <v>0</v>
      </c>
      <c r="E23" s="9">
        <v>0</v>
      </c>
      <c r="F23" s="9">
        <v>3436</v>
      </c>
      <c r="G23" s="9">
        <v>2261</v>
      </c>
      <c r="H23" s="9">
        <v>0</v>
      </c>
      <c r="I23" s="9"/>
      <c r="J23" s="9"/>
      <c r="K23" s="9"/>
      <c r="L23" s="9"/>
      <c r="M23" s="9"/>
      <c r="N23" s="9">
        <v>5757</v>
      </c>
      <c r="O23" s="3"/>
      <c r="P23" s="3"/>
      <c r="Q23" s="3"/>
      <c r="R23" s="3" t="s">
        <v>27</v>
      </c>
      <c r="S23" s="12">
        <f>N42/1000</f>
        <v>2487.8094799999999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52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471.37248</v>
      </c>
      <c r="T26" s="14">
        <f>M43</f>
        <v>0.18947290127699007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338.62599999999998</v>
      </c>
      <c r="T27" s="15">
        <f>G43</f>
        <v>0.13611412076458523</v>
      </c>
    </row>
    <row r="28" spans="1:20" ht="15">
      <c r="A28" s="4" t="s">
        <v>77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12.254</v>
      </c>
      <c r="T29" s="14">
        <f>F43</f>
        <v>4.9256183395522714E-3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101.13</v>
      </c>
      <c r="T30" s="14">
        <f>E43</f>
        <v>4.0650218922712686E-2</v>
      </c>
    </row>
    <row r="31" spans="1:20" ht="15">
      <c r="A31" s="5" t="s">
        <v>36</v>
      </c>
      <c r="B31" s="9">
        <v>0</v>
      </c>
      <c r="C31" s="9">
        <v>3415</v>
      </c>
      <c r="D31" s="9">
        <v>0</v>
      </c>
      <c r="E31" s="9">
        <v>0</v>
      </c>
      <c r="F31" s="9">
        <v>372</v>
      </c>
      <c r="G31" s="9">
        <v>0</v>
      </c>
      <c r="H31" s="9">
        <v>0</v>
      </c>
      <c r="I31" s="9"/>
      <c r="J31" s="9"/>
      <c r="K31" s="9"/>
      <c r="L31" s="9"/>
      <c r="M31" s="9">
        <v>3996</v>
      </c>
      <c r="N31" s="9">
        <v>7783</v>
      </c>
      <c r="O31" s="16">
        <f>N31/N$39</f>
        <v>3.1279300481829031E-3</v>
      </c>
      <c r="P31" s="17" t="s">
        <v>37</v>
      </c>
      <c r="Q31" s="3"/>
      <c r="R31" s="3" t="s">
        <v>38</v>
      </c>
      <c r="S31" s="13">
        <f>C42/1000</f>
        <v>186.42699999999999</v>
      </c>
      <c r="T31" s="15">
        <f>C43</f>
        <v>7.4936204519969921E-2</v>
      </c>
    </row>
    <row r="32" spans="1:20" ht="15">
      <c r="A32" s="5" t="s">
        <v>39</v>
      </c>
      <c r="B32" s="9">
        <v>11978</v>
      </c>
      <c r="C32" s="62">
        <v>90002</v>
      </c>
      <c r="D32" s="9">
        <v>0</v>
      </c>
      <c r="E32" s="56">
        <f>84195+16935</f>
        <v>101130</v>
      </c>
      <c r="F32" s="51">
        <v>0</v>
      </c>
      <c r="G32" s="62">
        <f>269000+51000</f>
        <v>320000</v>
      </c>
      <c r="H32" s="43">
        <v>0</v>
      </c>
      <c r="I32" s="62">
        <v>1378000</v>
      </c>
      <c r="J32" s="9"/>
      <c r="K32" s="9"/>
      <c r="L32" s="9"/>
      <c r="M32" s="56">
        <f>515336-176330</f>
        <v>339006</v>
      </c>
      <c r="N32" s="56">
        <f>SUM(B32:M32)</f>
        <v>2240116</v>
      </c>
      <c r="O32" s="16">
        <f>N32/N$39</f>
        <v>0.9002860269581513</v>
      </c>
      <c r="P32" s="17" t="s">
        <v>40</v>
      </c>
      <c r="Q32" s="3"/>
      <c r="R32" s="3" t="s">
        <v>41</v>
      </c>
      <c r="S32" s="13">
        <f>I42/1000</f>
        <v>1378</v>
      </c>
      <c r="T32" s="14">
        <f>I43</f>
        <v>0.55390093617618985</v>
      </c>
    </row>
    <row r="33" spans="1:47" ht="15">
      <c r="A33" s="5" t="s">
        <v>42</v>
      </c>
      <c r="B33" s="9">
        <v>6325</v>
      </c>
      <c r="C33" s="9">
        <v>229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11145</v>
      </c>
      <c r="N33" s="9">
        <v>17699</v>
      </c>
      <c r="O33" s="16">
        <f>N33/N$39</f>
        <v>7.1130969963753305E-3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92094</v>
      </c>
      <c r="D34" s="9">
        <v>0</v>
      </c>
      <c r="E34" s="9">
        <v>0</v>
      </c>
      <c r="F34" s="9">
        <v>8446</v>
      </c>
      <c r="G34" s="9">
        <v>0</v>
      </c>
      <c r="H34" s="9">
        <v>0</v>
      </c>
      <c r="I34" s="9"/>
      <c r="J34" s="9"/>
      <c r="K34" s="9"/>
      <c r="L34" s="9"/>
      <c r="M34" s="9">
        <v>227</v>
      </c>
      <c r="N34" s="9">
        <v>100767</v>
      </c>
      <c r="O34" s="16">
        <f>N34/N$39</f>
        <v>4.0497510878227748E-2</v>
      </c>
      <c r="P34" s="17" t="s">
        <v>45</v>
      </c>
      <c r="Q34" s="3"/>
      <c r="R34" s="3"/>
      <c r="S34" s="13">
        <f>SUM(S26:S33)</f>
        <v>2487.8094799999999</v>
      </c>
      <c r="T34" s="14">
        <f>SUM(T26:T33)</f>
        <v>1</v>
      </c>
    </row>
    <row r="35" spans="1:47" ht="15">
      <c r="A35" s="5" t="s">
        <v>46</v>
      </c>
      <c r="B35" s="9">
        <v>2491</v>
      </c>
      <c r="C35" s="9">
        <v>129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23981</v>
      </c>
      <c r="N35" s="9">
        <v>26601</v>
      </c>
      <c r="O35" s="16">
        <f>N35/N$39</f>
        <v>1.0690744855674342E-2</v>
      </c>
      <c r="P35" s="17" t="s">
        <v>47</v>
      </c>
      <c r="Q35" s="17"/>
    </row>
    <row r="36" spans="1:47" ht="15">
      <c r="A36" s="5" t="s">
        <v>48</v>
      </c>
      <c r="B36" s="9">
        <v>4478</v>
      </c>
      <c r="C36" s="9">
        <v>498</v>
      </c>
      <c r="D36" s="9">
        <v>0</v>
      </c>
      <c r="E36" s="9">
        <v>0</v>
      </c>
      <c r="F36" s="9">
        <v>0</v>
      </c>
      <c r="G36" s="9">
        <v>16365</v>
      </c>
      <c r="H36" s="9">
        <v>0</v>
      </c>
      <c r="I36" s="9"/>
      <c r="J36" s="9"/>
      <c r="K36" s="9"/>
      <c r="L36" s="9"/>
      <c r="M36" s="9">
        <v>51820</v>
      </c>
      <c r="N36" s="9">
        <v>73162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15818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5576</v>
      </c>
      <c r="N37" s="9">
        <v>21394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705</v>
      </c>
      <c r="N38" s="9">
        <v>705</v>
      </c>
      <c r="O38" s="17">
        <f>SUM(O31:O35)</f>
        <v>0.96171530973661157</v>
      </c>
      <c r="P38" s="17"/>
      <c r="Q38" s="3"/>
      <c r="R38" s="7" t="s">
        <v>51</v>
      </c>
      <c r="S38" s="19">
        <f>N45/1000</f>
        <v>42.366480000000003</v>
      </c>
      <c r="T38" s="7"/>
    </row>
    <row r="39" spans="1:47" ht="15">
      <c r="A39" s="5" t="s">
        <v>17</v>
      </c>
      <c r="B39" s="9">
        <v>41090</v>
      </c>
      <c r="C39" s="62">
        <f>SUM(C31:C38)</f>
        <v>186367</v>
      </c>
      <c r="D39" s="9">
        <v>0</v>
      </c>
      <c r="E39" s="56">
        <f>E32</f>
        <v>101130</v>
      </c>
      <c r="F39" s="62">
        <f>SUM(F31:F38)</f>
        <v>8818</v>
      </c>
      <c r="G39" s="62">
        <f>G32+G36</f>
        <v>336365</v>
      </c>
      <c r="H39" s="9">
        <v>0</v>
      </c>
      <c r="I39" s="62">
        <f>I32+I36</f>
        <v>1378000</v>
      </c>
      <c r="J39" s="9"/>
      <c r="K39" s="9"/>
      <c r="L39" s="9"/>
      <c r="M39" s="56">
        <f>SUM(M31:M38)</f>
        <v>436456</v>
      </c>
      <c r="N39" s="56">
        <f>SUM(N31:N38)</f>
        <v>2488227</v>
      </c>
      <c r="O39" s="3"/>
      <c r="P39" s="3"/>
      <c r="Q39" s="3"/>
      <c r="R39" s="7" t="s">
        <v>52</v>
      </c>
      <c r="S39" s="20">
        <f>N41/1000</f>
        <v>95.260999999999996</v>
      </c>
      <c r="T39" s="14">
        <f>O41</f>
        <v>3.8284690263388349E-2</v>
      </c>
    </row>
    <row r="40" spans="1:47">
      <c r="R40" s="7" t="s">
        <v>53</v>
      </c>
      <c r="S40" s="20">
        <f>N35/1000</f>
        <v>26.600999999999999</v>
      </c>
      <c r="T40" s="15">
        <f>O35</f>
        <v>1.0690744855674342E-2</v>
      </c>
    </row>
    <row r="41" spans="1:47" ht="15">
      <c r="A41" s="21" t="s">
        <v>54</v>
      </c>
      <c r="B41" s="22">
        <f>B38+B37+B36</f>
        <v>20296</v>
      </c>
      <c r="C41" s="22">
        <f t="shared" ref="C41:N41" si="0">C38+C37+C36</f>
        <v>498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16365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58101</v>
      </c>
      <c r="N41" s="22">
        <f t="shared" si="0"/>
        <v>95261</v>
      </c>
      <c r="O41" s="16">
        <f>N41/N$39</f>
        <v>3.8284690263388349E-2</v>
      </c>
      <c r="P41" s="16" t="s">
        <v>55</v>
      </c>
      <c r="Q41" s="7"/>
      <c r="R41" s="7" t="s">
        <v>56</v>
      </c>
      <c r="S41" s="20">
        <f>N33/1000</f>
        <v>17.699000000000002</v>
      </c>
      <c r="T41" s="14">
        <f>O33</f>
        <v>7.1130969963753305E-3</v>
      </c>
    </row>
    <row r="42" spans="1:47" ht="15">
      <c r="A42" s="23" t="s">
        <v>57</v>
      </c>
      <c r="B42" s="22"/>
      <c r="C42" s="24">
        <f>C39+C23+C10</f>
        <v>186427</v>
      </c>
      <c r="D42" s="24">
        <f t="shared" ref="D42:L42" si="1">D39+D23+D10</f>
        <v>0</v>
      </c>
      <c r="E42" s="24">
        <f t="shared" si="1"/>
        <v>101130</v>
      </c>
      <c r="F42" s="24">
        <f t="shared" si="1"/>
        <v>12254</v>
      </c>
      <c r="G42" s="24">
        <f t="shared" si="1"/>
        <v>338626</v>
      </c>
      <c r="H42" s="24">
        <f t="shared" si="1"/>
        <v>0</v>
      </c>
      <c r="I42" s="24">
        <f t="shared" si="1"/>
        <v>1378000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471372.48</v>
      </c>
      <c r="N42" s="25">
        <f>SUM(C42:M42)</f>
        <v>2487809.48</v>
      </c>
      <c r="O42" s="7"/>
      <c r="P42" s="7"/>
      <c r="Q42" s="7"/>
      <c r="R42" s="7" t="s">
        <v>37</v>
      </c>
      <c r="S42" s="20">
        <f>N31/1000</f>
        <v>7.7830000000000004</v>
      </c>
      <c r="T42" s="14">
        <f>O31</f>
        <v>3.1279300481829031E-3</v>
      </c>
    </row>
    <row r="43" spans="1:47" ht="15">
      <c r="A43" s="23" t="s">
        <v>58</v>
      </c>
      <c r="B43" s="22"/>
      <c r="C43" s="16">
        <f t="shared" ref="C43:M43" si="2">C42/$N42</f>
        <v>7.4936204519969921E-2</v>
      </c>
      <c r="D43" s="16">
        <f t="shared" si="2"/>
        <v>0</v>
      </c>
      <c r="E43" s="16">
        <f t="shared" si="2"/>
        <v>4.0650218922712686E-2</v>
      </c>
      <c r="F43" s="16">
        <f t="shared" si="2"/>
        <v>4.9256183395522714E-3</v>
      </c>
      <c r="G43" s="16">
        <f t="shared" si="2"/>
        <v>0.13611412076458523</v>
      </c>
      <c r="H43" s="16">
        <f t="shared" si="2"/>
        <v>0</v>
      </c>
      <c r="I43" s="16">
        <f t="shared" si="2"/>
        <v>0.55390093617618985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0.18947290127699007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2240.116</v>
      </c>
      <c r="T43" s="15">
        <f>O32</f>
        <v>0.9002860269581513</v>
      </c>
    </row>
    <row r="44" spans="1:47">
      <c r="A44" s="6" t="s">
        <v>97</v>
      </c>
      <c r="B44" s="6">
        <f>46798+8401</f>
        <v>55199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100.767</v>
      </c>
      <c r="T44" s="15">
        <f>O34</f>
        <v>4.0497510878227748E-2</v>
      </c>
    </row>
    <row r="45" spans="1:47" ht="15">
      <c r="A45" s="6" t="s">
        <v>61</v>
      </c>
      <c r="B45" s="6">
        <v>7450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34916.480000000003</v>
      </c>
      <c r="N45" s="25">
        <f>B45+M45</f>
        <v>42366.48</v>
      </c>
      <c r="O45" s="7"/>
      <c r="P45" s="7"/>
      <c r="Q45" s="7"/>
      <c r="R45" s="7" t="s">
        <v>62</v>
      </c>
      <c r="S45" s="20">
        <f>SUM(S39:S44)</f>
        <v>2488.2269999999999</v>
      </c>
      <c r="T45" s="14">
        <f>SUM(T39:T44)</f>
        <v>1</v>
      </c>
    </row>
    <row r="46" spans="1:47" ht="15">
      <c r="A46" s="9" t="s">
        <v>95</v>
      </c>
      <c r="B46" s="41">
        <f>B45/B23</f>
        <v>7.1744301383846451E-2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9"/>
      <c r="D47" s="9"/>
      <c r="E47" s="9"/>
      <c r="F47" s="9"/>
      <c r="G47" s="9"/>
      <c r="H47" s="9"/>
      <c r="I47" s="9"/>
      <c r="J47" s="9"/>
      <c r="K47" s="9"/>
      <c r="L47" s="9"/>
      <c r="M47" s="27"/>
      <c r="N47" s="9"/>
      <c r="O47" s="9"/>
      <c r="P47" s="27"/>
      <c r="Q47" s="4"/>
      <c r="R47" s="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7"/>
      <c r="AG47" s="4"/>
      <c r="AH47" s="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>
      <c r="A48" s="27"/>
      <c r="B48" s="4"/>
      <c r="C48" s="9"/>
      <c r="D48" s="18"/>
      <c r="E48" s="9"/>
      <c r="G48" s="9"/>
      <c r="H48" s="18"/>
      <c r="I48" s="9"/>
      <c r="J48" s="9"/>
      <c r="K48" s="9"/>
      <c r="L48" s="9"/>
      <c r="M48" s="27"/>
      <c r="N48" s="9"/>
      <c r="O48" s="9"/>
      <c r="P48" s="27"/>
      <c r="Q48" s="27"/>
      <c r="R48" s="4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27"/>
      <c r="AG48" s="27"/>
      <c r="AH48" s="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>
      <c r="A49" s="27"/>
      <c r="B49" s="4"/>
      <c r="C49" s="9"/>
      <c r="D49" s="9"/>
      <c r="E49" s="9"/>
      <c r="F49" s="9"/>
      <c r="G49" s="9"/>
      <c r="H49" s="9"/>
      <c r="I49" s="9"/>
      <c r="J49" s="9"/>
      <c r="K49" s="9"/>
      <c r="L49" s="9"/>
      <c r="M49" s="27"/>
      <c r="N49" s="9"/>
      <c r="O49" s="9"/>
      <c r="P49" s="27"/>
      <c r="Q49" s="27"/>
      <c r="R49" s="4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7"/>
      <c r="AG49" s="27"/>
      <c r="AH49" s="4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>
      <c r="A50" s="27"/>
      <c r="B50" s="4"/>
      <c r="C50" s="9"/>
      <c r="D50" s="9"/>
      <c r="E50" s="9"/>
      <c r="F50" s="9"/>
      <c r="G50" s="9"/>
      <c r="H50" s="9"/>
      <c r="I50" s="9"/>
      <c r="J50" s="9"/>
      <c r="K50" s="9"/>
      <c r="L50" s="9"/>
      <c r="M50" s="27"/>
      <c r="N50" s="9"/>
      <c r="O50" s="9"/>
      <c r="P50" s="27"/>
      <c r="Q50" s="27"/>
      <c r="R50" s="4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27"/>
      <c r="AG50" s="27"/>
      <c r="AH50" s="4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>
      <c r="A51" s="2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27"/>
      <c r="N51" s="9"/>
      <c r="O51" s="9"/>
      <c r="P51" s="27"/>
      <c r="Q51" s="27"/>
      <c r="R51" s="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7"/>
      <c r="AG51" s="27"/>
      <c r="AH51" s="4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9"/>
      <c r="D54" s="9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9"/>
      <c r="D55" s="18"/>
      <c r="E55" s="9"/>
      <c r="F55" s="9"/>
      <c r="G55" s="18"/>
      <c r="H55" s="18"/>
      <c r="I55" s="9"/>
      <c r="J55" s="9"/>
      <c r="K55" s="9"/>
      <c r="L55" s="9"/>
      <c r="M55" s="27"/>
      <c r="N55" s="9"/>
      <c r="O55" s="9"/>
      <c r="P55" s="27"/>
      <c r="Q55" s="27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/>
  <dimension ref="A1:AU70"/>
  <sheetViews>
    <sheetView topLeftCell="A11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16812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16812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50687</v>
      </c>
      <c r="C18" s="9">
        <v>1741</v>
      </c>
      <c r="D18" s="9">
        <v>0</v>
      </c>
      <c r="E18" s="9">
        <v>0</v>
      </c>
      <c r="F18" s="9">
        <v>0</v>
      </c>
      <c r="G18" s="9">
        <v>40800</v>
      </c>
      <c r="H18" s="9">
        <v>0</v>
      </c>
      <c r="I18" s="9"/>
      <c r="J18" s="9"/>
      <c r="K18" s="9"/>
      <c r="L18" s="9"/>
      <c r="M18" s="9"/>
      <c r="N18" s="9">
        <v>42541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50687</v>
      </c>
      <c r="C23" s="9">
        <v>1741</v>
      </c>
      <c r="D23" s="9">
        <v>0</v>
      </c>
      <c r="E23" s="9">
        <v>0</v>
      </c>
      <c r="F23" s="9">
        <v>0</v>
      </c>
      <c r="G23" s="9">
        <v>40800</v>
      </c>
      <c r="H23" s="9">
        <v>0</v>
      </c>
      <c r="I23" s="9"/>
      <c r="J23" s="9"/>
      <c r="K23" s="9"/>
      <c r="L23" s="9"/>
      <c r="M23" s="9"/>
      <c r="N23" s="9">
        <v>42541</v>
      </c>
      <c r="O23" s="3"/>
      <c r="P23" s="3"/>
      <c r="Q23" s="3"/>
      <c r="R23" s="3" t="s">
        <v>27</v>
      </c>
      <c r="S23" s="12">
        <f>N42/1000</f>
        <v>401.30808000000002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125.98308</v>
      </c>
      <c r="T26" s="14">
        <f>M43</f>
        <v>0.31393108257376728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96.397000000000006</v>
      </c>
      <c r="T27" s="15">
        <f>G43</f>
        <v>0.24020697514986492</v>
      </c>
    </row>
    <row r="28" spans="1:20" ht="15">
      <c r="A28" s="4" t="s">
        <v>78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14.856999999999999</v>
      </c>
      <c r="T29" s="14">
        <f>F43</f>
        <v>3.7021432511401213E-2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0</v>
      </c>
      <c r="T30" s="14">
        <f>E43</f>
        <v>0</v>
      </c>
    </row>
    <row r="31" spans="1:20" ht="15">
      <c r="A31" s="5" t="s">
        <v>36</v>
      </c>
      <c r="B31" s="9">
        <v>0</v>
      </c>
      <c r="C31" s="9">
        <v>12578</v>
      </c>
      <c r="D31" s="9">
        <v>0</v>
      </c>
      <c r="E31" s="9">
        <v>0</v>
      </c>
      <c r="F31" s="9">
        <v>1364</v>
      </c>
      <c r="G31" s="9">
        <v>0</v>
      </c>
      <c r="H31" s="9">
        <v>0</v>
      </c>
      <c r="I31" s="9"/>
      <c r="J31" s="9"/>
      <c r="K31" s="9"/>
      <c r="L31" s="9"/>
      <c r="M31" s="9">
        <v>4644</v>
      </c>
      <c r="N31" s="9">
        <v>18585</v>
      </c>
      <c r="O31" s="16">
        <f>N31/N$39</f>
        <v>4.6871217012347671E-2</v>
      </c>
      <c r="P31" s="17" t="s">
        <v>37</v>
      </c>
      <c r="Q31" s="3"/>
      <c r="R31" s="3" t="s">
        <v>38</v>
      </c>
      <c r="S31" s="13">
        <f>C42/1000</f>
        <v>164.071</v>
      </c>
      <c r="T31" s="15">
        <f>C43</f>
        <v>0.40884050976496661</v>
      </c>
    </row>
    <row r="32" spans="1:20" ht="15">
      <c r="A32" s="5" t="s">
        <v>39</v>
      </c>
      <c r="B32" s="9">
        <v>9393</v>
      </c>
      <c r="C32" s="9">
        <v>8008</v>
      </c>
      <c r="D32" s="9">
        <v>0</v>
      </c>
      <c r="E32" s="9">
        <v>0</v>
      </c>
      <c r="F32" s="9">
        <v>406</v>
      </c>
      <c r="G32" s="62">
        <f>N32-M32-F32-B32-C32</f>
        <v>2093</v>
      </c>
      <c r="H32" s="9">
        <v>0</v>
      </c>
      <c r="I32" s="9"/>
      <c r="J32" s="9"/>
      <c r="K32" s="9"/>
      <c r="L32" s="9"/>
      <c r="M32" s="9">
        <v>20107</v>
      </c>
      <c r="N32" s="62">
        <f>N39-N38-N37-N36-N35-N34-N33-N31</f>
        <v>40007</v>
      </c>
      <c r="O32" s="16">
        <f>N32/N$39</f>
        <v>0.10089732467113227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11602</v>
      </c>
      <c r="C33" s="9">
        <v>2084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10908</v>
      </c>
      <c r="N33" s="9">
        <v>24594</v>
      </c>
      <c r="O33" s="16">
        <f>N33/N$39</f>
        <v>6.2025865547574853E-2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138972</v>
      </c>
      <c r="D34" s="9">
        <v>0</v>
      </c>
      <c r="E34" s="9">
        <v>0</v>
      </c>
      <c r="F34" s="9">
        <v>13087</v>
      </c>
      <c r="G34" s="9">
        <v>0</v>
      </c>
      <c r="H34" s="9">
        <v>0</v>
      </c>
      <c r="I34" s="9"/>
      <c r="J34" s="9"/>
      <c r="K34" s="9"/>
      <c r="L34" s="9"/>
      <c r="M34" s="9">
        <v>11</v>
      </c>
      <c r="N34" s="9">
        <v>152070</v>
      </c>
      <c r="O34" s="16">
        <f>N34/N$39</f>
        <v>0.38351928819304332</v>
      </c>
      <c r="P34" s="17" t="s">
        <v>45</v>
      </c>
      <c r="Q34" s="3"/>
      <c r="R34" s="3"/>
      <c r="S34" s="13">
        <f>SUM(S26:S33)</f>
        <v>401.30808000000002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218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29449</v>
      </c>
      <c r="N35" s="9">
        <v>29667</v>
      </c>
      <c r="O35" s="16">
        <f>N35/N$39</f>
        <v>7.4819929787749179E-2</v>
      </c>
      <c r="P35" s="17" t="s">
        <v>47</v>
      </c>
      <c r="Q35" s="17"/>
    </row>
    <row r="36" spans="1:47" ht="15">
      <c r="A36" s="5" t="s">
        <v>48</v>
      </c>
      <c r="B36" s="9">
        <v>4755</v>
      </c>
      <c r="C36" s="9">
        <v>301</v>
      </c>
      <c r="D36" s="9">
        <v>0</v>
      </c>
      <c r="E36" s="9">
        <v>0</v>
      </c>
      <c r="F36" s="9">
        <v>0</v>
      </c>
      <c r="G36" s="9">
        <v>53504</v>
      </c>
      <c r="H36" s="9">
        <v>0</v>
      </c>
      <c r="I36" s="9"/>
      <c r="J36" s="9"/>
      <c r="K36" s="9"/>
      <c r="L36" s="9"/>
      <c r="M36" s="9">
        <v>44247</v>
      </c>
      <c r="N36" s="9">
        <v>102807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21328</v>
      </c>
      <c r="C37" s="9">
        <v>169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62">
        <v>4234</v>
      </c>
      <c r="N37" s="18">
        <f>M37+C37+B37</f>
        <v>25731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3051</v>
      </c>
      <c r="N38" s="9">
        <v>3051</v>
      </c>
      <c r="O38" s="17">
        <f>SUM(O31:O35)</f>
        <v>0.66813362521184727</v>
      </c>
      <c r="P38" s="17"/>
      <c r="Q38" s="3"/>
      <c r="R38" s="7" t="s">
        <v>51</v>
      </c>
      <c r="S38" s="19">
        <f>N45/1000</f>
        <v>12.941079999999999</v>
      </c>
      <c r="T38" s="7"/>
    </row>
    <row r="39" spans="1:47" ht="15">
      <c r="A39" s="5" t="s">
        <v>17</v>
      </c>
      <c r="B39" s="9">
        <v>47078</v>
      </c>
      <c r="C39" s="9">
        <v>162330</v>
      </c>
      <c r="D39" s="9">
        <v>0</v>
      </c>
      <c r="E39" s="9">
        <v>0</v>
      </c>
      <c r="F39" s="9">
        <v>14857</v>
      </c>
      <c r="G39" s="18">
        <f>G32+G36</f>
        <v>55597</v>
      </c>
      <c r="H39" s="9">
        <v>0</v>
      </c>
      <c r="I39" s="9"/>
      <c r="J39" s="9"/>
      <c r="K39" s="9"/>
      <c r="L39" s="9"/>
      <c r="M39" s="18">
        <f>SUM(M31:M38)</f>
        <v>116651</v>
      </c>
      <c r="N39" s="9">
        <v>396512</v>
      </c>
      <c r="O39" s="3"/>
      <c r="P39" s="3"/>
      <c r="Q39" s="3"/>
      <c r="R39" s="7" t="s">
        <v>52</v>
      </c>
      <c r="S39" s="20">
        <f>N41/1000</f>
        <v>131.589</v>
      </c>
      <c r="T39" s="14">
        <f>O41</f>
        <v>0.33186637478815267</v>
      </c>
    </row>
    <row r="40" spans="1:47">
      <c r="R40" s="7" t="s">
        <v>53</v>
      </c>
      <c r="S40" s="20">
        <f>N35/1000</f>
        <v>29.667000000000002</v>
      </c>
      <c r="T40" s="15">
        <f>O35</f>
        <v>7.4819929787749179E-2</v>
      </c>
    </row>
    <row r="41" spans="1:47" ht="15">
      <c r="A41" s="21" t="s">
        <v>54</v>
      </c>
      <c r="B41" s="22">
        <f>B38+B37+B36</f>
        <v>26083</v>
      </c>
      <c r="C41" s="22">
        <f t="shared" ref="C41:N41" si="0">C38+C37+C36</f>
        <v>470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53504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51532</v>
      </c>
      <c r="N41" s="22">
        <f t="shared" si="0"/>
        <v>131589</v>
      </c>
      <c r="O41" s="16">
        <f>N41/N$39</f>
        <v>0.33186637478815267</v>
      </c>
      <c r="P41" s="16" t="s">
        <v>55</v>
      </c>
      <c r="Q41" s="7"/>
      <c r="R41" s="7" t="s">
        <v>56</v>
      </c>
      <c r="S41" s="20">
        <f>N33/1000</f>
        <v>24.594000000000001</v>
      </c>
      <c r="T41" s="14">
        <f>O33</f>
        <v>6.2025865547574853E-2</v>
      </c>
    </row>
    <row r="42" spans="1:47" ht="15">
      <c r="A42" s="23" t="s">
        <v>57</v>
      </c>
      <c r="B42" s="22"/>
      <c r="C42" s="24">
        <f>C39+C23+C10</f>
        <v>164071</v>
      </c>
      <c r="D42" s="24">
        <f t="shared" ref="D42:L42" si="1">D39+D23+D10</f>
        <v>0</v>
      </c>
      <c r="E42" s="24">
        <f t="shared" si="1"/>
        <v>0</v>
      </c>
      <c r="F42" s="24">
        <f t="shared" si="1"/>
        <v>14857</v>
      </c>
      <c r="G42" s="24">
        <f t="shared" si="1"/>
        <v>96397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125983.08</v>
      </c>
      <c r="N42" s="25">
        <f>SUM(C42:M42)</f>
        <v>401308.08</v>
      </c>
      <c r="O42" s="7"/>
      <c r="P42" s="7"/>
      <c r="Q42" s="7"/>
      <c r="R42" s="7" t="s">
        <v>37</v>
      </c>
      <c r="S42" s="20">
        <f>N31/1000</f>
        <v>18.585000000000001</v>
      </c>
      <c r="T42" s="14">
        <f>O31</f>
        <v>4.6871217012347671E-2</v>
      </c>
    </row>
    <row r="43" spans="1:47" ht="15">
      <c r="A43" s="23" t="s">
        <v>58</v>
      </c>
      <c r="B43" s="22"/>
      <c r="C43" s="16">
        <f t="shared" ref="C43:M43" si="2">C42/$N42</f>
        <v>0.40884050976496661</v>
      </c>
      <c r="D43" s="16">
        <f t="shared" si="2"/>
        <v>0</v>
      </c>
      <c r="E43" s="16">
        <f t="shared" si="2"/>
        <v>0</v>
      </c>
      <c r="F43" s="16">
        <f t="shared" si="2"/>
        <v>3.7021432511401213E-2</v>
      </c>
      <c r="G43" s="16">
        <f t="shared" si="2"/>
        <v>0.24020697514986492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0.31393108257376728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40.006999999999998</v>
      </c>
      <c r="T43" s="15">
        <f>O32</f>
        <v>0.10089732467113227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152.07</v>
      </c>
      <c r="T44" s="15">
        <f>O34</f>
        <v>0.38351928819304332</v>
      </c>
    </row>
    <row r="45" spans="1:47" ht="15">
      <c r="A45" s="6" t="s">
        <v>61</v>
      </c>
      <c r="B45" s="6">
        <f>B23-B39</f>
        <v>3609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9332.08</v>
      </c>
      <c r="N45" s="25">
        <f>B45+M45</f>
        <v>12941.08</v>
      </c>
      <c r="O45" s="7"/>
      <c r="P45" s="7"/>
      <c r="Q45" s="7"/>
      <c r="R45" s="7" t="s">
        <v>62</v>
      </c>
      <c r="S45" s="20">
        <f>SUM(S39:S44)</f>
        <v>396.512</v>
      </c>
      <c r="T45" s="14">
        <f>SUM(T39:T44)</f>
        <v>1</v>
      </c>
    </row>
    <row r="46" spans="1:47" ht="15">
      <c r="A46" s="9" t="s">
        <v>95</v>
      </c>
      <c r="B46" s="42">
        <f>B45/B23</f>
        <v>7.1201688795943727E-2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8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8"/>
      <c r="O53" s="28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8"/>
      <c r="I55" s="27"/>
      <c r="J55" s="27"/>
      <c r="K55" s="27"/>
      <c r="L55" s="27"/>
      <c r="M55" s="27"/>
      <c r="N55" s="28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8"/>
      <c r="I56" s="27"/>
      <c r="J56" s="27"/>
      <c r="K56" s="27"/>
      <c r="L56" s="27"/>
      <c r="M56" s="27"/>
      <c r="N56" s="28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 enableFormatConditionsCalculation="0"/>
  <dimension ref="A1:AU70"/>
  <sheetViews>
    <sheetView workbookViewId="0">
      <selection activeCell="B44" sqref="B44"/>
    </sheetView>
  </sheetViews>
  <sheetFormatPr baseColWidth="10" defaultColWidth="8.83203125" defaultRowHeight="14" x14ac:dyDescent="0"/>
  <cols>
    <col min="1" max="1" width="26.5" style="2" customWidth="1"/>
    <col min="2" max="2" width="12" style="2" customWidth="1"/>
    <col min="3" max="3" width="13.83203125" style="2" customWidth="1"/>
    <col min="4" max="4" width="11.1640625" style="2" bestFit="1" customWidth="1"/>
    <col min="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79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62">
        <v>0</v>
      </c>
      <c r="C6" s="9">
        <v>0</v>
      </c>
      <c r="D6" s="56">
        <v>0</v>
      </c>
      <c r="E6" s="9">
        <v>0</v>
      </c>
      <c r="F6" s="9">
        <v>0</v>
      </c>
      <c r="G6" s="56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62">
        <v>18636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62">
        <f>SUM(B6:B9)</f>
        <v>18636</v>
      </c>
      <c r="C10" s="9">
        <v>0</v>
      </c>
      <c r="D10" s="56">
        <v>0</v>
      </c>
      <c r="E10" s="9">
        <v>0</v>
      </c>
      <c r="F10" s="9">
        <v>0</v>
      </c>
      <c r="G10" s="56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321</v>
      </c>
      <c r="C18" s="9">
        <v>368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368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54839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55160</v>
      </c>
      <c r="C23" s="9">
        <v>368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  <c r="J23" s="9"/>
      <c r="K23" s="9"/>
      <c r="L23" s="9"/>
      <c r="M23" s="9"/>
      <c r="N23" s="9">
        <v>368</v>
      </c>
      <c r="O23" s="3"/>
      <c r="P23" s="3"/>
      <c r="Q23" s="3"/>
      <c r="R23" s="3" t="s">
        <v>27</v>
      </c>
      <c r="S23" s="12">
        <f>N42/1000</f>
        <v>698.53311999999994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244.36511999999999</v>
      </c>
      <c r="T26" s="14">
        <f>M43</f>
        <v>0.34982610416525417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267.36500000000001</v>
      </c>
      <c r="T27" s="15">
        <f>G43</f>
        <v>0.38275207337341427</v>
      </c>
    </row>
    <row r="28" spans="1:20" ht="15">
      <c r="A28" s="4" t="s">
        <v>79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48.64</v>
      </c>
      <c r="T28" s="14">
        <f>J43</f>
        <v>6.963163035132823E-2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4.5730000000000004</v>
      </c>
      <c r="T29" s="14">
        <f>F43</f>
        <v>6.5465757729569075E-3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13.542</v>
      </c>
      <c r="T30" s="14">
        <f>E43</f>
        <v>1.9386339190330733E-2</v>
      </c>
    </row>
    <row r="31" spans="1:20" ht="15">
      <c r="A31" s="5" t="s">
        <v>36</v>
      </c>
      <c r="B31" s="9">
        <v>0</v>
      </c>
      <c r="C31" s="9">
        <v>722</v>
      </c>
      <c r="D31" s="9">
        <v>0</v>
      </c>
      <c r="E31" s="9">
        <v>0</v>
      </c>
      <c r="F31" s="9">
        <v>79</v>
      </c>
      <c r="G31" s="9">
        <v>0</v>
      </c>
      <c r="H31" s="9">
        <v>0</v>
      </c>
      <c r="I31" s="9"/>
      <c r="J31" s="9"/>
      <c r="K31" s="9"/>
      <c r="L31" s="9"/>
      <c r="M31" s="9">
        <v>3756</v>
      </c>
      <c r="N31" s="9">
        <v>4557</v>
      </c>
      <c r="O31" s="16">
        <f>N31/N$39</f>
        <v>6.2806313433411802E-3</v>
      </c>
      <c r="P31" s="17" t="s">
        <v>37</v>
      </c>
      <c r="Q31" s="3"/>
      <c r="R31" s="3" t="s">
        <v>38</v>
      </c>
      <c r="S31" s="13">
        <f>C42/1000</f>
        <v>94.097999999999999</v>
      </c>
      <c r="T31" s="15">
        <f>C43</f>
        <v>0.13470800067432737</v>
      </c>
    </row>
    <row r="32" spans="1:20" ht="15">
      <c r="A32" s="5" t="s">
        <v>39</v>
      </c>
      <c r="B32" s="9">
        <v>1000</v>
      </c>
      <c r="C32" s="62">
        <f>38740+2005</f>
        <v>40745</v>
      </c>
      <c r="D32" s="62">
        <f>D10</f>
        <v>0</v>
      </c>
      <c r="E32" s="62">
        <v>13542</v>
      </c>
      <c r="F32" s="9">
        <v>87</v>
      </c>
      <c r="G32" s="62">
        <f>256740</f>
        <v>256740</v>
      </c>
      <c r="H32" s="9">
        <v>0</v>
      </c>
      <c r="I32" s="9"/>
      <c r="J32" s="50">
        <v>48640</v>
      </c>
      <c r="K32" s="50">
        <v>25950</v>
      </c>
      <c r="L32" s="43"/>
      <c r="M32" s="50">
        <f>218282-29030</f>
        <v>189252</v>
      </c>
      <c r="N32" s="50">
        <f>SUM(B32:M32)</f>
        <v>575956</v>
      </c>
      <c r="O32" s="16">
        <f>N32/N$39</f>
        <v>0.79380454377560072</v>
      </c>
      <c r="P32" s="17" t="s">
        <v>40</v>
      </c>
      <c r="Q32" s="55">
        <f>SUM(B32:M32)</f>
        <v>575956</v>
      </c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6200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5356</v>
      </c>
      <c r="N33" s="9">
        <v>11556</v>
      </c>
      <c r="O33" s="16">
        <f>N33/N$39</f>
        <v>1.5926920299243072E-2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52143</v>
      </c>
      <c r="D34" s="9">
        <v>0</v>
      </c>
      <c r="E34" s="9">
        <v>0</v>
      </c>
      <c r="F34" s="9">
        <v>4407</v>
      </c>
      <c r="G34" s="9">
        <v>0</v>
      </c>
      <c r="H34" s="9">
        <v>0</v>
      </c>
      <c r="I34" s="9"/>
      <c r="J34" s="9"/>
      <c r="K34" s="9"/>
      <c r="L34" s="9"/>
      <c r="M34" s="9">
        <v>17</v>
      </c>
      <c r="N34" s="9">
        <v>56567</v>
      </c>
      <c r="O34" s="16">
        <f>N34/N$39</f>
        <v>7.7962798595299657E-2</v>
      </c>
      <c r="P34" s="17" t="s">
        <v>45</v>
      </c>
      <c r="Q34" s="3"/>
      <c r="R34" s="3"/>
      <c r="S34" s="13">
        <f>SUM(S26:S33)</f>
        <v>672.58312000000001</v>
      </c>
      <c r="T34" s="14">
        <f>SUM(T26:T33)</f>
        <v>0.96285072352761158</v>
      </c>
    </row>
    <row r="35" spans="1:47" ht="15">
      <c r="A35" s="5" t="s">
        <v>46</v>
      </c>
      <c r="B35" s="9">
        <v>3400</v>
      </c>
      <c r="C35" s="9">
        <v>60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7075</v>
      </c>
      <c r="N35" s="9">
        <v>10535</v>
      </c>
      <c r="O35" s="16">
        <f>N35/N$39</f>
        <v>1.4519739127079071E-2</v>
      </c>
      <c r="P35" s="17" t="s">
        <v>47</v>
      </c>
      <c r="Q35" s="17"/>
    </row>
    <row r="36" spans="1:47" ht="15">
      <c r="A36" s="5" t="s">
        <v>48</v>
      </c>
      <c r="B36" s="9">
        <v>14700</v>
      </c>
      <c r="C36" s="9">
        <v>60</v>
      </c>
      <c r="D36" s="9">
        <v>0</v>
      </c>
      <c r="E36" s="9">
        <v>0</v>
      </c>
      <c r="F36" s="9">
        <v>0</v>
      </c>
      <c r="G36" s="9">
        <v>10625</v>
      </c>
      <c r="H36" s="9">
        <v>0</v>
      </c>
      <c r="I36" s="9"/>
      <c r="J36" s="9"/>
      <c r="K36" s="9"/>
      <c r="L36" s="9"/>
      <c r="M36" s="9">
        <v>15874</v>
      </c>
      <c r="N36" s="9">
        <v>41259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20200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3248</v>
      </c>
      <c r="N37" s="9">
        <v>23448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1686</v>
      </c>
      <c r="N38" s="9">
        <v>1686</v>
      </c>
      <c r="O38" s="17">
        <f>SUM(O31:O35)</f>
        <v>0.90849463314056367</v>
      </c>
      <c r="P38" s="17"/>
      <c r="Q38" s="3"/>
      <c r="R38" s="7" t="s">
        <v>51</v>
      </c>
      <c r="S38" s="19">
        <f>N45/1000</f>
        <v>27.761119999999998</v>
      </c>
      <c r="T38" s="7"/>
    </row>
    <row r="39" spans="1:47" ht="15">
      <c r="A39" s="5" t="s">
        <v>17</v>
      </c>
      <c r="B39" s="9">
        <v>45500</v>
      </c>
      <c r="C39" s="57">
        <f>SUM(C31:C38)</f>
        <v>93730</v>
      </c>
      <c r="D39" s="18">
        <f>D32</f>
        <v>0</v>
      </c>
      <c r="E39" s="62">
        <f>E32</f>
        <v>13542</v>
      </c>
      <c r="F39" s="9">
        <v>4573</v>
      </c>
      <c r="G39" s="57">
        <f>G32+G36</f>
        <v>267365</v>
      </c>
      <c r="H39" s="9">
        <v>0</v>
      </c>
      <c r="I39" s="9"/>
      <c r="J39" s="50">
        <f>SUM(J32:J38)</f>
        <v>48640</v>
      </c>
      <c r="K39" s="50">
        <f t="shared" ref="K39:L39" si="0">SUM(K32:K38)</f>
        <v>25950</v>
      </c>
      <c r="L39" s="50">
        <f t="shared" si="0"/>
        <v>0</v>
      </c>
      <c r="M39" s="50">
        <f>SUM(M31:M38)</f>
        <v>226264</v>
      </c>
      <c r="N39" s="50">
        <f>SUM(N31:N38)</f>
        <v>725564</v>
      </c>
      <c r="O39" s="3"/>
      <c r="P39" s="3"/>
      <c r="Q39" s="3"/>
      <c r="R39" s="7" t="s">
        <v>52</v>
      </c>
      <c r="S39" s="20">
        <f>N41/1000</f>
        <v>66.393000000000001</v>
      </c>
      <c r="T39" s="14">
        <f>O41</f>
        <v>9.1505366859436249E-2</v>
      </c>
    </row>
    <row r="40" spans="1:47">
      <c r="R40" s="7" t="s">
        <v>53</v>
      </c>
      <c r="S40" s="20">
        <f>N35/1000</f>
        <v>10.535</v>
      </c>
      <c r="T40" s="15">
        <f>O35</f>
        <v>1.4519739127079071E-2</v>
      </c>
    </row>
    <row r="41" spans="1:47" ht="15">
      <c r="A41" s="21" t="s">
        <v>54</v>
      </c>
      <c r="B41" s="22">
        <f>B38+B37+B36</f>
        <v>34900</v>
      </c>
      <c r="C41" s="22">
        <f t="shared" ref="C41:N41" si="1">C38+C37+C36</f>
        <v>60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10625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20808</v>
      </c>
      <c r="N41" s="22">
        <f t="shared" si="1"/>
        <v>66393</v>
      </c>
      <c r="O41" s="16">
        <f>N41/N$39</f>
        <v>9.1505366859436249E-2</v>
      </c>
      <c r="P41" s="16" t="s">
        <v>55</v>
      </c>
      <c r="Q41" s="7"/>
      <c r="R41" s="7" t="s">
        <v>56</v>
      </c>
      <c r="S41" s="20">
        <f>N33/1000</f>
        <v>11.555999999999999</v>
      </c>
      <c r="T41" s="14">
        <f>O33</f>
        <v>1.5926920299243072E-2</v>
      </c>
    </row>
    <row r="42" spans="1:47" ht="15">
      <c r="A42" s="23" t="s">
        <v>57</v>
      </c>
      <c r="B42" s="22"/>
      <c r="C42" s="24">
        <f>C39+C23+C10</f>
        <v>94098</v>
      </c>
      <c r="D42" s="24">
        <f>D39+D23+D10</f>
        <v>0</v>
      </c>
      <c r="E42" s="24">
        <f t="shared" ref="E42:L42" si="2">E39+E23+E10</f>
        <v>13542</v>
      </c>
      <c r="F42" s="24">
        <f t="shared" si="2"/>
        <v>4573</v>
      </c>
      <c r="G42" s="24">
        <f t="shared" si="2"/>
        <v>267365</v>
      </c>
      <c r="H42" s="24">
        <f t="shared" si="2"/>
        <v>0</v>
      </c>
      <c r="I42" s="24">
        <f t="shared" si="2"/>
        <v>0</v>
      </c>
      <c r="J42" s="24">
        <f t="shared" si="2"/>
        <v>48640</v>
      </c>
      <c r="K42" s="24">
        <f t="shared" si="2"/>
        <v>25950</v>
      </c>
      <c r="L42" s="24">
        <f t="shared" si="2"/>
        <v>0</v>
      </c>
      <c r="M42" s="24">
        <f>M39+M23-B6+M45</f>
        <v>244365.12</v>
      </c>
      <c r="N42" s="25">
        <f>SUM(C42:M42)</f>
        <v>698533.12</v>
      </c>
      <c r="O42" s="7"/>
      <c r="P42" s="7"/>
      <c r="Q42" s="7"/>
      <c r="R42" s="7" t="s">
        <v>37</v>
      </c>
      <c r="S42" s="20">
        <f>N31/1000</f>
        <v>4.5570000000000004</v>
      </c>
      <c r="T42" s="14">
        <f>O31</f>
        <v>6.2806313433411802E-3</v>
      </c>
    </row>
    <row r="43" spans="1:47" ht="15">
      <c r="A43" s="23" t="s">
        <v>58</v>
      </c>
      <c r="B43" s="22"/>
      <c r="C43" s="16">
        <f t="shared" ref="C43:M43" si="3">C42/$N42</f>
        <v>0.13470800067432737</v>
      </c>
      <c r="D43" s="16">
        <f t="shared" si="3"/>
        <v>0</v>
      </c>
      <c r="E43" s="16">
        <f t="shared" si="3"/>
        <v>1.9386339190330733E-2</v>
      </c>
      <c r="F43" s="16">
        <f t="shared" si="3"/>
        <v>6.5465757729569075E-3</v>
      </c>
      <c r="G43" s="16">
        <f t="shared" si="3"/>
        <v>0.38275207337341427</v>
      </c>
      <c r="H43" s="16">
        <f t="shared" si="3"/>
        <v>0</v>
      </c>
      <c r="I43" s="16">
        <f t="shared" si="3"/>
        <v>0</v>
      </c>
      <c r="J43" s="16">
        <f t="shared" si="3"/>
        <v>6.963163035132823E-2</v>
      </c>
      <c r="K43" s="16">
        <f t="shared" si="3"/>
        <v>3.7149276472388311E-2</v>
      </c>
      <c r="L43" s="16">
        <f t="shared" si="3"/>
        <v>0</v>
      </c>
      <c r="M43" s="16">
        <f t="shared" si="3"/>
        <v>0.34982610416525417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575.95600000000002</v>
      </c>
      <c r="T43" s="15">
        <f>O32</f>
        <v>0.79380454377560072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56.567</v>
      </c>
      <c r="T44" s="15">
        <f>O34</f>
        <v>7.7962798595299657E-2</v>
      </c>
    </row>
    <row r="45" spans="1:47" ht="15">
      <c r="A45" s="6" t="s">
        <v>61</v>
      </c>
      <c r="B45" s="6">
        <f>B23-B39</f>
        <v>9660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18101.12</v>
      </c>
      <c r="N45" s="25">
        <f>B45+M45</f>
        <v>27761.119999999999</v>
      </c>
      <c r="O45" s="7"/>
      <c r="P45" s="7"/>
      <c r="Q45" s="7"/>
      <c r="R45" s="7" t="s">
        <v>62</v>
      </c>
      <c r="S45" s="20">
        <f>SUM(S39:S44)</f>
        <v>725.56400000000008</v>
      </c>
      <c r="T45" s="14">
        <f>SUM(T39:T44)</f>
        <v>0.99999999999999989</v>
      </c>
    </row>
    <row r="46" spans="1:47" ht="15">
      <c r="A46" s="9" t="s">
        <v>95</v>
      </c>
      <c r="B46" s="42">
        <f>B45/B23</f>
        <v>0.17512690355329949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8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8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8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8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8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U70"/>
  <sheetViews>
    <sheetView workbookViewId="0">
      <selection activeCell="I3" sqref="I3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3" width="8.83203125" style="2"/>
    <col min="14" max="14" width="20.5" style="2" bestFit="1" customWidth="1"/>
    <col min="15" max="18" width="8.83203125" style="2"/>
    <col min="19" max="19" width="10.33203125" style="2" bestFit="1" customWidth="1"/>
    <col min="20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51809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51809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22361</v>
      </c>
      <c r="C18" s="9">
        <v>448</v>
      </c>
      <c r="D18" s="9">
        <v>0</v>
      </c>
      <c r="E18" s="9">
        <v>0</v>
      </c>
      <c r="F18" s="9">
        <v>0</v>
      </c>
      <c r="G18" s="9">
        <v>24164</v>
      </c>
      <c r="H18" s="9">
        <v>0</v>
      </c>
      <c r="I18" s="9"/>
      <c r="J18" s="9"/>
      <c r="K18" s="9"/>
      <c r="L18" s="9"/>
      <c r="M18" s="9"/>
      <c r="N18" s="9">
        <v>24612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61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61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43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22361</v>
      </c>
      <c r="C23" s="9">
        <v>448</v>
      </c>
      <c r="D23" s="9">
        <v>0</v>
      </c>
      <c r="E23" s="9">
        <v>0</v>
      </c>
      <c r="F23" s="9">
        <v>0</v>
      </c>
      <c r="G23" s="9">
        <v>24164</v>
      </c>
      <c r="H23" s="9">
        <v>0</v>
      </c>
      <c r="I23" s="9"/>
      <c r="J23" s="9"/>
      <c r="K23" s="9"/>
      <c r="L23" s="9"/>
      <c r="M23" s="9"/>
      <c r="N23" s="9">
        <v>24612</v>
      </c>
      <c r="O23" s="3"/>
      <c r="P23" s="3"/>
      <c r="Q23" s="3"/>
      <c r="R23" s="3" t="s">
        <v>27</v>
      </c>
      <c r="S23" s="12">
        <f>N42/1000</f>
        <v>294.95848000000001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147.61548000000002</v>
      </c>
      <c r="T26" s="14">
        <f>M43</f>
        <v>0.50046189551831166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47.534999999999997</v>
      </c>
      <c r="T27" s="15">
        <f>G43</f>
        <v>0.16115827556475068</v>
      </c>
    </row>
    <row r="28" spans="1:20" ht="15">
      <c r="A28" s="4" t="s">
        <v>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5.3410000000000002</v>
      </c>
      <c r="T29" s="14">
        <f>F43</f>
        <v>1.810763331842502E-2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28.437000000000001</v>
      </c>
      <c r="T30" s="14">
        <f>E43</f>
        <v>9.6410179493737563E-2</v>
      </c>
    </row>
    <row r="31" spans="1:20" ht="15">
      <c r="A31" s="5" t="s">
        <v>36</v>
      </c>
      <c r="B31" s="9">
        <v>0</v>
      </c>
      <c r="C31" s="9">
        <v>15981</v>
      </c>
      <c r="D31" s="9">
        <v>0</v>
      </c>
      <c r="E31" s="9">
        <v>0</v>
      </c>
      <c r="F31" s="9">
        <v>1408</v>
      </c>
      <c r="G31" s="9">
        <v>0</v>
      </c>
      <c r="H31" s="9">
        <v>0</v>
      </c>
      <c r="I31" s="9"/>
      <c r="J31" s="9"/>
      <c r="K31" s="9"/>
      <c r="L31" s="9"/>
      <c r="M31" s="9">
        <v>22455</v>
      </c>
      <c r="N31" s="43">
        <v>39844</v>
      </c>
      <c r="O31" s="16">
        <f>N31/N$39</f>
        <v>0.14288122039295564</v>
      </c>
      <c r="P31" s="17" t="s">
        <v>37</v>
      </c>
      <c r="Q31" s="3"/>
      <c r="R31" s="3" t="s">
        <v>38</v>
      </c>
      <c r="S31" s="13">
        <f>C42/1000</f>
        <v>66.03</v>
      </c>
      <c r="T31" s="15">
        <f>C43</f>
        <v>0.22386201610477516</v>
      </c>
    </row>
    <row r="32" spans="1:20" ht="15">
      <c r="A32" s="5" t="s">
        <v>39</v>
      </c>
      <c r="B32" s="9">
        <v>0</v>
      </c>
      <c r="C32" s="9">
        <v>1216</v>
      </c>
      <c r="D32" s="9">
        <v>0</v>
      </c>
      <c r="E32" s="62">
        <v>28437</v>
      </c>
      <c r="F32" s="9">
        <v>114</v>
      </c>
      <c r="G32" s="9">
        <v>0</v>
      </c>
      <c r="H32" s="9">
        <v>0</v>
      </c>
      <c r="I32" s="9"/>
      <c r="J32" s="9"/>
      <c r="K32" s="9"/>
      <c r="L32" s="9"/>
      <c r="M32" s="9">
        <v>27867</v>
      </c>
      <c r="N32" s="62">
        <f>M32+F32+E32+C32</f>
        <v>57634</v>
      </c>
      <c r="O32" s="16">
        <f>N32/N$39</f>
        <v>0.20667644453688397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0</v>
      </c>
      <c r="C33" s="9">
        <v>826</v>
      </c>
      <c r="D33" s="9">
        <v>0</v>
      </c>
      <c r="E33" s="43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12266</v>
      </c>
      <c r="N33" s="43">
        <v>13092</v>
      </c>
      <c r="O33" s="16">
        <f>N33/N$39</f>
        <v>4.6948121106931411E-2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46166</v>
      </c>
      <c r="D34" s="9">
        <v>0</v>
      </c>
      <c r="E34" s="43">
        <v>0</v>
      </c>
      <c r="F34" s="9">
        <v>3819</v>
      </c>
      <c r="G34" s="9">
        <v>0</v>
      </c>
      <c r="H34" s="9">
        <v>0</v>
      </c>
      <c r="I34" s="9"/>
      <c r="J34" s="9"/>
      <c r="K34" s="9"/>
      <c r="L34" s="9"/>
      <c r="M34" s="9">
        <v>25</v>
      </c>
      <c r="N34" s="43">
        <v>50010</v>
      </c>
      <c r="O34" s="16">
        <f>N34/N$39</f>
        <v>0.17933665876547814</v>
      </c>
      <c r="P34" s="17" t="s">
        <v>45</v>
      </c>
      <c r="Q34" s="3"/>
      <c r="R34" s="3"/>
      <c r="S34" s="13">
        <f>SUM(S26:S33)</f>
        <v>294.95848000000001</v>
      </c>
      <c r="T34" s="14">
        <f>SUM(T26:T33)</f>
        <v>1</v>
      </c>
    </row>
    <row r="35" spans="1:47" ht="15">
      <c r="A35" s="5" t="s">
        <v>46</v>
      </c>
      <c r="B35" s="9">
        <v>846</v>
      </c>
      <c r="C35" s="9">
        <v>362</v>
      </c>
      <c r="D35" s="9">
        <v>0</v>
      </c>
      <c r="E35" s="43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14683</v>
      </c>
      <c r="N35" s="43">
        <v>15891</v>
      </c>
      <c r="O35" s="16">
        <f>N35/N$39</f>
        <v>5.6985379812881688E-2</v>
      </c>
      <c r="P35" s="17" t="s">
        <v>47</v>
      </c>
      <c r="Q35" s="17"/>
    </row>
    <row r="36" spans="1:47" ht="15">
      <c r="A36" s="5" t="s">
        <v>48</v>
      </c>
      <c r="B36" s="9">
        <v>1371</v>
      </c>
      <c r="C36" s="9">
        <v>991</v>
      </c>
      <c r="D36" s="9">
        <v>0</v>
      </c>
      <c r="E36" s="43">
        <v>0</v>
      </c>
      <c r="F36" s="9">
        <v>0</v>
      </c>
      <c r="G36" s="9">
        <v>23371</v>
      </c>
      <c r="H36" s="9">
        <v>0</v>
      </c>
      <c r="I36" s="9"/>
      <c r="J36" s="9"/>
      <c r="K36" s="9"/>
      <c r="L36" s="9"/>
      <c r="M36" s="9">
        <v>52974</v>
      </c>
      <c r="N36" s="43">
        <v>78707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17230</v>
      </c>
      <c r="C37" s="9">
        <v>41</v>
      </c>
      <c r="D37" s="9">
        <v>0</v>
      </c>
      <c r="E37" s="43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3559</v>
      </c>
      <c r="N37" s="43">
        <v>20830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43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2853</v>
      </c>
      <c r="N38" s="43">
        <v>2853</v>
      </c>
      <c r="O38" s="17">
        <f>SUM(O31:O35)</f>
        <v>0.63282782461513087</v>
      </c>
      <c r="P38" s="17"/>
      <c r="Q38" s="3"/>
      <c r="R38" s="7" t="s">
        <v>51</v>
      </c>
      <c r="S38" s="19">
        <f>N45/1000</f>
        <v>13.84848</v>
      </c>
      <c r="T38" s="7"/>
    </row>
    <row r="39" spans="1:47" ht="15">
      <c r="A39" s="5" t="s">
        <v>17</v>
      </c>
      <c r="B39" s="9">
        <v>19447</v>
      </c>
      <c r="C39" s="9">
        <v>65582</v>
      </c>
      <c r="D39" s="9">
        <v>0</v>
      </c>
      <c r="E39" s="62">
        <f>E32</f>
        <v>28437</v>
      </c>
      <c r="F39" s="9">
        <v>5341</v>
      </c>
      <c r="G39" s="9">
        <v>23371</v>
      </c>
      <c r="H39" s="9">
        <v>0</v>
      </c>
      <c r="I39" s="9"/>
      <c r="J39" s="9"/>
      <c r="K39" s="9"/>
      <c r="L39" s="9"/>
      <c r="M39" s="9">
        <v>136681</v>
      </c>
      <c r="N39" s="62">
        <f>SUM(N31:N38)</f>
        <v>278861</v>
      </c>
      <c r="O39" s="3"/>
      <c r="P39" s="3"/>
      <c r="Q39" s="3"/>
      <c r="R39" s="7" t="s">
        <v>52</v>
      </c>
      <c r="S39" s="20">
        <f>N41/1000</f>
        <v>102.39</v>
      </c>
      <c r="T39" s="14">
        <f>O41</f>
        <v>0.36717217538486918</v>
      </c>
    </row>
    <row r="40" spans="1:47">
      <c r="R40" s="7" t="s">
        <v>53</v>
      </c>
      <c r="S40" s="20">
        <f>N35/1000</f>
        <v>15.891</v>
      </c>
      <c r="T40" s="15">
        <f>O35</f>
        <v>5.6985379812881688E-2</v>
      </c>
    </row>
    <row r="41" spans="1:47" ht="15">
      <c r="A41" s="21" t="s">
        <v>54</v>
      </c>
      <c r="B41" s="22">
        <f>B38+B37+B36</f>
        <v>18601</v>
      </c>
      <c r="C41" s="22">
        <f t="shared" ref="C41:N41" si="0">C38+C37+C36</f>
        <v>1032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23371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59386</v>
      </c>
      <c r="N41" s="22">
        <f t="shared" si="0"/>
        <v>102390</v>
      </c>
      <c r="O41" s="16">
        <f>N41/N$39</f>
        <v>0.36717217538486918</v>
      </c>
      <c r="P41" s="16" t="s">
        <v>55</v>
      </c>
      <c r="Q41" s="7"/>
      <c r="R41" s="7" t="s">
        <v>56</v>
      </c>
      <c r="S41" s="20">
        <f>N33/1000</f>
        <v>13.092000000000001</v>
      </c>
      <c r="T41" s="14">
        <f>O33</f>
        <v>4.6948121106931411E-2</v>
      </c>
    </row>
    <row r="42" spans="1:47" ht="15">
      <c r="A42" s="23" t="s">
        <v>57</v>
      </c>
      <c r="B42" s="22"/>
      <c r="C42" s="24">
        <f>C39+C23+C10</f>
        <v>66030</v>
      </c>
      <c r="D42" s="24">
        <f t="shared" ref="D42:L42" si="1">D39+D23+D10</f>
        <v>0</v>
      </c>
      <c r="E42" s="24">
        <f t="shared" si="1"/>
        <v>28437</v>
      </c>
      <c r="F42" s="24">
        <f t="shared" si="1"/>
        <v>5341</v>
      </c>
      <c r="G42" s="24">
        <f t="shared" si="1"/>
        <v>47535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147615.48000000001</v>
      </c>
      <c r="N42" s="25">
        <f>SUM(C42:M42)</f>
        <v>294958.48</v>
      </c>
      <c r="O42" s="7"/>
      <c r="P42" s="7"/>
      <c r="Q42" s="7"/>
      <c r="R42" s="7" t="s">
        <v>37</v>
      </c>
      <c r="S42" s="20">
        <f>N31/1000</f>
        <v>39.844000000000001</v>
      </c>
      <c r="T42" s="14">
        <f>O31</f>
        <v>0.14288122039295564</v>
      </c>
    </row>
    <row r="43" spans="1:47" ht="15">
      <c r="A43" s="23" t="s">
        <v>58</v>
      </c>
      <c r="B43" s="22"/>
      <c r="C43" s="16">
        <f t="shared" ref="C43:M43" si="2">C42/$N42</f>
        <v>0.22386201610477516</v>
      </c>
      <c r="D43" s="16">
        <f t="shared" si="2"/>
        <v>0</v>
      </c>
      <c r="E43" s="16">
        <f t="shared" si="2"/>
        <v>9.6410179493737563E-2</v>
      </c>
      <c r="F43" s="16">
        <f t="shared" si="2"/>
        <v>1.810763331842502E-2</v>
      </c>
      <c r="G43" s="16">
        <f t="shared" si="2"/>
        <v>0.16115827556475068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0.50046189551831166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57.634</v>
      </c>
      <c r="T43" s="15">
        <f>O32</f>
        <v>0.20667644453688397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50.01</v>
      </c>
      <c r="T44" s="15">
        <f>O34</f>
        <v>0.17933665876547814</v>
      </c>
    </row>
    <row r="45" spans="1:47" ht="15">
      <c r="A45" s="6" t="s">
        <v>61</v>
      </c>
      <c r="B45" s="6">
        <f>B23-B39</f>
        <v>2914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10934.48</v>
      </c>
      <c r="N45" s="25">
        <f>B45+M45</f>
        <v>13848.48</v>
      </c>
      <c r="O45" s="7"/>
      <c r="P45" s="7"/>
      <c r="Q45" s="7"/>
      <c r="R45" s="7" t="s">
        <v>62</v>
      </c>
      <c r="S45" s="20">
        <f>SUM(S39:S44)</f>
        <v>278.86099999999999</v>
      </c>
      <c r="T45" s="14">
        <f>SUM(T39:T44)</f>
        <v>1</v>
      </c>
    </row>
    <row r="46" spans="1:47" ht="15">
      <c r="A46" s="6" t="s">
        <v>95</v>
      </c>
      <c r="B46" s="68">
        <f>B45/B23</f>
        <v>0.13031617548410179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7"/>
      <c r="H48" s="27"/>
      <c r="I48" s="27"/>
      <c r="J48" s="27"/>
      <c r="K48" s="27"/>
      <c r="L48" s="27"/>
      <c r="M48" s="27"/>
      <c r="N48" s="27"/>
      <c r="O48" s="28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7"/>
      <c r="I55" s="27"/>
      <c r="J55" s="27"/>
      <c r="K55" s="27"/>
      <c r="L55" s="27"/>
      <c r="M55" s="27"/>
      <c r="N55" s="27"/>
      <c r="O55" s="28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7"/>
      <c r="I56" s="27"/>
      <c r="J56" s="27"/>
      <c r="K56" s="27"/>
      <c r="L56" s="27"/>
      <c r="M56" s="27"/>
      <c r="N56" s="27"/>
      <c r="O56" s="28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/>
  <dimension ref="A1:AU70"/>
  <sheetViews>
    <sheetView topLeftCell="A10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80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5360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159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18">
        <f>B9+B8</f>
        <v>5519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56">
        <f>N18*0.9</f>
        <v>64194.3</v>
      </c>
      <c r="C18" s="56">
        <v>51</v>
      </c>
      <c r="D18" s="9">
        <v>0</v>
      </c>
      <c r="E18" s="56">
        <v>6734</v>
      </c>
      <c r="F18" s="56">
        <v>14526</v>
      </c>
      <c r="G18" s="56">
        <v>46247</v>
      </c>
      <c r="H18" s="9">
        <v>0</v>
      </c>
      <c r="I18" s="9"/>
      <c r="J18" s="9"/>
      <c r="K18" s="9"/>
      <c r="L18" s="9"/>
      <c r="M18" s="56">
        <v>3769</v>
      </c>
      <c r="N18" s="56">
        <f>SUM(C18:M18)</f>
        <v>71327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56">
        <f>B18</f>
        <v>64194.3</v>
      </c>
      <c r="C23" s="9">
        <f t="shared" ref="C23:E23" si="0">C18</f>
        <v>51</v>
      </c>
      <c r="D23" s="9">
        <f t="shared" si="0"/>
        <v>0</v>
      </c>
      <c r="E23" s="9">
        <f t="shared" si="0"/>
        <v>6734</v>
      </c>
      <c r="F23" s="9">
        <f>F18</f>
        <v>14526</v>
      </c>
      <c r="G23" s="9">
        <f>G18</f>
        <v>46247</v>
      </c>
      <c r="H23" s="9">
        <v>0</v>
      </c>
      <c r="I23" s="9"/>
      <c r="J23" s="9"/>
      <c r="K23" s="9"/>
      <c r="L23" s="9"/>
      <c r="M23" s="9">
        <f>M18</f>
        <v>3769</v>
      </c>
      <c r="N23" s="9">
        <f>N18</f>
        <v>71327</v>
      </c>
      <c r="O23" s="3"/>
      <c r="P23" s="3"/>
      <c r="Q23" s="3"/>
      <c r="R23" s="3" t="s">
        <v>27</v>
      </c>
      <c r="S23" s="12">
        <f>N42/1000</f>
        <v>652.37891999999988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267.36892</v>
      </c>
      <c r="T26" s="14">
        <f>M43</f>
        <v>0.40983684757931788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97.631</v>
      </c>
      <c r="T27" s="15">
        <f>G43</f>
        <v>0.14965382388505136</v>
      </c>
    </row>
    <row r="28" spans="1:20" ht="15">
      <c r="A28" s="4" t="s">
        <v>80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25.68</v>
      </c>
      <c r="T29" s="14">
        <f>F43</f>
        <v>3.9363626280260564E-2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133.49799999999999</v>
      </c>
      <c r="T30" s="14">
        <f>E43</f>
        <v>0.20463260830070967</v>
      </c>
    </row>
    <row r="31" spans="1:20" ht="15">
      <c r="A31" s="5" t="s">
        <v>36</v>
      </c>
      <c r="B31" s="9">
        <v>0</v>
      </c>
      <c r="C31" s="62">
        <f>(N31-M31)*0.91</f>
        <v>7321.8600000000006</v>
      </c>
      <c r="D31" s="9">
        <v>0</v>
      </c>
      <c r="E31" s="9">
        <v>0</v>
      </c>
      <c r="F31" s="62">
        <f>(N31-M31)*0.09</f>
        <v>724.14</v>
      </c>
      <c r="G31" s="9">
        <v>0</v>
      </c>
      <c r="H31" s="9">
        <v>0</v>
      </c>
      <c r="I31" s="9"/>
      <c r="J31" s="9"/>
      <c r="K31" s="9"/>
      <c r="L31" s="9"/>
      <c r="M31" s="9">
        <v>755</v>
      </c>
      <c r="N31" s="9">
        <v>8801</v>
      </c>
      <c r="O31" s="16">
        <f>N31/N$39</f>
        <v>1.4301918189322881E-2</v>
      </c>
      <c r="P31" s="17" t="s">
        <v>37</v>
      </c>
      <c r="Q31" s="3"/>
      <c r="R31" s="3" t="s">
        <v>38</v>
      </c>
      <c r="S31" s="13">
        <f>C42/1000</f>
        <v>128.20099999999999</v>
      </c>
      <c r="T31" s="15">
        <f>C43</f>
        <v>0.1965130939546606</v>
      </c>
    </row>
    <row r="32" spans="1:20" ht="15">
      <c r="A32" s="5" t="s">
        <v>39</v>
      </c>
      <c r="B32" s="9">
        <v>4045</v>
      </c>
      <c r="C32" s="62">
        <f>C39-C31-C33-C34-C35-C36-C37</f>
        <v>3501.1399999999994</v>
      </c>
      <c r="D32" s="9">
        <v>0</v>
      </c>
      <c r="E32" s="62">
        <v>126764</v>
      </c>
      <c r="F32" s="62">
        <f>F39-F34-F31</f>
        <v>199.86</v>
      </c>
      <c r="G32" s="62">
        <f>18819</f>
        <v>18819</v>
      </c>
      <c r="H32" s="9">
        <v>0</v>
      </c>
      <c r="I32" s="9"/>
      <c r="J32" s="9"/>
      <c r="K32" s="9"/>
      <c r="L32" s="9"/>
      <c r="M32" s="9">
        <v>152772</v>
      </c>
      <c r="N32" s="9">
        <v>306101</v>
      </c>
      <c r="O32" s="16">
        <f>N32/N$39</f>
        <v>0.49742432219860505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18616</v>
      </c>
      <c r="C33" s="9">
        <v>952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8353</v>
      </c>
      <c r="N33" s="9">
        <v>27920</v>
      </c>
      <c r="O33" s="16">
        <f>N33/N$39</f>
        <v>4.5370930104067134E-2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114412</v>
      </c>
      <c r="D34" s="9">
        <v>0</v>
      </c>
      <c r="E34" s="9">
        <v>0</v>
      </c>
      <c r="F34" s="9">
        <v>10230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124641</v>
      </c>
      <c r="O34" s="16">
        <f>N34/N$39</f>
        <v>0.20254577718843236</v>
      </c>
      <c r="P34" s="17" t="s">
        <v>45</v>
      </c>
      <c r="Q34" s="3"/>
      <c r="R34" s="3"/>
      <c r="S34" s="13">
        <f>SUM(S26:S33)</f>
        <v>652.37891999999999</v>
      </c>
      <c r="T34" s="14">
        <f>SUM(T26:T33)</f>
        <v>1.0000000000000002</v>
      </c>
    </row>
    <row r="35" spans="1:47" ht="15">
      <c r="A35" s="5" t="s">
        <v>46</v>
      </c>
      <c r="B35" s="9">
        <v>8713</v>
      </c>
      <c r="C35" s="9">
        <v>915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7784</v>
      </c>
      <c r="N35" s="9">
        <v>17412</v>
      </c>
      <c r="O35" s="16">
        <f>N35/N$39</f>
        <v>2.8295080049141007E-2</v>
      </c>
      <c r="P35" s="17" t="s">
        <v>47</v>
      </c>
      <c r="Q35" s="17"/>
    </row>
    <row r="36" spans="1:47" ht="15">
      <c r="A36" s="5" t="s">
        <v>48</v>
      </c>
      <c r="B36" s="9">
        <v>7189</v>
      </c>
      <c r="C36" s="9">
        <v>730</v>
      </c>
      <c r="D36" s="9">
        <v>0</v>
      </c>
      <c r="E36" s="9">
        <v>0</v>
      </c>
      <c r="F36" s="9">
        <v>0</v>
      </c>
      <c r="G36" s="9">
        <v>32565</v>
      </c>
      <c r="H36" s="9">
        <v>0</v>
      </c>
      <c r="I36" s="9"/>
      <c r="J36" s="9"/>
      <c r="K36" s="9"/>
      <c r="L36" s="9"/>
      <c r="M36" s="9">
        <v>44442</v>
      </c>
      <c r="N36" s="9">
        <v>84927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15283</v>
      </c>
      <c r="C37" s="9">
        <v>318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26628</v>
      </c>
      <c r="N37" s="9">
        <v>42229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3341</v>
      </c>
      <c r="N38" s="9">
        <v>3341</v>
      </c>
      <c r="O38" s="17">
        <f>SUM(O31:O35)</f>
        <v>0.78793802772956845</v>
      </c>
      <c r="P38" s="17"/>
      <c r="Q38" s="3"/>
      <c r="R38" s="7" t="s">
        <v>51</v>
      </c>
      <c r="S38" s="19">
        <f>N45/1000</f>
        <v>29.874220000000005</v>
      </c>
      <c r="T38" s="7"/>
    </row>
    <row r="39" spans="1:47" ht="15">
      <c r="A39" s="5" t="s">
        <v>17</v>
      </c>
      <c r="B39" s="43">
        <v>53846</v>
      </c>
      <c r="C39" s="9">
        <v>128150</v>
      </c>
      <c r="D39" s="9">
        <v>0</v>
      </c>
      <c r="E39" s="62">
        <f>SUM(E31:E38)</f>
        <v>126764</v>
      </c>
      <c r="F39" s="9">
        <v>11154</v>
      </c>
      <c r="G39" s="62">
        <f>SUM(G31:G38)</f>
        <v>51384</v>
      </c>
      <c r="H39" s="9">
        <v>0</v>
      </c>
      <c r="I39" s="9"/>
      <c r="J39" s="9"/>
      <c r="K39" s="9"/>
      <c r="L39" s="9"/>
      <c r="M39" s="9">
        <v>244074</v>
      </c>
      <c r="N39" s="9">
        <f>SUM(N31:N38)</f>
        <v>615372</v>
      </c>
      <c r="O39" s="3"/>
      <c r="P39" s="3"/>
      <c r="Q39" s="3"/>
      <c r="R39" s="7" t="s">
        <v>52</v>
      </c>
      <c r="S39" s="20">
        <f>N41/1000</f>
        <v>130.49700000000001</v>
      </c>
      <c r="T39" s="14">
        <f>O41</f>
        <v>0.21206197227043155</v>
      </c>
    </row>
    <row r="40" spans="1:47">
      <c r="R40" s="7" t="s">
        <v>53</v>
      </c>
      <c r="S40" s="20">
        <f>N35/1000</f>
        <v>17.411999999999999</v>
      </c>
      <c r="T40" s="15">
        <f>O35</f>
        <v>2.8295080049141007E-2</v>
      </c>
    </row>
    <row r="41" spans="1:47" ht="15">
      <c r="A41" s="21" t="s">
        <v>54</v>
      </c>
      <c r="B41" s="22">
        <f>B38+B37+B36</f>
        <v>22472</v>
      </c>
      <c r="C41" s="22">
        <f t="shared" ref="C41:N41" si="1">C38+C37+C36</f>
        <v>1048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32565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74411</v>
      </c>
      <c r="N41" s="22">
        <f t="shared" si="1"/>
        <v>130497</v>
      </c>
      <c r="O41" s="16">
        <f>N41/N$39</f>
        <v>0.21206197227043155</v>
      </c>
      <c r="P41" s="16" t="s">
        <v>55</v>
      </c>
      <c r="Q41" s="7"/>
      <c r="R41" s="7" t="s">
        <v>56</v>
      </c>
      <c r="S41" s="20">
        <f>N33/1000</f>
        <v>27.92</v>
      </c>
      <c r="T41" s="14">
        <f>O33</f>
        <v>4.5370930104067134E-2</v>
      </c>
    </row>
    <row r="42" spans="1:47" ht="15">
      <c r="A42" s="23" t="s">
        <v>57</v>
      </c>
      <c r="B42" s="22"/>
      <c r="C42" s="24">
        <f>C39+C23+C10</f>
        <v>128201</v>
      </c>
      <c r="D42" s="24">
        <f t="shared" ref="D42:L42" si="2">D39+D23+D10</f>
        <v>0</v>
      </c>
      <c r="E42" s="24">
        <f t="shared" si="2"/>
        <v>133498</v>
      </c>
      <c r="F42" s="24">
        <f t="shared" si="2"/>
        <v>25680</v>
      </c>
      <c r="G42" s="24">
        <f t="shared" si="2"/>
        <v>97631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267368.92</v>
      </c>
      <c r="N42" s="25">
        <f>SUM(C42:M42)</f>
        <v>652378.91999999993</v>
      </c>
      <c r="O42" s="7"/>
      <c r="P42" s="7"/>
      <c r="Q42" s="7"/>
      <c r="R42" s="7" t="s">
        <v>37</v>
      </c>
      <c r="S42" s="20">
        <f>N31/1000</f>
        <v>8.8010000000000002</v>
      </c>
      <c r="T42" s="14">
        <f>O31</f>
        <v>1.4301918189322881E-2</v>
      </c>
    </row>
    <row r="43" spans="1:47" ht="15">
      <c r="A43" s="23" t="s">
        <v>58</v>
      </c>
      <c r="B43" s="22"/>
      <c r="C43" s="16">
        <f t="shared" ref="C43:M43" si="3">C42/$N42</f>
        <v>0.1965130939546606</v>
      </c>
      <c r="D43" s="16">
        <f t="shared" si="3"/>
        <v>0</v>
      </c>
      <c r="E43" s="16">
        <f t="shared" si="3"/>
        <v>0.20463260830070967</v>
      </c>
      <c r="F43" s="16">
        <f t="shared" si="3"/>
        <v>3.9363626280260564E-2</v>
      </c>
      <c r="G43" s="16">
        <f t="shared" si="3"/>
        <v>0.14965382388505136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0.40983684757931788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306.101</v>
      </c>
      <c r="T43" s="15">
        <f>O32</f>
        <v>0.49742432219860505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124.64100000000001</v>
      </c>
      <c r="T44" s="15">
        <f>O34</f>
        <v>0.20254577718843236</v>
      </c>
    </row>
    <row r="45" spans="1:47" ht="15">
      <c r="A45" s="6" t="s">
        <v>61</v>
      </c>
      <c r="B45" s="6">
        <f>B23-B39</f>
        <v>10348.300000000003</v>
      </c>
      <c r="H45" s="6"/>
      <c r="I45" s="6"/>
      <c r="J45" s="6"/>
      <c r="K45" s="6"/>
      <c r="L45" s="6"/>
      <c r="M45" s="26">
        <f>M39*0.08</f>
        <v>19525.920000000002</v>
      </c>
      <c r="N45" s="25">
        <f>B45+M45</f>
        <v>29874.220000000005</v>
      </c>
      <c r="O45" s="7"/>
      <c r="P45" s="7"/>
      <c r="Q45" s="7"/>
      <c r="R45" s="7" t="s">
        <v>62</v>
      </c>
      <c r="S45" s="20">
        <f>SUM(S39:S44)</f>
        <v>615.37199999999996</v>
      </c>
      <c r="T45" s="14">
        <f>SUM(T39:T44)</f>
        <v>0.99999999999999989</v>
      </c>
    </row>
    <row r="46" spans="1:47" ht="15">
      <c r="A46" s="9" t="s">
        <v>95</v>
      </c>
      <c r="B46" s="41">
        <f>B45/B23</f>
        <v>0.16120278591712975</v>
      </c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D47" s="6"/>
      <c r="E47" s="6"/>
      <c r="F47" s="6"/>
      <c r="G47" s="6"/>
      <c r="H47" s="6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8"/>
      <c r="F48" s="27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9"/>
      <c r="I49" s="9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F51" s="27"/>
      <c r="G51" s="27"/>
      <c r="H51" s="9"/>
      <c r="I51" s="9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U70"/>
  <sheetViews>
    <sheetView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1810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18">
        <v>1810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56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56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  <c r="J23" s="9"/>
      <c r="K23" s="9"/>
      <c r="L23" s="9"/>
      <c r="M23" s="9"/>
      <c r="N23" s="9">
        <v>0</v>
      </c>
      <c r="O23" s="3"/>
      <c r="P23" s="3"/>
      <c r="Q23" s="3"/>
      <c r="R23" s="3" t="s">
        <v>27</v>
      </c>
      <c r="S23" s="12">
        <f>N42/1000</f>
        <v>372.03312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175.48812000000001</v>
      </c>
      <c r="T26" s="14">
        <f>M43</f>
        <v>0.47170026152510292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16.516999999999999</v>
      </c>
      <c r="T27" s="15">
        <f>G43</f>
        <v>4.4396584906204052E-2</v>
      </c>
    </row>
    <row r="28" spans="1:20" ht="15">
      <c r="A28" s="4" t="s">
        <v>81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12.481999999999999</v>
      </c>
      <c r="T29" s="14">
        <f>F43</f>
        <v>3.3550776339482891E-2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17.585000000000001</v>
      </c>
      <c r="T30" s="14">
        <f>E43</f>
        <v>4.7267297062154039E-2</v>
      </c>
    </row>
    <row r="31" spans="1:20" ht="15">
      <c r="A31" s="5" t="s">
        <v>36</v>
      </c>
      <c r="B31" s="9">
        <v>0</v>
      </c>
      <c r="C31" s="9">
        <v>8929</v>
      </c>
      <c r="D31" s="9">
        <v>0</v>
      </c>
      <c r="E31" s="9">
        <v>0</v>
      </c>
      <c r="F31" s="9">
        <v>799</v>
      </c>
      <c r="G31" s="9">
        <v>0</v>
      </c>
      <c r="H31" s="9">
        <v>0</v>
      </c>
      <c r="I31" s="9"/>
      <c r="J31" s="9"/>
      <c r="K31" s="9"/>
      <c r="L31" s="9"/>
      <c r="M31" s="9">
        <v>4046</v>
      </c>
      <c r="N31" s="9">
        <v>13774</v>
      </c>
      <c r="O31" s="16">
        <f>N31/N$39</f>
        <v>3.8364054657776141E-2</v>
      </c>
      <c r="P31" s="17" t="s">
        <v>37</v>
      </c>
      <c r="Q31" s="3"/>
      <c r="R31" s="3" t="s">
        <v>38</v>
      </c>
      <c r="S31" s="13">
        <f>C42/1000</f>
        <v>149.96100000000001</v>
      </c>
      <c r="T31" s="15">
        <f>C43</f>
        <v>0.40308508016705608</v>
      </c>
    </row>
    <row r="32" spans="1:20" ht="15">
      <c r="A32" s="5" t="s">
        <v>39</v>
      </c>
      <c r="B32" s="9">
        <v>0</v>
      </c>
      <c r="C32" s="62">
        <f>C39-C31-C34-C35-C36-C37</f>
        <v>4501</v>
      </c>
      <c r="D32" s="9">
        <v>0</v>
      </c>
      <c r="E32" s="62">
        <v>17585</v>
      </c>
      <c r="F32" s="9">
        <v>267</v>
      </c>
      <c r="G32" s="62">
        <f>N32-F32-M32-E32-C32</f>
        <v>17</v>
      </c>
      <c r="H32" s="9">
        <v>0</v>
      </c>
      <c r="I32" s="9"/>
      <c r="J32" s="9"/>
      <c r="K32" s="9"/>
      <c r="L32" s="9"/>
      <c r="M32" s="9">
        <v>60114</v>
      </c>
      <c r="N32" s="9">
        <v>82484</v>
      </c>
      <c r="O32" s="16">
        <f>N32/N$39</f>
        <v>0.22973868770088626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6110</v>
      </c>
      <c r="N33" s="9">
        <v>6110</v>
      </c>
      <c r="O33" s="16">
        <f>N33/N$39</f>
        <v>1.7017886885364618E-2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129106</v>
      </c>
      <c r="D34" s="9">
        <v>0</v>
      </c>
      <c r="E34" s="9">
        <v>0</v>
      </c>
      <c r="F34" s="9">
        <v>11416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140522</v>
      </c>
      <c r="O34" s="16">
        <f>N34/N$39</f>
        <v>0.39138911635109769</v>
      </c>
      <c r="P34" s="17" t="s">
        <v>45</v>
      </c>
      <c r="Q34" s="3"/>
      <c r="R34" s="3"/>
      <c r="S34" s="13">
        <f>SUM(S26:S33)</f>
        <v>372.03312000000005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1522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29108</v>
      </c>
      <c r="N35" s="9">
        <v>30631</v>
      </c>
      <c r="O35" s="16">
        <f>N35/N$39</f>
        <v>8.5315039801244455E-2</v>
      </c>
      <c r="P35" s="17" t="s">
        <v>47</v>
      </c>
      <c r="Q35" s="17"/>
    </row>
    <row r="36" spans="1:47" ht="15">
      <c r="A36" s="5" t="s">
        <v>48</v>
      </c>
      <c r="B36" s="9">
        <v>0</v>
      </c>
      <c r="C36" s="62">
        <f>N36-M36-G36</f>
        <v>2838</v>
      </c>
      <c r="D36" s="9">
        <v>0</v>
      </c>
      <c r="E36" s="9">
        <v>0</v>
      </c>
      <c r="F36" s="9">
        <v>0</v>
      </c>
      <c r="G36" s="62">
        <v>16500</v>
      </c>
      <c r="H36" s="9">
        <v>0</v>
      </c>
      <c r="I36" s="9"/>
      <c r="J36" s="9"/>
      <c r="K36" s="9"/>
      <c r="L36" s="9"/>
      <c r="M36" s="9">
        <v>41296</v>
      </c>
      <c r="N36" s="9">
        <v>60634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0</v>
      </c>
      <c r="C37" s="9">
        <v>3065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20483</v>
      </c>
      <c r="N37" s="9">
        <v>23547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1332</v>
      </c>
      <c r="N38" s="9">
        <v>1332</v>
      </c>
      <c r="O38" s="17">
        <f>SUM(O31:O35)</f>
        <v>0.76182478539636911</v>
      </c>
      <c r="P38" s="17"/>
      <c r="Q38" s="3"/>
      <c r="R38" s="7" t="s">
        <v>51</v>
      </c>
      <c r="S38" s="19">
        <f>N45/1000</f>
        <v>12.999120000000001</v>
      </c>
      <c r="T38" s="7"/>
    </row>
    <row r="39" spans="1:47" ht="15">
      <c r="A39" s="5" t="s">
        <v>17</v>
      </c>
      <c r="B39" s="9">
        <v>0</v>
      </c>
      <c r="C39" s="9">
        <v>149961</v>
      </c>
      <c r="D39" s="9">
        <v>0</v>
      </c>
      <c r="E39" s="57">
        <f>SUM(E31:E38)</f>
        <v>17585</v>
      </c>
      <c r="F39" s="9">
        <v>12482</v>
      </c>
      <c r="G39" s="57">
        <f>SUM(G31:G38)</f>
        <v>16517</v>
      </c>
      <c r="H39" s="9">
        <v>0</v>
      </c>
      <c r="I39" s="9"/>
      <c r="J39" s="9"/>
      <c r="K39" s="9"/>
      <c r="L39" s="9"/>
      <c r="M39" s="9">
        <v>162489</v>
      </c>
      <c r="N39" s="9">
        <v>359034</v>
      </c>
      <c r="O39" s="3"/>
      <c r="P39" s="3"/>
      <c r="Q39" s="3"/>
      <c r="R39" s="7" t="s">
        <v>52</v>
      </c>
      <c r="S39" s="20">
        <f>N41/1000</f>
        <v>85.513000000000005</v>
      </c>
      <c r="T39" s="14">
        <f>O41</f>
        <v>0.23817521460363086</v>
      </c>
    </row>
    <row r="40" spans="1:47">
      <c r="R40" s="7" t="s">
        <v>53</v>
      </c>
      <c r="S40" s="20">
        <f>N35/1000</f>
        <v>30.631</v>
      </c>
      <c r="T40" s="15">
        <f>O35</f>
        <v>8.5315039801244455E-2</v>
      </c>
    </row>
    <row r="41" spans="1:47" ht="15">
      <c r="A41" s="21" t="s">
        <v>54</v>
      </c>
      <c r="B41" s="22">
        <f>B38+B37+B36</f>
        <v>0</v>
      </c>
      <c r="C41" s="22">
        <f t="shared" ref="C41:N41" si="0">C38+C37+C36</f>
        <v>5903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16500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63111</v>
      </c>
      <c r="N41" s="22">
        <f t="shared" si="0"/>
        <v>85513</v>
      </c>
      <c r="O41" s="16">
        <f>N41/N$39</f>
        <v>0.23817521460363086</v>
      </c>
      <c r="P41" s="16" t="s">
        <v>55</v>
      </c>
      <c r="Q41" s="7"/>
      <c r="R41" s="7" t="s">
        <v>56</v>
      </c>
      <c r="S41" s="20">
        <f>N33/1000</f>
        <v>6.11</v>
      </c>
      <c r="T41" s="14">
        <f>O33</f>
        <v>1.7017886885364618E-2</v>
      </c>
    </row>
    <row r="42" spans="1:47" ht="15">
      <c r="A42" s="23" t="s">
        <v>57</v>
      </c>
      <c r="B42" s="22"/>
      <c r="C42" s="24">
        <f>C39+C23+C10</f>
        <v>149961</v>
      </c>
      <c r="D42" s="24">
        <f t="shared" ref="D42:L42" si="1">D39+D23+D10</f>
        <v>0</v>
      </c>
      <c r="E42" s="24">
        <f t="shared" si="1"/>
        <v>17585</v>
      </c>
      <c r="F42" s="24">
        <f t="shared" si="1"/>
        <v>12482</v>
      </c>
      <c r="G42" s="24">
        <f t="shared" si="1"/>
        <v>16517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175488.12</v>
      </c>
      <c r="N42" s="25">
        <f>SUM(C42:M42)</f>
        <v>372033.12</v>
      </c>
      <c r="O42" s="7"/>
      <c r="P42" s="7"/>
      <c r="Q42" s="7"/>
      <c r="R42" s="7" t="s">
        <v>37</v>
      </c>
      <c r="S42" s="20">
        <f>N31/1000</f>
        <v>13.773999999999999</v>
      </c>
      <c r="T42" s="14">
        <f>O31</f>
        <v>3.8364054657776141E-2</v>
      </c>
    </row>
    <row r="43" spans="1:47" ht="15">
      <c r="A43" s="23" t="s">
        <v>58</v>
      </c>
      <c r="B43" s="22"/>
      <c r="C43" s="16">
        <f t="shared" ref="C43:M43" si="2">C42/$N42</f>
        <v>0.40308508016705608</v>
      </c>
      <c r="D43" s="16">
        <f t="shared" si="2"/>
        <v>0</v>
      </c>
      <c r="E43" s="16">
        <f t="shared" si="2"/>
        <v>4.7267297062154039E-2</v>
      </c>
      <c r="F43" s="16">
        <f t="shared" si="2"/>
        <v>3.3550776339482891E-2</v>
      </c>
      <c r="G43" s="16">
        <f t="shared" si="2"/>
        <v>4.4396584906204052E-2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0.47170026152510292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82.483999999999995</v>
      </c>
      <c r="T43" s="15">
        <f>O32</f>
        <v>0.22973868770088626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140.52199999999999</v>
      </c>
      <c r="T44" s="15">
        <f>O34</f>
        <v>0.39138911635109769</v>
      </c>
    </row>
    <row r="45" spans="1:47" ht="15">
      <c r="A45" s="6" t="s">
        <v>61</v>
      </c>
      <c r="B45" s="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12999.12</v>
      </c>
      <c r="N45" s="25">
        <f>B45+M45</f>
        <v>12999.12</v>
      </c>
      <c r="O45" s="7"/>
      <c r="P45" s="7"/>
      <c r="Q45" s="7"/>
      <c r="R45" s="7" t="s">
        <v>62</v>
      </c>
      <c r="S45" s="20">
        <f>SUM(S39:S44)</f>
        <v>359.03399999999999</v>
      </c>
      <c r="T45" s="14">
        <f>SUM(T39:T44)</f>
        <v>1</v>
      </c>
    </row>
    <row r="46" spans="1:47" ht="15">
      <c r="A46" s="9" t="s">
        <v>95</v>
      </c>
      <c r="B46" s="42" t="e">
        <f>B45/B23</f>
        <v>#DIV/0!</v>
      </c>
      <c r="C46" s="6"/>
      <c r="D46" s="6"/>
      <c r="E46" s="6"/>
      <c r="F46" s="6"/>
      <c r="G46" s="27"/>
      <c r="H46" s="27"/>
      <c r="I46" s="27"/>
      <c r="J46" s="27"/>
      <c r="K46" s="27"/>
      <c r="L46" s="6"/>
      <c r="M46"/>
      <c r="N46" s="6"/>
      <c r="O46" s="7"/>
      <c r="P46" s="7"/>
      <c r="Q46" s="7"/>
    </row>
    <row r="47" spans="1:47">
      <c r="A47" s="4"/>
      <c r="B47" s="4"/>
      <c r="C47" s="9"/>
      <c r="D47" s="9"/>
      <c r="E47" s="9"/>
      <c r="F47" s="9"/>
      <c r="G47" s="27"/>
      <c r="H47" s="27"/>
      <c r="I47" s="27"/>
      <c r="J47" s="27"/>
      <c r="K47" s="27"/>
      <c r="L47" s="9"/>
      <c r="M47" s="27"/>
      <c r="N47" s="9"/>
      <c r="O47" s="9"/>
      <c r="P47" s="27"/>
      <c r="Q47" s="4"/>
      <c r="R47" s="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7"/>
      <c r="AG47" s="4"/>
      <c r="AH47" s="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>
      <c r="A48" s="27"/>
      <c r="B48" s="4"/>
      <c r="C48" s="9"/>
      <c r="D48" s="18"/>
      <c r="E48" s="9"/>
      <c r="F48" s="18"/>
      <c r="G48" s="9"/>
      <c r="H48" s="18"/>
      <c r="I48" s="9"/>
      <c r="J48" s="9"/>
      <c r="K48" s="9"/>
      <c r="L48" s="9"/>
      <c r="M48" s="27"/>
      <c r="N48" s="9"/>
      <c r="O48" s="9"/>
      <c r="P48" s="27"/>
      <c r="Q48" s="27"/>
      <c r="R48" s="4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27"/>
      <c r="AG48" s="27"/>
      <c r="AH48" s="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>
      <c r="A49" s="27"/>
      <c r="B49" s="4"/>
      <c r="C49" s="9"/>
      <c r="D49" s="9"/>
      <c r="E49" s="9"/>
      <c r="F49" s="9"/>
      <c r="G49" s="9"/>
      <c r="H49" s="9"/>
      <c r="I49" s="9"/>
      <c r="J49" s="9"/>
      <c r="K49" s="9"/>
      <c r="L49" s="9"/>
      <c r="M49" s="27"/>
      <c r="N49" s="9"/>
      <c r="O49" s="9"/>
      <c r="P49" s="27"/>
      <c r="Q49" s="27"/>
      <c r="R49" s="4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7"/>
      <c r="AG49" s="27"/>
      <c r="AH49" s="4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>
      <c r="A50" s="27"/>
      <c r="B50" s="4"/>
      <c r="C50" s="9"/>
      <c r="D50" s="9"/>
      <c r="E50" s="9"/>
      <c r="F50" s="9"/>
      <c r="G50" s="9"/>
      <c r="H50" s="9"/>
      <c r="I50" s="9"/>
      <c r="J50" s="9"/>
      <c r="K50" s="9"/>
      <c r="L50" s="9"/>
      <c r="M50" s="27"/>
      <c r="N50" s="9"/>
      <c r="O50" s="9"/>
      <c r="P50" s="27"/>
      <c r="Q50" s="27"/>
      <c r="R50" s="4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27"/>
      <c r="AG50" s="27"/>
      <c r="AH50" s="4"/>
      <c r="AI50" s="18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>
      <c r="A51" s="27"/>
      <c r="B51" s="4"/>
      <c r="C51" s="9"/>
      <c r="I51" s="9"/>
      <c r="J51" s="9"/>
      <c r="K51" s="9"/>
      <c r="L51" s="9"/>
      <c r="M51" s="27"/>
      <c r="N51" s="9"/>
      <c r="O51" s="9"/>
      <c r="P51" s="27"/>
      <c r="Q51" s="27"/>
      <c r="R51" s="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7"/>
      <c r="AG51" s="27"/>
      <c r="AH51" s="4"/>
      <c r="AI51" s="18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>
      <c r="A52" s="27"/>
      <c r="B52" s="4"/>
      <c r="C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27"/>
      <c r="AG52" s="27"/>
      <c r="AH52" s="4"/>
      <c r="AI52" s="18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7"/>
      <c r="AG53" s="27"/>
      <c r="AH53" s="4"/>
      <c r="AI53" s="18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>
      <c r="A54" s="27"/>
      <c r="B54" s="4"/>
      <c r="C54" s="9"/>
      <c r="D54" s="9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27"/>
      <c r="AG54" s="27"/>
      <c r="AH54" s="4"/>
      <c r="AI54" s="18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>
      <c r="A55" s="27"/>
      <c r="B55" s="4"/>
      <c r="C55" s="9"/>
      <c r="D55" s="9"/>
      <c r="E55" s="9"/>
      <c r="F55" s="18"/>
      <c r="G55" s="9"/>
      <c r="H55" s="18"/>
      <c r="I55" s="9"/>
      <c r="J55" s="9"/>
      <c r="K55" s="9"/>
      <c r="L55" s="9"/>
      <c r="M55" s="27"/>
      <c r="N55" s="9"/>
      <c r="O55" s="9"/>
      <c r="P55" s="27"/>
      <c r="Q55" s="27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7"/>
      <c r="AG55" s="27"/>
      <c r="AH55" s="4"/>
      <c r="AI55" s="18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>
      <c r="A56" s="27"/>
      <c r="B56" s="4"/>
      <c r="C56" s="9"/>
      <c r="D56" s="9"/>
      <c r="E56" s="9"/>
      <c r="F56" s="18"/>
      <c r="G56" s="9"/>
      <c r="H56" s="18"/>
      <c r="I56" s="9"/>
      <c r="J56" s="9"/>
      <c r="K56" s="9"/>
      <c r="L56" s="9"/>
      <c r="M56" s="27"/>
      <c r="N56" s="9"/>
      <c r="O56" s="9"/>
      <c r="P56" s="27"/>
      <c r="Q56" s="27"/>
      <c r="R56" s="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27"/>
      <c r="AG56" s="27"/>
      <c r="AH56" s="4"/>
      <c r="AI56" s="18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AU70"/>
  <sheetViews>
    <sheetView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82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3150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3150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  <c r="J23" s="9"/>
      <c r="K23" s="9"/>
      <c r="L23" s="9"/>
      <c r="M23" s="9"/>
      <c r="N23" s="9">
        <v>0</v>
      </c>
      <c r="O23" s="3"/>
      <c r="P23" s="3"/>
      <c r="Q23" s="3"/>
      <c r="R23" s="3" t="s">
        <v>27</v>
      </c>
      <c r="S23" s="12">
        <f>N42/1000</f>
        <v>418.72868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268.67268000000001</v>
      </c>
      <c r="T26" s="14">
        <f>M43</f>
        <v>0.64163906804759585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18.414000000000001</v>
      </c>
      <c r="T27" s="15">
        <f>G43</f>
        <v>4.3975970310894397E-2</v>
      </c>
    </row>
    <row r="28" spans="1:20" ht="15">
      <c r="A28" s="4" t="s">
        <v>82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10.278</v>
      </c>
      <c r="T29" s="14">
        <f>F43</f>
        <v>2.4545727319179571E-2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3.544</v>
      </c>
      <c r="T30" s="14">
        <f>E43</f>
        <v>8.4637144988492317E-3</v>
      </c>
    </row>
    <row r="31" spans="1:20" ht="15">
      <c r="A31" s="5" t="s">
        <v>36</v>
      </c>
      <c r="B31" s="9">
        <v>0</v>
      </c>
      <c r="C31" s="9">
        <v>14497</v>
      </c>
      <c r="D31" s="9">
        <v>0</v>
      </c>
      <c r="E31" s="9">
        <v>0</v>
      </c>
      <c r="F31" s="9">
        <v>1554</v>
      </c>
      <c r="G31" s="9">
        <v>0</v>
      </c>
      <c r="H31" s="9">
        <v>0</v>
      </c>
      <c r="I31" s="9"/>
      <c r="J31" s="9"/>
      <c r="K31" s="9"/>
      <c r="L31" s="9"/>
      <c r="M31" s="9">
        <v>18836</v>
      </c>
      <c r="N31" s="9">
        <v>34887</v>
      </c>
      <c r="O31" s="16">
        <f>N31/N$39</f>
        <v>8.7474456215131946E-2</v>
      </c>
      <c r="P31" s="17" t="s">
        <v>37</v>
      </c>
      <c r="Q31" s="3"/>
      <c r="R31" s="3" t="s">
        <v>38</v>
      </c>
      <c r="S31" s="13">
        <f>C42/1000</f>
        <v>117.82</v>
      </c>
      <c r="T31" s="15">
        <f>C43</f>
        <v>0.28137551982348091</v>
      </c>
    </row>
    <row r="32" spans="1:20" ht="15">
      <c r="A32" s="5" t="s">
        <v>39</v>
      </c>
      <c r="B32" s="9">
        <v>0</v>
      </c>
      <c r="C32" s="62">
        <f>C39-C31-C34-C33-C35-C36-C37</f>
        <v>2674</v>
      </c>
      <c r="D32" s="9">
        <v>0</v>
      </c>
      <c r="E32" s="62">
        <f>N32-M32-F32-C32-G32</f>
        <v>3544</v>
      </c>
      <c r="F32" s="9">
        <v>173</v>
      </c>
      <c r="G32" s="62">
        <v>114</v>
      </c>
      <c r="H32" s="9">
        <v>0</v>
      </c>
      <c r="I32" s="9"/>
      <c r="J32" s="9"/>
      <c r="K32" s="9"/>
      <c r="L32" s="9"/>
      <c r="M32" s="9">
        <v>64771</v>
      </c>
      <c r="N32" s="9">
        <v>71276</v>
      </c>
      <c r="O32" s="16">
        <f>N32/N$39</f>
        <v>0.17871497523976682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0</v>
      </c>
      <c r="C33" s="9">
        <v>70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12942</v>
      </c>
      <c r="N33" s="9">
        <v>13012</v>
      </c>
      <c r="O33" s="16">
        <f>N33/N$39</f>
        <v>3.2625838400300887E-2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99240</v>
      </c>
      <c r="D34" s="9">
        <v>0</v>
      </c>
      <c r="E34" s="9">
        <v>0</v>
      </c>
      <c r="F34" s="9">
        <v>8551</v>
      </c>
      <c r="G34" s="9">
        <v>0</v>
      </c>
      <c r="H34" s="9">
        <v>0</v>
      </c>
      <c r="I34" s="9"/>
      <c r="J34" s="9"/>
      <c r="K34" s="9"/>
      <c r="L34" s="9"/>
      <c r="M34" s="9">
        <v>1</v>
      </c>
      <c r="N34" s="9">
        <v>107791</v>
      </c>
      <c r="O34" s="16">
        <f>N34/N$39</f>
        <v>0.2702714223030151</v>
      </c>
      <c r="P34" s="17" t="s">
        <v>45</v>
      </c>
      <c r="Q34" s="3"/>
      <c r="R34" s="3"/>
      <c r="S34" s="13">
        <f>SUM(S26:S33)</f>
        <v>418.72868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567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26780</v>
      </c>
      <c r="N35" s="9">
        <v>27347</v>
      </c>
      <c r="O35" s="16">
        <f>N35/N$39</f>
        <v>6.8568921206042757E-2</v>
      </c>
      <c r="P35" s="17" t="s">
        <v>47</v>
      </c>
      <c r="Q35" s="17"/>
    </row>
    <row r="36" spans="1:47" ht="15">
      <c r="A36" s="5" t="s">
        <v>48</v>
      </c>
      <c r="B36" s="9">
        <v>0</v>
      </c>
      <c r="C36" s="62">
        <f>N36-M36-G36</f>
        <v>762</v>
      </c>
      <c r="D36" s="9">
        <v>0</v>
      </c>
      <c r="E36" s="9">
        <v>0</v>
      </c>
      <c r="F36" s="9">
        <v>0</v>
      </c>
      <c r="G36" s="62">
        <v>18300</v>
      </c>
      <c r="H36" s="9">
        <v>0</v>
      </c>
      <c r="I36" s="9"/>
      <c r="J36" s="56"/>
      <c r="K36" s="9"/>
      <c r="L36" s="9"/>
      <c r="M36" s="9">
        <v>81158</v>
      </c>
      <c r="N36" s="9">
        <v>100220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0</v>
      </c>
      <c r="C37" s="9">
        <v>10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8591</v>
      </c>
      <c r="N37" s="9">
        <v>8601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35692</v>
      </c>
      <c r="N38" s="9">
        <v>35692</v>
      </c>
      <c r="O38" s="17">
        <f>SUM(O31:O35)</f>
        <v>0.63765561336425747</v>
      </c>
      <c r="P38" s="17"/>
      <c r="Q38" s="3"/>
      <c r="R38" s="7" t="s">
        <v>51</v>
      </c>
      <c r="S38" s="19">
        <f>N45/1000</f>
        <v>19.901679999999999</v>
      </c>
      <c r="T38" s="7"/>
    </row>
    <row r="39" spans="1:47" ht="15">
      <c r="A39" s="5" t="s">
        <v>17</v>
      </c>
      <c r="B39" s="9">
        <v>0</v>
      </c>
      <c r="C39" s="9">
        <v>117820</v>
      </c>
      <c r="D39" s="9">
        <v>0</v>
      </c>
      <c r="E39" s="57">
        <f>SUM(E31:E38)</f>
        <v>3544</v>
      </c>
      <c r="F39" s="9">
        <v>10278</v>
      </c>
      <c r="G39" s="57">
        <f>SUM(G31:G38)</f>
        <v>18414</v>
      </c>
      <c r="H39" s="9">
        <v>0</v>
      </c>
      <c r="I39" s="9"/>
      <c r="J39" s="9"/>
      <c r="K39" s="9"/>
      <c r="L39" s="9"/>
      <c r="M39" s="9">
        <v>248771</v>
      </c>
      <c r="N39" s="9">
        <v>398825</v>
      </c>
      <c r="O39" s="3"/>
      <c r="P39" s="3"/>
      <c r="Q39" s="3"/>
      <c r="R39" s="7" t="s">
        <v>52</v>
      </c>
      <c r="S39" s="20">
        <f>N41/1000</f>
        <v>144.51300000000001</v>
      </c>
      <c r="T39" s="14">
        <f>O41</f>
        <v>0.36234689400112829</v>
      </c>
    </row>
    <row r="40" spans="1:47">
      <c r="R40" s="7" t="s">
        <v>53</v>
      </c>
      <c r="S40" s="20">
        <f>N35/1000</f>
        <v>27.347000000000001</v>
      </c>
      <c r="T40" s="15">
        <f>O35</f>
        <v>6.8568921206042757E-2</v>
      </c>
    </row>
    <row r="41" spans="1:47" ht="15">
      <c r="A41" s="21" t="s">
        <v>54</v>
      </c>
      <c r="B41" s="22">
        <f>B38+B37+B36</f>
        <v>0</v>
      </c>
      <c r="C41" s="22">
        <f t="shared" ref="C41:N41" si="0">C38+C37+C36</f>
        <v>772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18300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125441</v>
      </c>
      <c r="N41" s="22">
        <f t="shared" si="0"/>
        <v>144513</v>
      </c>
      <c r="O41" s="16">
        <f>N41/N$39</f>
        <v>0.36234689400112829</v>
      </c>
      <c r="P41" s="16" t="s">
        <v>55</v>
      </c>
      <c r="Q41" s="7"/>
      <c r="R41" s="7" t="s">
        <v>56</v>
      </c>
      <c r="S41" s="20">
        <f>N33/1000</f>
        <v>13.012</v>
      </c>
      <c r="T41" s="14">
        <f>O33</f>
        <v>3.2625838400300887E-2</v>
      </c>
    </row>
    <row r="42" spans="1:47" ht="15">
      <c r="A42" s="23" t="s">
        <v>57</v>
      </c>
      <c r="B42" s="22"/>
      <c r="C42" s="24">
        <f>C39+C23+C10</f>
        <v>117820</v>
      </c>
      <c r="D42" s="24">
        <f t="shared" ref="D42:L42" si="1">D39+D23+D10</f>
        <v>0</v>
      </c>
      <c r="E42" s="24">
        <f t="shared" si="1"/>
        <v>3544</v>
      </c>
      <c r="F42" s="24">
        <f t="shared" si="1"/>
        <v>10278</v>
      </c>
      <c r="G42" s="24">
        <f t="shared" si="1"/>
        <v>18414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268672.68</v>
      </c>
      <c r="N42" s="25">
        <f>SUM(C42:M42)</f>
        <v>418728.68</v>
      </c>
      <c r="O42" s="7"/>
      <c r="P42" s="7"/>
      <c r="Q42" s="7"/>
      <c r="R42" s="7" t="s">
        <v>37</v>
      </c>
      <c r="S42" s="20">
        <f>N31/1000</f>
        <v>34.887</v>
      </c>
      <c r="T42" s="14">
        <f>O31</f>
        <v>8.7474456215131946E-2</v>
      </c>
    </row>
    <row r="43" spans="1:47" ht="15">
      <c r="A43" s="23" t="s">
        <v>58</v>
      </c>
      <c r="B43" s="22"/>
      <c r="C43" s="16">
        <f>C42/$N42</f>
        <v>0.28137551982348091</v>
      </c>
      <c r="D43" s="16">
        <f t="shared" ref="D43:M43" si="2">D42/$N42</f>
        <v>0</v>
      </c>
      <c r="E43" s="16">
        <f t="shared" si="2"/>
        <v>8.4637144988492317E-3</v>
      </c>
      <c r="F43" s="16">
        <f t="shared" si="2"/>
        <v>2.4545727319179571E-2</v>
      </c>
      <c r="G43" s="16">
        <f t="shared" si="2"/>
        <v>4.3975970310894397E-2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0.64163906804759585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71.275999999999996</v>
      </c>
      <c r="T43" s="15">
        <f>O32</f>
        <v>0.17871497523976682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107.791</v>
      </c>
      <c r="T44" s="15">
        <f>O34</f>
        <v>0.2702714223030151</v>
      </c>
    </row>
    <row r="45" spans="1:47" ht="15">
      <c r="A45" s="6" t="s">
        <v>61</v>
      </c>
      <c r="B45" s="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19901.68</v>
      </c>
      <c r="N45" s="25">
        <f>B45+M45</f>
        <v>19901.68</v>
      </c>
      <c r="O45" s="7"/>
      <c r="P45" s="7"/>
      <c r="Q45" s="7"/>
      <c r="R45" s="7" t="s">
        <v>62</v>
      </c>
      <c r="S45" s="20">
        <f>SUM(S39:S44)</f>
        <v>398.82600000000002</v>
      </c>
      <c r="T45" s="14">
        <f>SUM(T39:T44)</f>
        <v>1.0000025073653858</v>
      </c>
    </row>
    <row r="46" spans="1:47" ht="15">
      <c r="A46" s="9" t="s">
        <v>95</v>
      </c>
      <c r="B46" s="42" t="e">
        <f>B45/B23</f>
        <v>#DIV/0!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/>
  <dimension ref="A1:AU70"/>
  <sheetViews>
    <sheetView topLeftCell="A24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4" width="8.83203125" style="2"/>
    <col min="5" max="5" width="10.83203125" style="2" customWidth="1"/>
    <col min="6" max="10" width="8.83203125" style="2"/>
    <col min="11" max="11" width="9.6640625" style="2" customWidth="1"/>
    <col min="12" max="12" width="8.83203125" style="2"/>
    <col min="13" max="13" width="10.1640625" style="2" customWidth="1"/>
    <col min="14" max="14" width="11.83203125" style="2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62">
        <f>B10-B9-B7</f>
        <v>1253305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9"/>
      <c r="J6" s="9"/>
      <c r="K6" s="43">
        <v>0</v>
      </c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287</v>
      </c>
      <c r="C7" s="9">
        <v>1091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1091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284000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1537592</v>
      </c>
      <c r="C10" s="56">
        <v>1091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9"/>
      <c r="J10" s="9"/>
      <c r="K10" s="9">
        <f>K6</f>
        <v>0</v>
      </c>
      <c r="L10" s="9"/>
      <c r="M10" s="9"/>
      <c r="N10" s="9">
        <f>N7</f>
        <v>1091</v>
      </c>
      <c r="O10" s="3"/>
      <c r="P10" s="3"/>
      <c r="Q10" s="3"/>
      <c r="R10" s="3"/>
      <c r="S10" s="3"/>
      <c r="T10" s="3"/>
    </row>
    <row r="11" spans="1:20" ht="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51">
        <f>(1637631)+50707</f>
        <v>1688338</v>
      </c>
      <c r="C17" s="50">
        <v>67620</v>
      </c>
      <c r="D17" s="56">
        <v>0</v>
      </c>
      <c r="E17" s="50">
        <v>2384642</v>
      </c>
      <c r="F17" s="9">
        <v>0</v>
      </c>
      <c r="G17" s="56">
        <v>0</v>
      </c>
      <c r="H17" s="50">
        <v>1670</v>
      </c>
      <c r="I17" s="9"/>
      <c r="J17" s="9"/>
      <c r="K17" s="56">
        <v>1340140</v>
      </c>
      <c r="L17" s="9"/>
      <c r="M17" s="9"/>
      <c r="N17" s="50">
        <f>SUM(C17:M17)</f>
        <v>3794072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2">
        <v>387443</v>
      </c>
      <c r="C18" s="9">
        <v>9112</v>
      </c>
      <c r="D18" s="56">
        <v>0</v>
      </c>
      <c r="E18" s="9">
        <v>52107</v>
      </c>
      <c r="F18" s="9">
        <v>0</v>
      </c>
      <c r="G18" s="56">
        <v>26015</v>
      </c>
      <c r="H18" s="9">
        <v>0</v>
      </c>
      <c r="I18" s="9"/>
      <c r="J18" s="9"/>
      <c r="K18" s="56">
        <f>2*159896</f>
        <v>319792</v>
      </c>
      <c r="L18" s="9"/>
      <c r="M18" s="9"/>
      <c r="N18" s="9">
        <f t="shared" ref="N18:N22" si="0">SUM(C18:M18)</f>
        <v>407026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>
        <v>0</v>
      </c>
      <c r="N19" s="9">
        <f t="shared" si="0"/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329704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50">
        <f>0.33*B20</f>
        <v>108802.32</v>
      </c>
      <c r="N20" s="50">
        <f t="shared" si="0"/>
        <v>108802.32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91120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f t="shared" si="0"/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43">
        <v>0</v>
      </c>
      <c r="E22" s="43">
        <v>0</v>
      </c>
      <c r="F22" s="43">
        <v>0</v>
      </c>
      <c r="G22" s="43">
        <v>0</v>
      </c>
      <c r="H22" s="9">
        <v>0</v>
      </c>
      <c r="I22" s="9"/>
      <c r="J22" s="9"/>
      <c r="K22" s="9"/>
      <c r="L22" s="9"/>
      <c r="M22" s="9"/>
      <c r="N22" s="9">
        <f t="shared" si="0"/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2496605</v>
      </c>
      <c r="C23" s="9">
        <f t="shared" ref="C23:J23" si="1">C18+C17</f>
        <v>76732</v>
      </c>
      <c r="D23" s="9">
        <f t="shared" si="1"/>
        <v>0</v>
      </c>
      <c r="E23" s="9">
        <f t="shared" si="1"/>
        <v>2436749</v>
      </c>
      <c r="F23" s="9">
        <f t="shared" si="1"/>
        <v>0</v>
      </c>
      <c r="G23" s="9">
        <f t="shared" si="1"/>
        <v>26015</v>
      </c>
      <c r="H23" s="9">
        <f t="shared" si="1"/>
        <v>1670</v>
      </c>
      <c r="I23" s="9">
        <f t="shared" si="1"/>
        <v>0</v>
      </c>
      <c r="J23" s="9">
        <f t="shared" si="1"/>
        <v>0</v>
      </c>
      <c r="K23" s="9">
        <f>K18+K17</f>
        <v>1659932</v>
      </c>
      <c r="L23" s="9"/>
      <c r="M23" s="9">
        <f>M20</f>
        <v>108802.32</v>
      </c>
      <c r="N23" s="50">
        <f>N17+N18+N20</f>
        <v>4309900.32</v>
      </c>
      <c r="O23" s="3"/>
      <c r="P23" s="3"/>
      <c r="Q23" s="3"/>
      <c r="R23" s="3" t="s">
        <v>27</v>
      </c>
      <c r="S23" s="12">
        <f>N42/1000</f>
        <v>8297.5965199999991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5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5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1617.7755199999997</v>
      </c>
      <c r="T26" s="14">
        <f>M43</f>
        <v>0.1949691716270629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40.243000000000002</v>
      </c>
      <c r="T27" s="15">
        <f>G43</f>
        <v>4.8499586480254646E-3</v>
      </c>
    </row>
    <row r="28" spans="1:20" ht="15">
      <c r="A28" s="4" t="s">
        <v>83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166.285</v>
      </c>
      <c r="T29" s="14">
        <f>F43</f>
        <v>2.004014049118889E-2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2870.248</v>
      </c>
      <c r="T30" s="14">
        <f>E43</f>
        <v>0.34591318016991263</v>
      </c>
    </row>
    <row r="31" spans="1:20" ht="15">
      <c r="A31" s="5" t="s">
        <v>36</v>
      </c>
      <c r="B31" s="9">
        <v>0</v>
      </c>
      <c r="C31" s="9">
        <v>7399</v>
      </c>
      <c r="D31" s="9">
        <v>0</v>
      </c>
      <c r="E31" s="9">
        <v>0</v>
      </c>
      <c r="F31" s="9">
        <v>727</v>
      </c>
      <c r="G31" s="9">
        <v>0</v>
      </c>
      <c r="H31" s="9">
        <v>0</v>
      </c>
      <c r="I31" s="9"/>
      <c r="J31" s="9"/>
      <c r="K31" s="9"/>
      <c r="L31" s="9"/>
      <c r="M31" s="9">
        <v>11871</v>
      </c>
      <c r="N31" s="43">
        <v>19997</v>
      </c>
      <c r="O31" s="16">
        <f>N31/N$39</f>
        <v>2.7889390818271963E-3</v>
      </c>
      <c r="P31" s="17" t="s">
        <v>37</v>
      </c>
      <c r="Q31" s="3"/>
      <c r="R31" s="3" t="s">
        <v>38</v>
      </c>
      <c r="S31" s="13">
        <f>C42/1000</f>
        <v>1941.442</v>
      </c>
      <c r="T31" s="15">
        <f>C43</f>
        <v>0.23397642863454152</v>
      </c>
    </row>
    <row r="32" spans="1:20" ht="15">
      <c r="A32" s="5" t="s">
        <v>39</v>
      </c>
      <c r="B32" s="56">
        <f>41842-7529</f>
        <v>34313</v>
      </c>
      <c r="C32" s="9">
        <v>29580</v>
      </c>
      <c r="D32" s="9">
        <v>0</v>
      </c>
      <c r="E32" s="62">
        <v>433499</v>
      </c>
      <c r="F32" s="9">
        <v>2680</v>
      </c>
      <c r="G32" s="9">
        <v>0</v>
      </c>
      <c r="H32" s="62">
        <v>1</v>
      </c>
      <c r="I32" s="18"/>
      <c r="J32" s="18"/>
      <c r="K32" s="18"/>
      <c r="L32" s="9"/>
      <c r="M32" s="9">
        <v>378619</v>
      </c>
      <c r="N32" s="56">
        <f>SUM(B32:M32)</f>
        <v>878692</v>
      </c>
      <c r="O32" s="16">
        <f>N32/N$39</f>
        <v>0.12254930538025219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56">
        <f>205215-23007</f>
        <v>182208</v>
      </c>
      <c r="C33" s="9">
        <v>2690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43"/>
      <c r="J33" s="9"/>
      <c r="K33" s="9"/>
      <c r="L33" s="9"/>
      <c r="M33" s="9">
        <v>439922</v>
      </c>
      <c r="N33" s="43">
        <f t="shared" ref="N33:N38" si="2">SUM(B33:M33)</f>
        <v>624820</v>
      </c>
      <c r="O33" s="16">
        <f>N33/N$39</f>
        <v>8.7142317202943895E-2</v>
      </c>
      <c r="P33" s="17" t="s">
        <v>43</v>
      </c>
      <c r="Q33" s="3"/>
      <c r="R33" s="3" t="s">
        <v>7</v>
      </c>
      <c r="S33" s="13">
        <f>H42/1000</f>
        <v>1.671</v>
      </c>
      <c r="T33" s="14">
        <f>H43</f>
        <v>2.0138361704769903E-4</v>
      </c>
    </row>
    <row r="34" spans="1:47" ht="15">
      <c r="A34" s="5" t="s">
        <v>44</v>
      </c>
      <c r="B34" s="9">
        <v>0</v>
      </c>
      <c r="C34" s="9">
        <v>1764363</v>
      </c>
      <c r="D34" s="9">
        <v>0</v>
      </c>
      <c r="E34" s="9">
        <v>0</v>
      </c>
      <c r="F34" s="9">
        <v>162879</v>
      </c>
      <c r="G34" s="9">
        <v>0</v>
      </c>
      <c r="H34" s="9">
        <v>0</v>
      </c>
      <c r="I34" s="9"/>
      <c r="J34" s="9"/>
      <c r="K34" s="9"/>
      <c r="L34" s="9"/>
      <c r="M34" s="9">
        <v>124777</v>
      </c>
      <c r="N34" s="43">
        <f t="shared" si="2"/>
        <v>2052019</v>
      </c>
      <c r="O34" s="16">
        <f>N34/N$39</f>
        <v>0.28619072789678263</v>
      </c>
      <c r="P34" s="17" t="s">
        <v>45</v>
      </c>
      <c r="Q34" s="3"/>
      <c r="R34" s="3"/>
      <c r="S34" s="13">
        <f>SUM(S26:S33)</f>
        <v>6637.6645200000003</v>
      </c>
      <c r="T34" s="14">
        <f>SUM(T26:T33)</f>
        <v>0.79995026318777906</v>
      </c>
    </row>
    <row r="35" spans="1:47" ht="15">
      <c r="A35" s="5" t="s">
        <v>46</v>
      </c>
      <c r="B35" s="56">
        <f>444200-26354</f>
        <v>417846</v>
      </c>
      <c r="C35" s="9">
        <v>52781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1048729</v>
      </c>
      <c r="N35" s="43">
        <f t="shared" si="2"/>
        <v>1519356</v>
      </c>
      <c r="O35" s="16">
        <f>N35/N$39</f>
        <v>0.21190135158316958</v>
      </c>
      <c r="P35" s="17" t="s">
        <v>47</v>
      </c>
      <c r="Q35" s="17"/>
    </row>
    <row r="36" spans="1:47" ht="15">
      <c r="A36" s="5" t="s">
        <v>48</v>
      </c>
      <c r="B36" s="56">
        <f>208534-7772</f>
        <v>200762</v>
      </c>
      <c r="C36" s="9">
        <v>4064</v>
      </c>
      <c r="D36" s="9">
        <v>0</v>
      </c>
      <c r="E36" s="9">
        <v>0</v>
      </c>
      <c r="F36" s="9">
        <v>0</v>
      </c>
      <c r="G36" s="9">
        <v>14228</v>
      </c>
      <c r="H36" s="9">
        <v>0</v>
      </c>
      <c r="I36" s="9"/>
      <c r="J36" s="9"/>
      <c r="K36" s="9"/>
      <c r="L36" s="9"/>
      <c r="M36" s="9">
        <v>322429</v>
      </c>
      <c r="N36" s="43">
        <f>SUM(B36:M36)</f>
        <v>541483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56">
        <f>1323971-24288</f>
        <v>1299683</v>
      </c>
      <c r="C37" s="9">
        <v>2742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223886</v>
      </c>
      <c r="N37" s="43">
        <f t="shared" si="2"/>
        <v>1526311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50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7432</v>
      </c>
      <c r="N38" s="43">
        <f t="shared" si="2"/>
        <v>7432</v>
      </c>
      <c r="O38" s="17">
        <f>SUM(O31:O35)</f>
        <v>0.71057264114497554</v>
      </c>
      <c r="P38" s="17"/>
      <c r="Q38" s="3"/>
      <c r="R38" s="7" t="s">
        <v>51</v>
      </c>
      <c r="S38" s="19">
        <f>N45/1000</f>
        <v>466.54220000000004</v>
      </c>
      <c r="T38" s="7"/>
    </row>
    <row r="39" spans="1:47" ht="15">
      <c r="A39" s="5" t="s">
        <v>17</v>
      </c>
      <c r="B39" s="56">
        <f>B32+B33+B35+B36+B37</f>
        <v>2134812</v>
      </c>
      <c r="C39" s="9">
        <v>1863619</v>
      </c>
      <c r="D39" s="9">
        <v>0</v>
      </c>
      <c r="E39" s="57">
        <f>SUM(E31:E38)</f>
        <v>433499</v>
      </c>
      <c r="F39" s="9">
        <v>166285</v>
      </c>
      <c r="G39" s="9">
        <v>14228</v>
      </c>
      <c r="H39" s="62">
        <v>1</v>
      </c>
      <c r="I39" s="18"/>
      <c r="J39" s="18"/>
      <c r="K39" s="18"/>
      <c r="L39" s="9"/>
      <c r="M39" s="9">
        <v>2557665</v>
      </c>
      <c r="N39" s="56">
        <f>SUM(N31:N38)</f>
        <v>7170110</v>
      </c>
      <c r="O39" s="3"/>
      <c r="P39" s="3"/>
      <c r="Q39" s="3"/>
      <c r="R39" s="7" t="s">
        <v>52</v>
      </c>
      <c r="S39" s="20">
        <f>N41/1000</f>
        <v>2075.2260000000001</v>
      </c>
      <c r="T39" s="14">
        <f>O41</f>
        <v>0.28942735885502452</v>
      </c>
    </row>
    <row r="40" spans="1:47">
      <c r="R40" s="7" t="s">
        <v>53</v>
      </c>
      <c r="S40" s="20">
        <f>N35/1000</f>
        <v>1519.356</v>
      </c>
      <c r="T40" s="15">
        <f>O35</f>
        <v>0.21190135158316958</v>
      </c>
    </row>
    <row r="41" spans="1:47" ht="15">
      <c r="A41" s="21" t="s">
        <v>54</v>
      </c>
      <c r="B41" s="22">
        <f>B38+B37+B36</f>
        <v>1500445</v>
      </c>
      <c r="C41" s="22">
        <f t="shared" ref="C41:N41" si="3">C38+C37+C36</f>
        <v>6806</v>
      </c>
      <c r="D41" s="22">
        <f t="shared" si="3"/>
        <v>0</v>
      </c>
      <c r="E41" s="22">
        <f t="shared" si="3"/>
        <v>0</v>
      </c>
      <c r="F41" s="22">
        <f t="shared" si="3"/>
        <v>0</v>
      </c>
      <c r="G41" s="22">
        <f t="shared" si="3"/>
        <v>14228</v>
      </c>
      <c r="H41" s="22">
        <f t="shared" si="3"/>
        <v>0</v>
      </c>
      <c r="I41" s="22">
        <f t="shared" si="3"/>
        <v>0</v>
      </c>
      <c r="J41" s="22">
        <f t="shared" si="3"/>
        <v>0</v>
      </c>
      <c r="K41" s="22">
        <f t="shared" si="3"/>
        <v>0</v>
      </c>
      <c r="L41" s="22">
        <f t="shared" si="3"/>
        <v>0</v>
      </c>
      <c r="M41" s="22">
        <f t="shared" si="3"/>
        <v>553747</v>
      </c>
      <c r="N41" s="22">
        <f t="shared" si="3"/>
        <v>2075226</v>
      </c>
      <c r="O41" s="16">
        <f>N41/N$39</f>
        <v>0.28942735885502452</v>
      </c>
      <c r="P41" s="16" t="s">
        <v>55</v>
      </c>
      <c r="Q41" s="7"/>
      <c r="R41" s="7" t="s">
        <v>56</v>
      </c>
      <c r="S41" s="20">
        <f>N33/1000</f>
        <v>624.82000000000005</v>
      </c>
      <c r="T41" s="14">
        <f>O33</f>
        <v>8.7142317202943895E-2</v>
      </c>
    </row>
    <row r="42" spans="1:47" ht="15">
      <c r="A42" s="23" t="s">
        <v>57</v>
      </c>
      <c r="B42" s="22"/>
      <c r="C42" s="24">
        <f>C39+C23+C10</f>
        <v>1941442</v>
      </c>
      <c r="D42" s="24">
        <f t="shared" ref="D42:L42" si="4">D39+D23+D10</f>
        <v>0</v>
      </c>
      <c r="E42" s="24">
        <f t="shared" si="4"/>
        <v>2870248</v>
      </c>
      <c r="F42" s="24">
        <f t="shared" si="4"/>
        <v>166285</v>
      </c>
      <c r="G42" s="24">
        <f t="shared" si="4"/>
        <v>40243</v>
      </c>
      <c r="H42" s="24">
        <f t="shared" si="4"/>
        <v>1671</v>
      </c>
      <c r="I42" s="24">
        <f t="shared" si="4"/>
        <v>0</v>
      </c>
      <c r="J42" s="24">
        <f t="shared" si="4"/>
        <v>0</v>
      </c>
      <c r="K42" s="24">
        <f t="shared" si="4"/>
        <v>1659932</v>
      </c>
      <c r="L42" s="24">
        <f t="shared" si="4"/>
        <v>0</v>
      </c>
      <c r="M42" s="24">
        <f>M39+M23-B6+M45</f>
        <v>1617775.5199999998</v>
      </c>
      <c r="N42" s="25">
        <f>SUM(C42:M42)</f>
        <v>8297596.5199999996</v>
      </c>
      <c r="O42" s="7"/>
      <c r="P42" s="7"/>
      <c r="Q42" s="7"/>
      <c r="R42" s="7" t="s">
        <v>37</v>
      </c>
      <c r="S42" s="20">
        <f>N31/1000</f>
        <v>19.997</v>
      </c>
      <c r="T42" s="14">
        <f>O31</f>
        <v>2.7889390818271963E-3</v>
      </c>
    </row>
    <row r="43" spans="1:47" ht="15">
      <c r="A43" s="23" t="s">
        <v>58</v>
      </c>
      <c r="B43" s="22"/>
      <c r="C43" s="16">
        <f t="shared" ref="C43:M43" si="5">C42/$N42</f>
        <v>0.23397642863454152</v>
      </c>
      <c r="D43" s="16">
        <f t="shared" si="5"/>
        <v>0</v>
      </c>
      <c r="E43" s="16">
        <f t="shared" si="5"/>
        <v>0.34591318016991263</v>
      </c>
      <c r="F43" s="16">
        <f t="shared" si="5"/>
        <v>2.004014049118889E-2</v>
      </c>
      <c r="G43" s="16">
        <f t="shared" si="5"/>
        <v>4.8499586480254646E-3</v>
      </c>
      <c r="H43" s="16">
        <f t="shared" si="5"/>
        <v>2.0138361704769903E-4</v>
      </c>
      <c r="I43" s="16">
        <f t="shared" si="5"/>
        <v>0</v>
      </c>
      <c r="J43" s="16">
        <f t="shared" si="5"/>
        <v>0</v>
      </c>
      <c r="K43" s="16">
        <f t="shared" si="5"/>
        <v>0.20004973681222091</v>
      </c>
      <c r="L43" s="16">
        <f t="shared" si="5"/>
        <v>0</v>
      </c>
      <c r="M43" s="16">
        <f t="shared" si="5"/>
        <v>0.1949691716270629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878.69200000000001</v>
      </c>
      <c r="T43" s="15">
        <f>O32</f>
        <v>0.12254930538025219</v>
      </c>
    </row>
    <row r="44" spans="1:47">
      <c r="A44" s="6" t="s">
        <v>99</v>
      </c>
      <c r="B44" s="6">
        <f>88951+10913</f>
        <v>99864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2052.0189999999998</v>
      </c>
      <c r="T44" s="15">
        <f>O34</f>
        <v>0.28619072789678263</v>
      </c>
    </row>
    <row r="45" spans="1:47" ht="15">
      <c r="A45" s="6" t="s">
        <v>61</v>
      </c>
      <c r="B45" s="6">
        <f>B23-B44-B39</f>
        <v>261929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204613.2</v>
      </c>
      <c r="N45" s="25">
        <f>B45+M45</f>
        <v>466542.2</v>
      </c>
      <c r="O45" s="7"/>
      <c r="P45" s="7"/>
      <c r="Q45" s="7"/>
      <c r="R45" s="7" t="s">
        <v>62</v>
      </c>
      <c r="S45" s="20">
        <f>SUM(S39:S44)</f>
        <v>7170.1100000000006</v>
      </c>
      <c r="T45" s="14">
        <f>SUM(T39:T44)</f>
        <v>1</v>
      </c>
    </row>
    <row r="46" spans="1:47" ht="15">
      <c r="A46" s="9" t="s">
        <v>95</v>
      </c>
      <c r="B46" s="53">
        <f>B45/B23</f>
        <v>0.1049140733115571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8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7"/>
      <c r="H48" s="27"/>
      <c r="I48" s="28"/>
      <c r="J48" s="28"/>
      <c r="K48" s="28"/>
      <c r="L48" s="28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7"/>
      <c r="I55" s="28"/>
      <c r="J55" s="28"/>
      <c r="K55" s="28"/>
      <c r="L55" s="28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7"/>
      <c r="I56" s="28"/>
      <c r="J56" s="28"/>
      <c r="K56" s="28"/>
      <c r="L56" s="28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/>
  <dimension ref="A1:AU70"/>
  <sheetViews>
    <sheetView topLeftCell="A5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4" width="11.1640625" style="2" bestFit="1" customWidth="1"/>
    <col min="5" max="5" width="12.6640625" style="2" bestFit="1" customWidth="1"/>
    <col min="6" max="9" width="11.1640625" style="2" bestFit="1" customWidth="1"/>
    <col min="10" max="10" width="8.83203125" style="2"/>
    <col min="11" max="11" width="11.1640625" style="2" bestFit="1" customWidth="1"/>
    <col min="12" max="12" width="8.83203125" style="2"/>
    <col min="13" max="14" width="9.6640625" style="2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55338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/>
      <c r="J6" s="43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20703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76041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43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397425</v>
      </c>
      <c r="C17" s="43">
        <v>448</v>
      </c>
      <c r="D17" s="43">
        <v>0</v>
      </c>
      <c r="E17" s="56">
        <v>198242</v>
      </c>
      <c r="F17" s="56">
        <v>252871</v>
      </c>
      <c r="G17" s="43">
        <v>24478</v>
      </c>
      <c r="H17" s="43">
        <v>0</v>
      </c>
      <c r="I17" s="43"/>
      <c r="J17" s="43"/>
      <c r="K17" s="9"/>
      <c r="L17" s="9"/>
      <c r="M17" s="9"/>
      <c r="N17" s="9">
        <f>C17+E17+F17+G17</f>
        <v>476039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304439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56">
        <f>0.33*B20</f>
        <v>100464.87000000001</v>
      </c>
      <c r="N20" s="56">
        <f>M20</f>
        <v>100464.87000000001</v>
      </c>
      <c r="O20" s="3"/>
      <c r="P20" s="3"/>
      <c r="Q20" s="63"/>
      <c r="R20" s="3"/>
      <c r="S20" s="3"/>
      <c r="T20" s="3"/>
    </row>
    <row r="21" spans="1:20" ht="15">
      <c r="A21" s="8" t="s">
        <v>25</v>
      </c>
      <c r="B21" s="9">
        <v>82179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784043</v>
      </c>
      <c r="C23" s="9">
        <v>448</v>
      </c>
      <c r="D23" s="9">
        <v>0</v>
      </c>
      <c r="E23" s="9">
        <f>E17</f>
        <v>198242</v>
      </c>
      <c r="F23" s="9">
        <v>252871</v>
      </c>
      <c r="G23" s="9">
        <v>24478</v>
      </c>
      <c r="H23" s="9">
        <v>0</v>
      </c>
      <c r="I23" s="9"/>
      <c r="J23" s="9"/>
      <c r="K23" s="9"/>
      <c r="L23" s="9"/>
      <c r="M23" s="9">
        <f>M20</f>
        <v>100464.87000000001</v>
      </c>
      <c r="N23" s="9">
        <f>N20+N17</f>
        <v>576503.87</v>
      </c>
      <c r="O23" s="3"/>
      <c r="P23" s="3"/>
      <c r="Q23" s="3"/>
      <c r="R23" s="3" t="s">
        <v>27</v>
      </c>
      <c r="S23" s="12">
        <f>N42/1000</f>
        <v>2589.3149100000001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1339.6289100000001</v>
      </c>
      <c r="T26" s="14">
        <f>M43</f>
        <v>0.51736809023356689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67.447999999999993</v>
      </c>
      <c r="T27" s="15">
        <f>G43</f>
        <v>2.6048589045509336E-2</v>
      </c>
    </row>
    <row r="28" spans="1:20" ht="15">
      <c r="A28" s="4" t="s">
        <v>84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310.065</v>
      </c>
      <c r="T29" s="14">
        <f>F43</f>
        <v>0.11974789115164057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239.77799999999999</v>
      </c>
      <c r="T30" s="14">
        <f>E43</f>
        <v>9.2602873089700777E-2</v>
      </c>
    </row>
    <row r="31" spans="1:20" ht="15">
      <c r="A31" s="5" t="s">
        <v>36</v>
      </c>
      <c r="B31" s="9">
        <v>0</v>
      </c>
      <c r="C31" s="9">
        <v>18146</v>
      </c>
      <c r="D31" s="9">
        <v>0</v>
      </c>
      <c r="E31" s="9">
        <v>0</v>
      </c>
      <c r="F31" s="9">
        <v>1867</v>
      </c>
      <c r="G31" s="9">
        <v>0</v>
      </c>
      <c r="H31" s="9">
        <v>0</v>
      </c>
      <c r="I31" s="9"/>
      <c r="J31" s="9"/>
      <c r="K31" s="9"/>
      <c r="L31" s="9"/>
      <c r="M31" s="9">
        <v>56376</v>
      </c>
      <c r="N31" s="9">
        <v>76390</v>
      </c>
      <c r="O31" s="16">
        <f>N31/N$39</f>
        <v>2.8283761773638824E-2</v>
      </c>
      <c r="P31" s="17" t="s">
        <v>37</v>
      </c>
      <c r="Q31" s="3"/>
      <c r="R31" s="3" t="s">
        <v>38</v>
      </c>
      <c r="S31" s="13">
        <f>C42/1000</f>
        <v>632.39499999999998</v>
      </c>
      <c r="T31" s="15">
        <f>C43</f>
        <v>0.24423255647958245</v>
      </c>
    </row>
    <row r="32" spans="1:20" ht="15">
      <c r="A32" s="5" t="s">
        <v>39</v>
      </c>
      <c r="B32" s="9">
        <v>44700</v>
      </c>
      <c r="C32" s="62">
        <f>C39-C31-C33-C34-C35-C36-C37</f>
        <v>10454</v>
      </c>
      <c r="D32" s="9">
        <v>0</v>
      </c>
      <c r="E32" s="62">
        <f>N32-F32-G32-M32-C32-B32</f>
        <v>41536</v>
      </c>
      <c r="F32" s="9">
        <v>848</v>
      </c>
      <c r="G32" s="62">
        <v>70</v>
      </c>
      <c r="H32" s="9">
        <v>0</v>
      </c>
      <c r="I32" s="9"/>
      <c r="J32" s="9"/>
      <c r="K32" s="9"/>
      <c r="L32" s="9"/>
      <c r="M32" s="9">
        <v>225832</v>
      </c>
      <c r="N32" s="9">
        <v>323440</v>
      </c>
      <c r="O32" s="16">
        <f>N32/N$39</f>
        <v>0.11975520235718996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295390</v>
      </c>
      <c r="C33" s="9">
        <v>7041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248150</v>
      </c>
      <c r="N33" s="9">
        <v>550581</v>
      </c>
      <c r="O33" s="16">
        <f>N33/N$39</f>
        <v>0.20385524075260947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588821</v>
      </c>
      <c r="D34" s="9">
        <v>0</v>
      </c>
      <c r="E34" s="9">
        <v>0</v>
      </c>
      <c r="F34" s="9">
        <v>54479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643300</v>
      </c>
      <c r="O34" s="16">
        <f>N34/N$39</f>
        <v>0.23818489264277856</v>
      </c>
      <c r="P34" s="17" t="s">
        <v>45</v>
      </c>
      <c r="Q34" s="3"/>
      <c r="R34" s="3"/>
      <c r="S34" s="13">
        <f>SUM(S26:S33)</f>
        <v>2589.3149100000001</v>
      </c>
      <c r="T34" s="14">
        <f>SUM(T26:T33)</f>
        <v>1</v>
      </c>
    </row>
    <row r="35" spans="1:47" ht="15">
      <c r="A35" s="5" t="s">
        <v>46</v>
      </c>
      <c r="B35" s="9">
        <v>165672</v>
      </c>
      <c r="C35" s="9">
        <v>3822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370222</v>
      </c>
      <c r="N35" s="9">
        <v>539716</v>
      </c>
      <c r="O35" s="16">
        <f>N35/N$39</f>
        <v>0.19983242269172996</v>
      </c>
      <c r="P35" s="17" t="s">
        <v>47</v>
      </c>
      <c r="Q35" s="17"/>
    </row>
    <row r="36" spans="1:47" ht="15">
      <c r="A36" s="5" t="s">
        <v>48</v>
      </c>
      <c r="B36" s="9">
        <v>67179</v>
      </c>
      <c r="C36" s="62">
        <f>N36-M36-G36-B36</f>
        <v>2658</v>
      </c>
      <c r="D36" s="9">
        <v>0</v>
      </c>
      <c r="E36" s="9">
        <v>0</v>
      </c>
      <c r="F36" s="9">
        <v>0</v>
      </c>
      <c r="G36" s="62">
        <v>42900</v>
      </c>
      <c r="H36" s="9">
        <v>0</v>
      </c>
      <c r="I36" s="9"/>
      <c r="J36" s="9"/>
      <c r="K36" s="9"/>
      <c r="L36" s="9"/>
      <c r="M36" s="9">
        <v>215611</v>
      </c>
      <c r="N36" s="9">
        <v>328348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155642</v>
      </c>
      <c r="C37" s="9">
        <v>1005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79631</v>
      </c>
      <c r="N37" s="9">
        <v>236278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2790</v>
      </c>
      <c r="N38" s="9">
        <v>2790</v>
      </c>
      <c r="O38" s="17">
        <f>SUM(O31:O35)</f>
        <v>0.78991152021794675</v>
      </c>
      <c r="P38" s="17"/>
      <c r="Q38" s="3"/>
      <c r="R38" s="7" t="s">
        <v>51</v>
      </c>
      <c r="S38" s="19">
        <f>N45/1000</f>
        <v>151.34904</v>
      </c>
      <c r="T38" s="7"/>
    </row>
    <row r="39" spans="1:47" ht="15">
      <c r="A39" s="5" t="s">
        <v>17</v>
      </c>
      <c r="B39" s="9">
        <v>728583</v>
      </c>
      <c r="C39" s="9">
        <v>631947</v>
      </c>
      <c r="D39" s="9">
        <v>0</v>
      </c>
      <c r="E39" s="57">
        <f>E32</f>
        <v>41536</v>
      </c>
      <c r="F39" s="9">
        <v>57194</v>
      </c>
      <c r="G39" s="57">
        <f>SUM(G31:G38)</f>
        <v>42970</v>
      </c>
      <c r="H39" s="9">
        <v>0</v>
      </c>
      <c r="I39" s="9"/>
      <c r="J39" s="9"/>
      <c r="K39" s="9"/>
      <c r="L39" s="9"/>
      <c r="M39" s="9">
        <v>1198613</v>
      </c>
      <c r="N39" s="9">
        <v>2700843</v>
      </c>
      <c r="O39" s="3"/>
      <c r="P39" s="3"/>
      <c r="Q39" s="3"/>
      <c r="R39" s="7" t="s">
        <v>52</v>
      </c>
      <c r="S39" s="20">
        <f>N41/1000</f>
        <v>567.41600000000005</v>
      </c>
      <c r="T39" s="14">
        <f>O41</f>
        <v>0.21008847978205322</v>
      </c>
    </row>
    <row r="40" spans="1:47">
      <c r="R40" s="7" t="s">
        <v>53</v>
      </c>
      <c r="S40" s="20">
        <f>N35/1000</f>
        <v>539.71600000000001</v>
      </c>
      <c r="T40" s="15">
        <f>O35</f>
        <v>0.19983242269172996</v>
      </c>
    </row>
    <row r="41" spans="1:47" ht="15">
      <c r="A41" s="21" t="s">
        <v>54</v>
      </c>
      <c r="B41" s="22">
        <f>B38+B37+B36</f>
        <v>222821</v>
      </c>
      <c r="C41" s="22">
        <f t="shared" ref="C41:N41" si="0">C38+C37+C36</f>
        <v>3663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42900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298032</v>
      </c>
      <c r="N41" s="22">
        <f t="shared" si="0"/>
        <v>567416</v>
      </c>
      <c r="O41" s="16">
        <f>N41/N$39</f>
        <v>0.21008847978205322</v>
      </c>
      <c r="P41" s="16" t="s">
        <v>55</v>
      </c>
      <c r="Q41" s="7"/>
      <c r="R41" s="7" t="s">
        <v>56</v>
      </c>
      <c r="S41" s="20">
        <f>N33/1000</f>
        <v>550.58100000000002</v>
      </c>
      <c r="T41" s="14">
        <f>O33</f>
        <v>0.20385524075260947</v>
      </c>
    </row>
    <row r="42" spans="1:47" ht="15">
      <c r="A42" s="23" t="s">
        <v>57</v>
      </c>
      <c r="B42" s="22"/>
      <c r="C42" s="24">
        <f>C39+C23+C10</f>
        <v>632395</v>
      </c>
      <c r="D42" s="24">
        <f t="shared" ref="D42:L42" si="1">D39+D23+D10</f>
        <v>0</v>
      </c>
      <c r="E42" s="24">
        <f t="shared" si="1"/>
        <v>239778</v>
      </c>
      <c r="F42" s="24">
        <f t="shared" si="1"/>
        <v>310065</v>
      </c>
      <c r="G42" s="24">
        <f t="shared" si="1"/>
        <v>67448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1339628.9100000001</v>
      </c>
      <c r="N42" s="25">
        <f>SUM(C42:M42)</f>
        <v>2589314.91</v>
      </c>
      <c r="O42" s="7"/>
      <c r="P42" s="7"/>
      <c r="Q42" s="7"/>
      <c r="R42" s="7" t="s">
        <v>37</v>
      </c>
      <c r="S42" s="20">
        <f>N31/1000</f>
        <v>76.39</v>
      </c>
      <c r="T42" s="14">
        <f>O31</f>
        <v>2.8283761773638824E-2</v>
      </c>
    </row>
    <row r="43" spans="1:47" ht="15">
      <c r="A43" s="23" t="s">
        <v>58</v>
      </c>
      <c r="B43" s="22"/>
      <c r="C43" s="16">
        <f t="shared" ref="C43:M43" si="2">C42/$N42</f>
        <v>0.24423255647958245</v>
      </c>
      <c r="D43" s="16">
        <f t="shared" si="2"/>
        <v>0</v>
      </c>
      <c r="E43" s="16">
        <f t="shared" si="2"/>
        <v>9.2602873089700777E-2</v>
      </c>
      <c r="F43" s="16">
        <f t="shared" si="2"/>
        <v>0.11974789115164057</v>
      </c>
      <c r="G43" s="16">
        <f t="shared" si="2"/>
        <v>2.6048589045509336E-2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0.51736809023356689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323.44</v>
      </c>
      <c r="T43" s="15">
        <f>O32</f>
        <v>0.11975520235718996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643.29999999999995</v>
      </c>
      <c r="T44" s="15">
        <f>O34</f>
        <v>0.23818489264277856</v>
      </c>
    </row>
    <row r="45" spans="1:47" ht="15">
      <c r="A45" s="6" t="s">
        <v>61</v>
      </c>
      <c r="B45" s="6">
        <f>B23-B39</f>
        <v>55460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95889.040000000008</v>
      </c>
      <c r="N45" s="25">
        <f>B45+M45</f>
        <v>151349.04</v>
      </c>
      <c r="O45" s="7"/>
      <c r="P45" s="7"/>
      <c r="Q45" s="7"/>
      <c r="R45" s="7" t="s">
        <v>62</v>
      </c>
      <c r="S45" s="20">
        <f>SUM(S39:S44)</f>
        <v>2700.8429999999998</v>
      </c>
      <c r="T45" s="14">
        <f>SUM(T39:T44)</f>
        <v>0.99999999999999989</v>
      </c>
    </row>
    <row r="46" spans="1:47" ht="15">
      <c r="A46" s="9" t="s">
        <v>95</v>
      </c>
      <c r="B46" s="42">
        <f>B45/B23</f>
        <v>7.0735916269898461E-2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honeticPr fontId="18" type="noConversion"/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/>
  <dimension ref="A1:AU70"/>
  <sheetViews>
    <sheetView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3" width="8.83203125" style="2"/>
    <col min="14" max="14" width="10.1640625" style="2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56">
        <v>37468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63995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f>B9+B6</f>
        <v>101463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195046</v>
      </c>
      <c r="C17" s="9">
        <v>2577</v>
      </c>
      <c r="D17" s="56">
        <v>0</v>
      </c>
      <c r="E17" s="9">
        <v>3906</v>
      </c>
      <c r="F17" s="9">
        <v>0</v>
      </c>
      <c r="G17" s="56">
        <v>136523</v>
      </c>
      <c r="H17" s="9">
        <v>9959</v>
      </c>
      <c r="I17" s="9"/>
      <c r="J17" s="9"/>
      <c r="K17" s="56">
        <f>46564*2</f>
        <v>93128</v>
      </c>
      <c r="L17" s="9"/>
      <c r="M17" s="9"/>
      <c r="N17" s="9">
        <v>246093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3911</v>
      </c>
      <c r="C18" s="9">
        <v>398</v>
      </c>
      <c r="D18" s="9">
        <v>0</v>
      </c>
      <c r="E18" s="9">
        <v>0</v>
      </c>
      <c r="F18" s="9">
        <v>0</v>
      </c>
      <c r="G18" s="9">
        <v>4016</v>
      </c>
      <c r="H18" s="9">
        <v>0</v>
      </c>
      <c r="I18" s="9"/>
      <c r="J18" s="9"/>
      <c r="K18" s="9"/>
      <c r="L18" s="9"/>
      <c r="M18" s="9"/>
      <c r="N18" s="9">
        <v>4414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59784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98</v>
      </c>
      <c r="B22" s="52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f>SUM(B17:B22)</f>
        <v>258741</v>
      </c>
      <c r="C23" s="9">
        <v>2975</v>
      </c>
      <c r="D23" s="50">
        <v>0</v>
      </c>
      <c r="E23" s="9">
        <v>3906</v>
      </c>
      <c r="F23" s="9">
        <v>0</v>
      </c>
      <c r="G23" s="50">
        <f>G18+G17</f>
        <v>140539</v>
      </c>
      <c r="H23" s="9">
        <v>9959</v>
      </c>
      <c r="I23" s="9"/>
      <c r="J23" s="9"/>
      <c r="K23" s="50">
        <f>K17</f>
        <v>93128</v>
      </c>
      <c r="L23" s="9"/>
      <c r="M23" s="9"/>
      <c r="N23" s="9">
        <v>250507</v>
      </c>
      <c r="O23" s="3"/>
      <c r="P23" s="3"/>
      <c r="Q23" s="3"/>
      <c r="R23" s="3" t="s">
        <v>27</v>
      </c>
      <c r="S23" s="12">
        <f>N42/1000</f>
        <v>1517.59952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A25" s="2" t="s">
        <v>98</v>
      </c>
      <c r="B25" s="49">
        <v>77357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569.16152</v>
      </c>
      <c r="T26" s="14">
        <f>M43</f>
        <v>0.37504065631227929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153.10499999999999</v>
      </c>
      <c r="T27" s="15">
        <f>G43</f>
        <v>0.1008862997004638</v>
      </c>
    </row>
    <row r="28" spans="1:20" ht="15">
      <c r="A28" s="4" t="s">
        <v>85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42.780999999999999</v>
      </c>
      <c r="T29" s="14">
        <f>F43</f>
        <v>2.8189914029493102E-2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41.637</v>
      </c>
      <c r="T30" s="14">
        <f>E43</f>
        <v>2.7436091967135045E-2</v>
      </c>
    </row>
    <row r="31" spans="1:20" ht="15">
      <c r="A31" s="5" t="s">
        <v>36</v>
      </c>
      <c r="B31" s="9">
        <v>0</v>
      </c>
      <c r="C31" s="9">
        <v>12818</v>
      </c>
      <c r="D31" s="9">
        <v>0</v>
      </c>
      <c r="E31" s="9">
        <v>0</v>
      </c>
      <c r="F31" s="9">
        <v>1340</v>
      </c>
      <c r="G31" s="9">
        <v>0</v>
      </c>
      <c r="H31" s="9">
        <v>0</v>
      </c>
      <c r="I31" s="9"/>
      <c r="J31" s="9"/>
      <c r="K31" s="9"/>
      <c r="L31" s="9"/>
      <c r="M31" s="9">
        <v>17650</v>
      </c>
      <c r="N31" s="9">
        <v>31808</v>
      </c>
      <c r="O31" s="16">
        <f>N31/N$39</f>
        <v>2.0510783508318964E-2</v>
      </c>
      <c r="P31" s="17" t="s">
        <v>37</v>
      </c>
      <c r="Q31" s="3"/>
      <c r="R31" s="3" t="s">
        <v>38</v>
      </c>
      <c r="S31" s="13">
        <f>C42/1000</f>
        <v>455.02</v>
      </c>
      <c r="T31" s="15">
        <f>C43</f>
        <v>0.29982877169070271</v>
      </c>
    </row>
    <row r="32" spans="1:20" ht="15">
      <c r="A32" s="5" t="s">
        <v>39</v>
      </c>
      <c r="B32" s="9">
        <v>36000</v>
      </c>
      <c r="C32" s="9">
        <v>17780</v>
      </c>
      <c r="D32" s="62">
        <f>143685+9123</f>
        <v>152808</v>
      </c>
      <c r="E32" s="62">
        <f>17731+20000</f>
        <v>37731</v>
      </c>
      <c r="F32" s="9">
        <v>1066</v>
      </c>
      <c r="G32" s="9">
        <v>0</v>
      </c>
      <c r="H32" s="9">
        <v>0</v>
      </c>
      <c r="I32" s="9"/>
      <c r="J32" s="9"/>
      <c r="K32" s="9"/>
      <c r="L32" s="9"/>
      <c r="M32" s="9">
        <v>297454</v>
      </c>
      <c r="N32" s="9">
        <v>542839</v>
      </c>
      <c r="O32" s="16">
        <f>N32/N$39</f>
        <v>0.35003939917229498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29000</v>
      </c>
      <c r="C33" s="9">
        <v>133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33523</v>
      </c>
      <c r="N33" s="9">
        <v>62656</v>
      </c>
      <c r="O33" s="16">
        <f>N33/N$39</f>
        <v>4.0402529284998524E-2</v>
      </c>
      <c r="P33" s="17" t="s">
        <v>43</v>
      </c>
      <c r="Q33" s="3"/>
      <c r="R33" s="3" t="s">
        <v>7</v>
      </c>
      <c r="S33" s="13">
        <f>H42/1000</f>
        <v>9.9589999999999996</v>
      </c>
      <c r="T33" s="14">
        <f>H43</f>
        <v>6.5623373418041142E-3</v>
      </c>
    </row>
    <row r="34" spans="1:47" ht="15">
      <c r="A34" s="5" t="s">
        <v>44</v>
      </c>
      <c r="B34" s="9">
        <v>0</v>
      </c>
      <c r="C34" s="9">
        <v>420157</v>
      </c>
      <c r="D34" s="9">
        <v>0</v>
      </c>
      <c r="E34" s="9">
        <v>0</v>
      </c>
      <c r="F34" s="9">
        <v>40375</v>
      </c>
      <c r="G34" s="9">
        <v>0</v>
      </c>
      <c r="H34" s="9">
        <v>0</v>
      </c>
      <c r="I34" s="9"/>
      <c r="J34" s="9"/>
      <c r="K34" s="9"/>
      <c r="L34" s="9"/>
      <c r="M34" s="9">
        <v>1083</v>
      </c>
      <c r="N34" s="9">
        <v>461615</v>
      </c>
      <c r="O34" s="16">
        <f>N34/N$39</f>
        <v>0.2976636484278376</v>
      </c>
      <c r="P34" s="17" t="s">
        <v>45</v>
      </c>
      <c r="Q34" s="3"/>
      <c r="R34" s="3"/>
      <c r="S34" s="13">
        <f>SUM(S26:S33)</f>
        <v>1271.6635200000001</v>
      </c>
      <c r="T34" s="14">
        <f>SUM(T26:T33)</f>
        <v>0.83794407104187807</v>
      </c>
    </row>
    <row r="35" spans="1:47" ht="15">
      <c r="A35" s="5" t="s">
        <v>46</v>
      </c>
      <c r="B35" s="9">
        <v>16000</v>
      </c>
      <c r="C35" s="9">
        <v>75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88280</v>
      </c>
      <c r="N35" s="9">
        <v>104355</v>
      </c>
      <c r="O35" s="16">
        <f>N35/N$39</f>
        <v>6.7291335922114739E-2</v>
      </c>
      <c r="P35" s="17" t="s">
        <v>47</v>
      </c>
      <c r="Q35" s="17"/>
    </row>
    <row r="36" spans="1:47" ht="15">
      <c r="A36" s="5" t="s">
        <v>48</v>
      </c>
      <c r="B36" s="9">
        <v>32000</v>
      </c>
      <c r="C36" s="9">
        <v>613</v>
      </c>
      <c r="D36" s="9">
        <v>0</v>
      </c>
      <c r="E36" s="9">
        <v>0</v>
      </c>
      <c r="F36" s="9">
        <v>0</v>
      </c>
      <c r="G36" s="9">
        <v>12566</v>
      </c>
      <c r="H36" s="9">
        <v>0</v>
      </c>
      <c r="I36" s="9"/>
      <c r="J36" s="9"/>
      <c r="K36" s="9"/>
      <c r="L36" s="9"/>
      <c r="M36" s="9">
        <v>88812</v>
      </c>
      <c r="N36" s="9">
        <v>133991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178168</v>
      </c>
      <c r="C37" s="9">
        <v>469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27371</v>
      </c>
      <c r="N37" s="9">
        <v>206008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7521</v>
      </c>
      <c r="N38" s="9">
        <v>7521</v>
      </c>
      <c r="O38" s="17">
        <f>SUM(O31:O35)</f>
        <v>0.77590769631556489</v>
      </c>
      <c r="P38" s="17"/>
      <c r="Q38" s="3"/>
      <c r="R38" s="7" t="s">
        <v>51</v>
      </c>
      <c r="S38" s="19">
        <f>N45/1000</f>
        <v>89.865520000000004</v>
      </c>
      <c r="T38" s="7"/>
    </row>
    <row r="39" spans="1:47" ht="15">
      <c r="A39" s="5" t="s">
        <v>17</v>
      </c>
      <c r="B39" s="9">
        <v>291168</v>
      </c>
      <c r="C39" s="9">
        <v>452045</v>
      </c>
      <c r="D39" s="18">
        <f>D32</f>
        <v>152808</v>
      </c>
      <c r="E39" s="18">
        <f>E32</f>
        <v>37731</v>
      </c>
      <c r="F39" s="9">
        <v>42781</v>
      </c>
      <c r="G39" s="9">
        <v>12566</v>
      </c>
      <c r="H39" s="9">
        <v>0</v>
      </c>
      <c r="I39" s="9"/>
      <c r="J39" s="9"/>
      <c r="K39" s="9"/>
      <c r="L39" s="9"/>
      <c r="M39" s="9">
        <v>561694</v>
      </c>
      <c r="N39" s="9">
        <v>1550794</v>
      </c>
      <c r="O39" s="3"/>
      <c r="P39" s="3"/>
      <c r="Q39" s="3"/>
      <c r="R39" s="7" t="s">
        <v>52</v>
      </c>
      <c r="S39" s="20">
        <f>N41/1000</f>
        <v>347.52</v>
      </c>
      <c r="T39" s="14">
        <f>O41</f>
        <v>0.22409165885346474</v>
      </c>
    </row>
    <row r="40" spans="1:47">
      <c r="R40" s="7" t="s">
        <v>53</v>
      </c>
      <c r="S40" s="20">
        <f>N35/1000</f>
        <v>104.355</v>
      </c>
      <c r="T40" s="15">
        <f>O35</f>
        <v>6.7291335922114739E-2</v>
      </c>
    </row>
    <row r="41" spans="1:47" ht="15">
      <c r="A41" s="21" t="s">
        <v>54</v>
      </c>
      <c r="B41" s="22">
        <f>B38+B37+B36</f>
        <v>210168</v>
      </c>
      <c r="C41" s="22">
        <f t="shared" ref="C41:N41" si="0">C38+C37+C36</f>
        <v>1082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12566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123704</v>
      </c>
      <c r="N41" s="22">
        <f t="shared" si="0"/>
        <v>347520</v>
      </c>
      <c r="O41" s="16">
        <f>N41/N$39</f>
        <v>0.22409165885346474</v>
      </c>
      <c r="P41" s="16" t="s">
        <v>55</v>
      </c>
      <c r="Q41" s="7"/>
      <c r="R41" s="7" t="s">
        <v>56</v>
      </c>
      <c r="S41" s="20">
        <f>N33/1000</f>
        <v>62.655999999999999</v>
      </c>
      <c r="T41" s="14">
        <f>O33</f>
        <v>4.0402529284998524E-2</v>
      </c>
    </row>
    <row r="42" spans="1:47" ht="15">
      <c r="A42" s="23" t="s">
        <v>57</v>
      </c>
      <c r="B42" s="22"/>
      <c r="C42" s="24">
        <f>C39+C23+C10</f>
        <v>455020</v>
      </c>
      <c r="D42" s="24">
        <f t="shared" ref="D42:L42" si="1">D39+D23+D10</f>
        <v>152808</v>
      </c>
      <c r="E42" s="24">
        <f t="shared" si="1"/>
        <v>41637</v>
      </c>
      <c r="F42" s="24">
        <f t="shared" si="1"/>
        <v>42781</v>
      </c>
      <c r="G42" s="24">
        <f t="shared" si="1"/>
        <v>153105</v>
      </c>
      <c r="H42" s="24">
        <f t="shared" si="1"/>
        <v>9959</v>
      </c>
      <c r="I42" s="24">
        <f t="shared" si="1"/>
        <v>0</v>
      </c>
      <c r="J42" s="24">
        <f t="shared" si="1"/>
        <v>0</v>
      </c>
      <c r="K42" s="24">
        <f t="shared" si="1"/>
        <v>93128</v>
      </c>
      <c r="L42" s="24">
        <f t="shared" si="1"/>
        <v>0</v>
      </c>
      <c r="M42" s="24">
        <f>M39+M23-B6+M45</f>
        <v>569161.52</v>
      </c>
      <c r="N42" s="25">
        <f>SUM(C42:M42)</f>
        <v>1517599.52</v>
      </c>
      <c r="O42" s="7"/>
      <c r="P42" s="7"/>
      <c r="Q42" s="7"/>
      <c r="R42" s="7" t="s">
        <v>37</v>
      </c>
      <c r="S42" s="20">
        <f>N31/1000</f>
        <v>31.808</v>
      </c>
      <c r="T42" s="14">
        <f>O31</f>
        <v>2.0510783508318964E-2</v>
      </c>
    </row>
    <row r="43" spans="1:47" ht="15">
      <c r="A43" s="23" t="s">
        <v>58</v>
      </c>
      <c r="B43" s="22"/>
      <c r="C43" s="16">
        <f t="shared" ref="C43:M43" si="2">C42/$N42</f>
        <v>0.29982877169070271</v>
      </c>
      <c r="D43" s="16">
        <f t="shared" si="2"/>
        <v>0.10069059589581314</v>
      </c>
      <c r="E43" s="16">
        <f t="shared" si="2"/>
        <v>2.7436091967135045E-2</v>
      </c>
      <c r="F43" s="16">
        <f t="shared" si="2"/>
        <v>2.8189914029493102E-2</v>
      </c>
      <c r="G43" s="16">
        <f t="shared" si="2"/>
        <v>0.1008862997004638</v>
      </c>
      <c r="H43" s="16">
        <f t="shared" si="2"/>
        <v>6.5623373418041142E-3</v>
      </c>
      <c r="I43" s="16">
        <f t="shared" si="2"/>
        <v>0</v>
      </c>
      <c r="J43" s="16">
        <f t="shared" si="2"/>
        <v>0</v>
      </c>
      <c r="K43" s="16">
        <f t="shared" si="2"/>
        <v>6.1365333062308819E-2</v>
      </c>
      <c r="L43" s="16">
        <f t="shared" si="2"/>
        <v>0</v>
      </c>
      <c r="M43" s="16">
        <f t="shared" si="2"/>
        <v>0.37504065631227929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542.83900000000006</v>
      </c>
      <c r="T43" s="15">
        <f>O32</f>
        <v>0.35003939917229498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461.61500000000001</v>
      </c>
      <c r="T44" s="15">
        <f>O34</f>
        <v>0.2976636484278376</v>
      </c>
    </row>
    <row r="45" spans="1:47" ht="15">
      <c r="A45" s="6" t="s">
        <v>61</v>
      </c>
      <c r="B45" s="6">
        <f>B23-B39+B25</f>
        <v>44930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44935.520000000004</v>
      </c>
      <c r="N45" s="25">
        <f>B45+M45</f>
        <v>89865.52</v>
      </c>
      <c r="O45" s="7"/>
      <c r="P45" s="7"/>
      <c r="Q45" s="7"/>
      <c r="R45" s="7" t="s">
        <v>62</v>
      </c>
      <c r="S45" s="20">
        <f>SUM(S39:S44)</f>
        <v>1550.7929999999999</v>
      </c>
      <c r="T45" s="14">
        <f>SUM(T39:T44)</f>
        <v>0.9999993551690296</v>
      </c>
    </row>
    <row r="46" spans="1:47" ht="15">
      <c r="A46" s="9" t="s">
        <v>95</v>
      </c>
      <c r="B46" s="42">
        <f>B45/B23</f>
        <v>0.17364855202693041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ht="15">
      <c r="A47" s="4"/>
      <c r="B47" s="4"/>
      <c r="C47" s="27"/>
      <c r="D47" s="58"/>
      <c r="E47" s="58"/>
      <c r="F47" s="58"/>
      <c r="G47" s="58"/>
      <c r="H47" s="58"/>
      <c r="I47" s="58"/>
      <c r="J47" s="58"/>
      <c r="K47" s="58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 ht="15">
      <c r="A48" s="27"/>
      <c r="B48" s="4"/>
      <c r="C48" s="27"/>
      <c r="D48" s="58"/>
      <c r="E48" s="58"/>
      <c r="F48" s="58"/>
      <c r="G48" s="58"/>
      <c r="H48" s="58"/>
      <c r="I48" s="58"/>
      <c r="J48" s="58"/>
      <c r="K48" s="58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 ht="15">
      <c r="A49" s="27"/>
      <c r="B49" s="4"/>
      <c r="C49" s="27"/>
      <c r="D49" s="59"/>
      <c r="E49" s="58"/>
      <c r="F49" s="58"/>
      <c r="G49" s="58"/>
      <c r="H49" s="58"/>
      <c r="I49" s="58"/>
      <c r="J49" s="58"/>
      <c r="K49" s="58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 ht="15">
      <c r="A50" s="27"/>
      <c r="B50" s="4"/>
      <c r="C50" s="27"/>
      <c r="D50" s="58"/>
      <c r="E50" s="58"/>
      <c r="F50" s="58"/>
      <c r="G50" s="58"/>
      <c r="H50" s="58"/>
      <c r="I50" s="58"/>
      <c r="J50" s="58"/>
      <c r="K50" s="58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 ht="15">
      <c r="A51" s="27"/>
      <c r="B51" s="4"/>
      <c r="C51" s="27"/>
      <c r="D51" s="58"/>
      <c r="E51" s="60"/>
      <c r="F51" s="60"/>
      <c r="G51" s="58"/>
      <c r="H51" s="58"/>
      <c r="I51" s="58"/>
      <c r="J51" s="58"/>
      <c r="K51" s="58"/>
      <c r="L51" s="9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 ht="15">
      <c r="A52" s="27"/>
      <c r="B52" s="4"/>
      <c r="C52" s="27"/>
      <c r="D52" s="58"/>
      <c r="E52" s="58"/>
      <c r="F52" s="58"/>
      <c r="G52" s="58"/>
      <c r="H52" s="58"/>
      <c r="I52" s="58"/>
      <c r="J52" s="58"/>
      <c r="K52" s="58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 ht="15">
      <c r="A53" s="27"/>
      <c r="B53" s="4"/>
      <c r="C53" s="27"/>
      <c r="D53" s="58"/>
      <c r="E53" s="58"/>
      <c r="F53" s="58"/>
      <c r="G53" s="59"/>
      <c r="H53" s="58"/>
      <c r="I53" s="58"/>
      <c r="J53" s="58"/>
      <c r="K53" s="58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 ht="15">
      <c r="A54" s="27"/>
      <c r="B54" s="4"/>
      <c r="C54" s="27"/>
      <c r="D54" s="58"/>
      <c r="E54" s="58"/>
      <c r="F54" s="58"/>
      <c r="G54" s="58"/>
      <c r="H54" s="58"/>
      <c r="I54" s="58"/>
      <c r="J54" s="58"/>
      <c r="K54" s="58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 ht="15">
      <c r="A55" s="27"/>
      <c r="B55" s="4"/>
      <c r="C55" s="27"/>
      <c r="D55" s="58"/>
      <c r="E55" s="58"/>
      <c r="F55" s="58"/>
      <c r="G55" s="58"/>
      <c r="H55" s="58"/>
      <c r="I55" s="58"/>
      <c r="J55" s="59"/>
      <c r="K55" s="59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 ht="15">
      <c r="A56" s="27"/>
      <c r="B56" s="4"/>
      <c r="C56" s="27"/>
      <c r="D56" s="58"/>
      <c r="E56" s="59"/>
      <c r="F56" s="59"/>
      <c r="G56" s="59"/>
      <c r="H56" s="59"/>
      <c r="I56" s="58"/>
      <c r="J56" s="58"/>
      <c r="K56" s="58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58"/>
      <c r="E57" s="58"/>
      <c r="F57" s="58"/>
      <c r="G57" s="58"/>
      <c r="H57" s="58"/>
      <c r="I57" s="58"/>
      <c r="J57" s="58"/>
      <c r="K57" s="58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58"/>
      <c r="E60" s="58"/>
      <c r="F60" s="58"/>
      <c r="G60" s="58"/>
      <c r="H60" s="58"/>
      <c r="I60" s="58"/>
      <c r="J60" s="58"/>
      <c r="K60" s="58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58"/>
      <c r="E61" s="58"/>
      <c r="F61" s="58"/>
      <c r="G61" s="58"/>
      <c r="H61" s="58"/>
      <c r="I61" s="58"/>
      <c r="J61" s="58"/>
      <c r="K61" s="58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 enableFormatConditionsCalculation="0"/>
  <dimension ref="A1:AU70"/>
  <sheetViews>
    <sheetView topLeftCell="A20" workbookViewId="0">
      <selection activeCell="B44" sqref="B44"/>
    </sheetView>
  </sheetViews>
  <sheetFormatPr baseColWidth="10" defaultColWidth="8.83203125" defaultRowHeight="14" x14ac:dyDescent="0"/>
  <cols>
    <col min="1" max="1" width="16.6640625" style="2" customWidth="1"/>
    <col min="2" max="2" width="12" style="2" customWidth="1"/>
    <col min="3" max="3" width="13.83203125" style="2" customWidth="1"/>
    <col min="4" max="4" width="8.83203125" style="2"/>
    <col min="5" max="5" width="12.6640625" style="2" bestFit="1" customWidth="1"/>
    <col min="6" max="6" width="8.83203125" style="2"/>
    <col min="7" max="8" width="11.1640625" style="2" bestFit="1" customWidth="1"/>
    <col min="9" max="13" width="8.83203125" style="2"/>
    <col min="14" max="14" width="10.1640625" style="2" customWidth="1"/>
    <col min="15" max="15" width="12.33203125" style="2" bestFit="1" customWidth="1"/>
    <col min="16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62">
        <v>358594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43"/>
      <c r="J6" s="9"/>
      <c r="K6" s="9"/>
      <c r="L6" s="9"/>
      <c r="M6" s="9"/>
      <c r="N6" s="43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3088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56">
        <f>SUM(B6:B9)</f>
        <v>361682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9"/>
      <c r="J10" s="9"/>
      <c r="K10" s="9"/>
      <c r="L10" s="9"/>
      <c r="M10" s="9"/>
      <c r="N10" s="43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2">
        <v>715900</v>
      </c>
      <c r="C17" s="56">
        <v>5062</v>
      </c>
      <c r="D17" s="56">
        <v>0</v>
      </c>
      <c r="E17" s="56">
        <v>33841</v>
      </c>
      <c r="F17" s="56">
        <v>0</v>
      </c>
      <c r="G17" s="56">
        <v>495086</v>
      </c>
      <c r="H17" s="56">
        <v>0</v>
      </c>
      <c r="J17" s="9"/>
      <c r="K17" s="56">
        <v>531279</v>
      </c>
      <c r="L17" s="9"/>
      <c r="M17" s="43">
        <v>0</v>
      </c>
      <c r="N17" s="56">
        <f>SUM(C17:M17)</f>
        <v>1065268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2">
        <v>23049</v>
      </c>
      <c r="C18" s="56">
        <v>573</v>
      </c>
      <c r="D18" s="9">
        <v>0</v>
      </c>
      <c r="E18" s="56">
        <v>2161</v>
      </c>
      <c r="F18" s="9">
        <v>0</v>
      </c>
      <c r="G18" s="9">
        <v>0</v>
      </c>
      <c r="H18" s="56">
        <v>19659</v>
      </c>
      <c r="I18" s="9"/>
      <c r="J18" s="9"/>
      <c r="K18" s="9"/>
      <c r="L18" s="9"/>
      <c r="M18" s="43">
        <v>0</v>
      </c>
      <c r="N18" s="56">
        <f>SUM(C18:M18)</f>
        <v>22393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102532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56">
        <f>0.33*B20</f>
        <v>33835.560000000005</v>
      </c>
      <c r="N20" s="56">
        <f>M20</f>
        <v>33835.560000000005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56">
        <v>301595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43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43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56">
        <f>SUM(B17:B22)</f>
        <v>1143076</v>
      </c>
      <c r="C23" s="56">
        <f>SUM(C17:C22)</f>
        <v>5635</v>
      </c>
      <c r="D23" s="9">
        <v>0</v>
      </c>
      <c r="E23" s="56">
        <f>SUM(E17:E22)</f>
        <v>36002</v>
      </c>
      <c r="F23" s="9">
        <v>0</v>
      </c>
      <c r="G23" s="56">
        <f>SUM(G17:G22)</f>
        <v>495086</v>
      </c>
      <c r="H23" s="56">
        <f>SUM(H17:H22)</f>
        <v>19659</v>
      </c>
      <c r="I23" s="9"/>
      <c r="J23" s="9"/>
      <c r="K23" s="9">
        <f>K17</f>
        <v>531279</v>
      </c>
      <c r="L23" s="9"/>
      <c r="M23" s="9">
        <f>M20</f>
        <v>33835.560000000005</v>
      </c>
      <c r="N23" s="56">
        <f>SUM(N17:N22)</f>
        <v>1121496.56</v>
      </c>
      <c r="O23" s="3"/>
      <c r="P23" s="3"/>
      <c r="Q23" s="3"/>
      <c r="R23" s="3" t="s">
        <v>27</v>
      </c>
      <c r="S23" s="12">
        <f>N42/1000</f>
        <v>4151.5352400000002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5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5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1083.50324</v>
      </c>
      <c r="T26" s="14">
        <f>M43</f>
        <v>0.26098856865297859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515.91</v>
      </c>
      <c r="T27" s="15">
        <f>G43</f>
        <v>0.12426969065063265</v>
      </c>
    </row>
    <row r="28" spans="1:20" ht="15">
      <c r="A28" s="4" t="s">
        <v>86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141.15</v>
      </c>
      <c r="T29" s="14">
        <f>F43</f>
        <v>3.399947051876645E-2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438.911</v>
      </c>
      <c r="T30" s="14">
        <f>E43</f>
        <v>0.10572257601744457</v>
      </c>
    </row>
    <row r="31" spans="1:20" ht="15">
      <c r="A31" s="5" t="s">
        <v>36</v>
      </c>
      <c r="B31" s="48">
        <v>0</v>
      </c>
      <c r="C31" s="62">
        <f>(N31-M31)*0.91</f>
        <v>19082.7</v>
      </c>
      <c r="D31" s="9">
        <v>0</v>
      </c>
      <c r="E31" s="9">
        <v>0</v>
      </c>
      <c r="F31" s="62">
        <f>(N31-M31)*0.09</f>
        <v>1887.3</v>
      </c>
      <c r="G31" s="9">
        <v>0</v>
      </c>
      <c r="H31" s="9">
        <v>0</v>
      </c>
      <c r="I31" s="9"/>
      <c r="J31" s="9"/>
      <c r="K31" s="9"/>
      <c r="L31" s="9"/>
      <c r="M31" s="9">
        <v>31404</v>
      </c>
      <c r="N31" s="9">
        <v>52374</v>
      </c>
      <c r="O31" s="16">
        <f>N31/N$39</f>
        <v>1.255544578736674E-2</v>
      </c>
      <c r="P31" s="17" t="s">
        <v>37</v>
      </c>
      <c r="Q31" s="3"/>
      <c r="R31" s="3" t="s">
        <v>38</v>
      </c>
      <c r="S31" s="13">
        <f>C42/1000</f>
        <v>1421.123</v>
      </c>
      <c r="T31" s="15">
        <f>C43</f>
        <v>0.34231264287666263</v>
      </c>
    </row>
    <row r="32" spans="1:20" ht="15">
      <c r="A32" s="5" t="s">
        <v>39</v>
      </c>
      <c r="B32" s="66">
        <v>37500</v>
      </c>
      <c r="C32" s="9">
        <v>13472</v>
      </c>
      <c r="D32" s="9">
        <v>0</v>
      </c>
      <c r="E32" s="62">
        <v>402909</v>
      </c>
      <c r="F32" s="62">
        <f>F39-F34-F31</f>
        <v>15486.7</v>
      </c>
      <c r="G32" s="62">
        <v>624</v>
      </c>
      <c r="H32" s="9">
        <v>0</v>
      </c>
      <c r="I32" s="9"/>
      <c r="J32" s="9"/>
      <c r="K32" s="9"/>
      <c r="L32" s="9"/>
      <c r="M32" s="9">
        <v>349722</v>
      </c>
      <c r="N32" s="56">
        <f>SUM(B32:M32)</f>
        <v>819713.7</v>
      </c>
      <c r="O32" s="16">
        <f>N32/N$39</f>
        <v>0.19650725400984845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66">
        <v>89200</v>
      </c>
      <c r="C33" s="9">
        <v>6949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104158</v>
      </c>
      <c r="N33" s="56">
        <f t="shared" ref="N33:N37" si="0">SUM(B33:M33)</f>
        <v>200307</v>
      </c>
      <c r="O33" s="16">
        <f>N33/N$39</f>
        <v>4.8018934573071929E-2</v>
      </c>
      <c r="P33" s="17" t="s">
        <v>43</v>
      </c>
      <c r="Q33" s="3"/>
      <c r="R33" s="3" t="s">
        <v>7</v>
      </c>
      <c r="S33" s="13">
        <f>H42/1000</f>
        <v>19.658999999999999</v>
      </c>
      <c r="T33" s="14">
        <f>H43</f>
        <v>4.7353566484479607E-3</v>
      </c>
    </row>
    <row r="34" spans="1:47" ht="15">
      <c r="A34" s="5" t="s">
        <v>44</v>
      </c>
      <c r="B34" s="48">
        <v>0</v>
      </c>
      <c r="C34" s="9">
        <v>1270947</v>
      </c>
      <c r="D34" s="9">
        <v>0</v>
      </c>
      <c r="E34" s="9">
        <v>0</v>
      </c>
      <c r="F34" s="9">
        <v>123776</v>
      </c>
      <c r="G34" s="9">
        <v>0</v>
      </c>
      <c r="H34" s="9">
        <v>0</v>
      </c>
      <c r="I34" s="9"/>
      <c r="J34" s="9"/>
      <c r="K34" s="9"/>
      <c r="L34" s="9"/>
      <c r="M34" s="9">
        <v>1797</v>
      </c>
      <c r="N34" s="43">
        <f t="shared" si="0"/>
        <v>1396520</v>
      </c>
      <c r="O34" s="16">
        <f>N34/N$39</f>
        <v>0.33478312046002595</v>
      </c>
      <c r="P34" s="17" t="s">
        <v>45</v>
      </c>
      <c r="Q34" s="3"/>
      <c r="R34" s="3"/>
      <c r="S34" s="13">
        <f>SUM(S26:S33)</f>
        <v>3620.2562400000002</v>
      </c>
      <c r="T34" s="14">
        <f>SUM(T26:T33)</f>
        <v>0.87202830536493281</v>
      </c>
    </row>
    <row r="35" spans="1:47" ht="15">
      <c r="A35" s="5" t="s">
        <v>46</v>
      </c>
      <c r="B35" s="66">
        <v>91000</v>
      </c>
      <c r="C35" s="9">
        <v>102612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498240</v>
      </c>
      <c r="N35" s="56">
        <f t="shared" si="0"/>
        <v>691852</v>
      </c>
      <c r="O35" s="16">
        <f>N35/N$39</f>
        <v>0.16585539158516158</v>
      </c>
      <c r="P35" s="17" t="s">
        <v>47</v>
      </c>
      <c r="Q35" s="17"/>
    </row>
    <row r="36" spans="1:47" ht="15">
      <c r="A36" s="5" t="s">
        <v>48</v>
      </c>
      <c r="B36" s="66">
        <v>156500</v>
      </c>
      <c r="C36" s="62">
        <f>C39-C37-C35-C34-C33-C32-C31</f>
        <v>1378.2999999999993</v>
      </c>
      <c r="D36" s="9">
        <v>0</v>
      </c>
      <c r="E36" s="9">
        <v>0</v>
      </c>
      <c r="F36" s="9">
        <v>0</v>
      </c>
      <c r="G36" s="62">
        <v>20200</v>
      </c>
      <c r="H36" s="9">
        <v>0</v>
      </c>
      <c r="I36" s="9"/>
      <c r="J36" s="9"/>
      <c r="K36" s="9"/>
      <c r="L36" s="9"/>
      <c r="M36" s="9">
        <v>227247</v>
      </c>
      <c r="N36" s="56">
        <f t="shared" si="0"/>
        <v>405325.3</v>
      </c>
      <c r="O36" s="46"/>
      <c r="P36" s="17"/>
      <c r="Q36" s="3"/>
      <c r="R36" s="7"/>
      <c r="S36" s="7"/>
      <c r="T36" s="7"/>
    </row>
    <row r="37" spans="1:47" ht="15">
      <c r="A37" s="5" t="s">
        <v>49</v>
      </c>
      <c r="B37" s="66">
        <v>512900</v>
      </c>
      <c r="C37" s="9">
        <v>1047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86830</v>
      </c>
      <c r="N37" s="56">
        <f t="shared" si="0"/>
        <v>600777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48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4548</v>
      </c>
      <c r="N38" s="9">
        <v>4548</v>
      </c>
      <c r="O38" s="17">
        <f>SUM(O31:O36)</f>
        <v>0.75772014641547469</v>
      </c>
      <c r="P38" s="17"/>
      <c r="Q38" s="3"/>
      <c r="R38" s="7" t="s">
        <v>51</v>
      </c>
      <c r="S38" s="19">
        <f>N45/1000</f>
        <v>282.93468000000001</v>
      </c>
      <c r="T38" s="7"/>
    </row>
    <row r="39" spans="1:47" ht="15">
      <c r="A39" s="5" t="s">
        <v>17</v>
      </c>
      <c r="B39" s="56">
        <f>SUM(B31:B38)</f>
        <v>887100</v>
      </c>
      <c r="C39" s="9">
        <v>1415488</v>
      </c>
      <c r="D39" s="9">
        <v>0</v>
      </c>
      <c r="E39" s="57">
        <f>SUM(E31:E38)</f>
        <v>402909</v>
      </c>
      <c r="F39" s="9">
        <v>141150</v>
      </c>
      <c r="G39" s="57">
        <f>SUM(G31:G38)</f>
        <v>20824</v>
      </c>
      <c r="H39" s="9">
        <v>0</v>
      </c>
      <c r="I39" s="9"/>
      <c r="J39" s="9"/>
      <c r="K39" s="9"/>
      <c r="L39" s="9"/>
      <c r="M39" s="9">
        <v>1303946</v>
      </c>
      <c r="N39" s="56">
        <f>SUM(N31:N38)</f>
        <v>4171417</v>
      </c>
      <c r="O39" s="3"/>
      <c r="P39" s="3"/>
      <c r="Q39" s="3"/>
      <c r="R39" s="7" t="s">
        <v>52</v>
      </c>
      <c r="S39" s="20">
        <f>N41/1000</f>
        <v>1010.6503</v>
      </c>
      <c r="T39" s="14">
        <f>O41</f>
        <v>0.24227985358452536</v>
      </c>
    </row>
    <row r="40" spans="1:47">
      <c r="R40" s="7" t="s">
        <v>53</v>
      </c>
      <c r="S40" s="20">
        <f>N35/1000</f>
        <v>691.85199999999998</v>
      </c>
      <c r="T40" s="15">
        <f>O35</f>
        <v>0.16585539158516158</v>
      </c>
    </row>
    <row r="41" spans="1:47" ht="15">
      <c r="A41" s="21" t="s">
        <v>54</v>
      </c>
      <c r="B41" s="22">
        <f>B38+B37+B36</f>
        <v>669400</v>
      </c>
      <c r="C41" s="22">
        <f t="shared" ref="C41:N41" si="1">C38+C37+C36</f>
        <v>2425.2999999999993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20200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318625</v>
      </c>
      <c r="N41" s="22">
        <f t="shared" si="1"/>
        <v>1010650.3</v>
      </c>
      <c r="O41" s="16">
        <f>N41/N$39</f>
        <v>0.24227985358452536</v>
      </c>
      <c r="P41" s="16" t="s">
        <v>55</v>
      </c>
      <c r="Q41" s="7"/>
      <c r="R41" s="7" t="s">
        <v>56</v>
      </c>
      <c r="S41" s="20">
        <f>N33/1000</f>
        <v>200.30699999999999</v>
      </c>
      <c r="T41" s="14">
        <f>O33</f>
        <v>4.8018934573071929E-2</v>
      </c>
    </row>
    <row r="42" spans="1:47" ht="15">
      <c r="A42" s="23" t="s">
        <v>57</v>
      </c>
      <c r="B42" s="22"/>
      <c r="C42" s="24">
        <f>C39+C23+C10</f>
        <v>1421123</v>
      </c>
      <c r="D42" s="24">
        <f t="shared" ref="D42:L42" si="2">D39+D23+D10</f>
        <v>0</v>
      </c>
      <c r="E42" s="24">
        <f t="shared" si="2"/>
        <v>438911</v>
      </c>
      <c r="F42" s="24">
        <f>F39+F23+F10</f>
        <v>141150</v>
      </c>
      <c r="G42" s="24">
        <f t="shared" si="2"/>
        <v>515910</v>
      </c>
      <c r="H42" s="24">
        <f t="shared" si="2"/>
        <v>19659</v>
      </c>
      <c r="I42" s="24">
        <f t="shared" si="2"/>
        <v>0</v>
      </c>
      <c r="J42" s="24">
        <f t="shared" si="2"/>
        <v>0</v>
      </c>
      <c r="K42" s="24">
        <f t="shared" si="2"/>
        <v>531279</v>
      </c>
      <c r="L42" s="24">
        <f t="shared" si="2"/>
        <v>0</v>
      </c>
      <c r="M42" s="24">
        <f>M39+M23-B6+M45</f>
        <v>1083503.24</v>
      </c>
      <c r="N42" s="25">
        <f>SUM(C42:M42)</f>
        <v>4151535.24</v>
      </c>
      <c r="O42" s="7"/>
      <c r="P42" s="7"/>
      <c r="Q42" s="7"/>
      <c r="R42" s="7" t="s">
        <v>37</v>
      </c>
      <c r="S42" s="20">
        <f>N31/1000</f>
        <v>52.374000000000002</v>
      </c>
      <c r="T42" s="14">
        <f>O31</f>
        <v>1.255544578736674E-2</v>
      </c>
    </row>
    <row r="43" spans="1:47" ht="15">
      <c r="A43" s="23" t="s">
        <v>58</v>
      </c>
      <c r="B43" s="22"/>
      <c r="C43" s="16">
        <f t="shared" ref="C43:M43" si="3">C42/$N42</f>
        <v>0.34231264287666263</v>
      </c>
      <c r="D43" s="16">
        <f t="shared" si="3"/>
        <v>0</v>
      </c>
      <c r="E43" s="16">
        <f t="shared" si="3"/>
        <v>0.10572257601744457</v>
      </c>
      <c r="F43" s="16">
        <f t="shared" si="3"/>
        <v>3.399947051876645E-2</v>
      </c>
      <c r="G43" s="16">
        <f t="shared" si="3"/>
        <v>0.12426969065063265</v>
      </c>
      <c r="H43" s="16">
        <f t="shared" si="3"/>
        <v>4.7353566484479607E-3</v>
      </c>
      <c r="I43" s="16">
        <f t="shared" si="3"/>
        <v>0</v>
      </c>
      <c r="J43" s="16">
        <f t="shared" si="3"/>
        <v>0</v>
      </c>
      <c r="K43" s="16">
        <f t="shared" si="3"/>
        <v>0.12797169463506708</v>
      </c>
      <c r="L43" s="16">
        <f t="shared" si="3"/>
        <v>0</v>
      </c>
      <c r="M43" s="16">
        <f t="shared" si="3"/>
        <v>0.26098856865297859</v>
      </c>
      <c r="N43" s="16">
        <f>SUM(C43:M43)</f>
        <v>0.99999999999999989</v>
      </c>
      <c r="O43" s="7"/>
      <c r="P43" s="7"/>
      <c r="Q43" s="7"/>
      <c r="R43" s="7" t="s">
        <v>59</v>
      </c>
      <c r="S43" s="20">
        <f>N32/1000</f>
        <v>819.7136999999999</v>
      </c>
      <c r="T43" s="15">
        <f>O32</f>
        <v>0.19650725400984845</v>
      </c>
    </row>
    <row r="44" spans="1:47">
      <c r="A44" s="6" t="s">
        <v>97</v>
      </c>
      <c r="B44" s="49">
        <v>77357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1396.52</v>
      </c>
      <c r="T44" s="15">
        <f>O34</f>
        <v>0.33478312046002595</v>
      </c>
    </row>
    <row r="45" spans="1:47" ht="15">
      <c r="A45" s="6" t="s">
        <v>61</v>
      </c>
      <c r="B45" s="6">
        <f>B23-B39-B44</f>
        <v>178619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104315.68000000001</v>
      </c>
      <c r="N45" s="25">
        <f>B45+M45</f>
        <v>282934.68</v>
      </c>
      <c r="O45" s="7"/>
      <c r="P45" s="7"/>
      <c r="Q45" s="7"/>
      <c r="R45" s="7" t="s">
        <v>62</v>
      </c>
      <c r="S45" s="20">
        <f>SUM(S39:S44)</f>
        <v>4171.4169999999995</v>
      </c>
      <c r="T45" s="14">
        <f>SUM(T39:T44)</f>
        <v>1</v>
      </c>
    </row>
    <row r="46" spans="1:47" ht="15">
      <c r="A46" s="9" t="s">
        <v>95</v>
      </c>
      <c r="B46" s="42">
        <f>B45/B23</f>
        <v>0.15626170088428065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9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8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65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/>
  <dimension ref="A1:AU70"/>
  <sheetViews>
    <sheetView topLeftCell="A19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18739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18739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9841</v>
      </c>
      <c r="C18" s="9">
        <v>0</v>
      </c>
      <c r="D18" s="9">
        <v>0</v>
      </c>
      <c r="E18" s="9">
        <v>10472</v>
      </c>
      <c r="F18" s="9">
        <v>585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11057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41712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51553</v>
      </c>
      <c r="C23" s="9">
        <v>0</v>
      </c>
      <c r="D23" s="9">
        <v>0</v>
      </c>
      <c r="E23" s="9">
        <v>10472</v>
      </c>
      <c r="F23" s="9">
        <v>585</v>
      </c>
      <c r="G23" s="9">
        <v>0</v>
      </c>
      <c r="H23" s="9">
        <v>0</v>
      </c>
      <c r="I23" s="9"/>
      <c r="J23" s="9"/>
      <c r="K23" s="9"/>
      <c r="L23" s="9"/>
      <c r="M23" s="9"/>
      <c r="N23" s="9">
        <v>11057</v>
      </c>
      <c r="O23" s="3"/>
      <c r="P23" s="3"/>
      <c r="Q23" s="3"/>
      <c r="R23" s="3" t="s">
        <v>27</v>
      </c>
      <c r="S23" s="12">
        <f>N42/1000</f>
        <v>1205.1083999999998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352.1934</v>
      </c>
      <c r="T26" s="14">
        <f>M43</f>
        <v>0.29225039008938952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23.201000000000001</v>
      </c>
      <c r="T27" s="15">
        <f>G43</f>
        <v>1.9252210008659804E-2</v>
      </c>
    </row>
    <row r="28" spans="1:20" ht="15">
      <c r="A28" s="4" t="s">
        <v>87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12.092000000000001</v>
      </c>
      <c r="T29" s="14">
        <f>F43</f>
        <v>1.0033952132438875E-2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290.12</v>
      </c>
      <c r="T30" s="14">
        <f>E43</f>
        <v>0.24074182870188277</v>
      </c>
    </row>
    <row r="31" spans="1:20" ht="15">
      <c r="A31" s="5" t="s">
        <v>36</v>
      </c>
      <c r="B31" s="9">
        <v>0</v>
      </c>
      <c r="C31" s="9">
        <v>9263</v>
      </c>
      <c r="D31" s="9">
        <v>0</v>
      </c>
      <c r="E31" s="9">
        <v>0</v>
      </c>
      <c r="F31" s="9">
        <v>824</v>
      </c>
      <c r="G31" s="9">
        <v>0</v>
      </c>
      <c r="H31" s="9">
        <v>0</v>
      </c>
      <c r="I31" s="9"/>
      <c r="J31" s="9"/>
      <c r="K31" s="9"/>
      <c r="L31" s="9"/>
      <c r="M31" s="9">
        <v>15078</v>
      </c>
      <c r="N31" s="9">
        <v>25165</v>
      </c>
      <c r="O31" s="16">
        <f>N31/N$39</f>
        <v>2.0711917109533243E-2</v>
      </c>
      <c r="P31" s="17" t="s">
        <v>37</v>
      </c>
      <c r="Q31" s="3"/>
      <c r="R31" s="3" t="s">
        <v>38</v>
      </c>
      <c r="S31" s="13">
        <f>C42/1000</f>
        <v>139.86000000000001</v>
      </c>
      <c r="T31" s="15">
        <f>C43</f>
        <v>0.11605594982160941</v>
      </c>
    </row>
    <row r="32" spans="1:20" ht="15">
      <c r="A32" s="5" t="s">
        <v>39</v>
      </c>
      <c r="B32" s="9">
        <v>12865</v>
      </c>
      <c r="C32" s="62">
        <f>C39-C37-C36-C35-C34-C31</f>
        <v>3148</v>
      </c>
      <c r="D32" s="62">
        <f>385718</f>
        <v>385718</v>
      </c>
      <c r="E32" s="62">
        <f>278126+1522</f>
        <v>279648</v>
      </c>
      <c r="F32" s="9">
        <v>201</v>
      </c>
      <c r="G32" s="62">
        <v>1</v>
      </c>
      <c r="H32" s="50">
        <v>1924</v>
      </c>
      <c r="I32" s="9"/>
      <c r="J32" s="9"/>
      <c r="K32" s="9"/>
      <c r="L32" s="9"/>
      <c r="M32" s="9">
        <v>90553</v>
      </c>
      <c r="N32" s="50">
        <f>SUM(B32:M32)</f>
        <v>774058</v>
      </c>
      <c r="O32" s="16">
        <f>N32/N$39</f>
        <v>0.63708424931337504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4776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22088</v>
      </c>
      <c r="N33" s="9">
        <v>26864</v>
      </c>
      <c r="O33" s="16">
        <f>N33/N$39</f>
        <v>2.2110269868090643E-2</v>
      </c>
      <c r="P33" s="17" t="s">
        <v>43</v>
      </c>
      <c r="Q33" s="3"/>
      <c r="R33" s="3" t="s">
        <v>7</v>
      </c>
      <c r="S33" s="13">
        <f>H42/1000</f>
        <v>1.9239999999999999</v>
      </c>
      <c r="T33" s="14">
        <f>H43</f>
        <v>1.5965368758528279E-3</v>
      </c>
    </row>
    <row r="34" spans="1:47" ht="15">
      <c r="A34" s="5" t="s">
        <v>44</v>
      </c>
      <c r="B34" s="9">
        <v>0</v>
      </c>
      <c r="C34" s="9">
        <v>122477</v>
      </c>
      <c r="D34" s="9">
        <v>0</v>
      </c>
      <c r="E34" s="9">
        <v>0</v>
      </c>
      <c r="F34" s="9">
        <v>10482</v>
      </c>
      <c r="G34" s="9">
        <v>0</v>
      </c>
      <c r="H34" s="9">
        <v>0</v>
      </c>
      <c r="I34" s="9"/>
      <c r="J34" s="9"/>
      <c r="K34" s="9"/>
      <c r="L34" s="9"/>
      <c r="M34" s="9">
        <v>10</v>
      </c>
      <c r="N34" s="9">
        <v>132970</v>
      </c>
      <c r="O34" s="16">
        <f>N34/N$39</f>
        <v>0.10944023914383609</v>
      </c>
      <c r="P34" s="17" t="s">
        <v>45</v>
      </c>
      <c r="Q34" s="3"/>
      <c r="R34" s="3"/>
      <c r="S34" s="13">
        <f>SUM(S26:S33)</f>
        <v>819.3904</v>
      </c>
      <c r="T34" s="14">
        <f>SUM(T26:T33)</f>
        <v>0.67993086762983312</v>
      </c>
    </row>
    <row r="35" spans="1:47" ht="15">
      <c r="A35" s="5" t="s">
        <v>46</v>
      </c>
      <c r="B35" s="9">
        <v>4125</v>
      </c>
      <c r="C35" s="9">
        <v>2577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40379</v>
      </c>
      <c r="N35" s="9">
        <v>47081</v>
      </c>
      <c r="O35" s="16">
        <f>N35/N$39</f>
        <v>3.8749762345874614E-2</v>
      </c>
      <c r="P35" s="17" t="s">
        <v>47</v>
      </c>
      <c r="Q35" s="17"/>
    </row>
    <row r="36" spans="1:47" ht="15">
      <c r="A36" s="5" t="s">
        <v>48</v>
      </c>
      <c r="B36" s="9">
        <v>2123</v>
      </c>
      <c r="C36" s="62">
        <f>N36-M36-G36-B36</f>
        <v>1569</v>
      </c>
      <c r="D36" s="9">
        <v>0</v>
      </c>
      <c r="E36" s="9">
        <v>0</v>
      </c>
      <c r="F36" s="9">
        <v>0</v>
      </c>
      <c r="G36" s="62">
        <v>23200</v>
      </c>
      <c r="H36" s="9">
        <v>0</v>
      </c>
      <c r="I36" s="9"/>
      <c r="J36" s="9"/>
      <c r="K36" s="9"/>
      <c r="L36" s="9"/>
      <c r="M36" s="9">
        <v>140013</v>
      </c>
      <c r="N36" s="9">
        <v>166905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23148</v>
      </c>
      <c r="C37" s="9">
        <v>826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6824</v>
      </c>
      <c r="N37" s="9">
        <v>30798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11160</v>
      </c>
      <c r="N38" s="9">
        <v>11160</v>
      </c>
      <c r="O38" s="17">
        <f>SUM(O31:O35)</f>
        <v>0.82809643778070952</v>
      </c>
      <c r="P38" s="17"/>
      <c r="Q38" s="3"/>
      <c r="R38" s="7" t="s">
        <v>51</v>
      </c>
      <c r="S38" s="19">
        <f>N45/1000</f>
        <v>30.604400000000002</v>
      </c>
      <c r="T38" s="7"/>
    </row>
    <row r="39" spans="1:47" ht="15">
      <c r="A39" s="5" t="s">
        <v>17</v>
      </c>
      <c r="B39" s="9">
        <v>47037</v>
      </c>
      <c r="C39" s="9">
        <v>139860</v>
      </c>
      <c r="D39" s="57">
        <f>D32</f>
        <v>385718</v>
      </c>
      <c r="E39" s="57">
        <f>E32</f>
        <v>279648</v>
      </c>
      <c r="F39" s="9">
        <v>11507</v>
      </c>
      <c r="G39" s="18">
        <f>G36+G32</f>
        <v>23201</v>
      </c>
      <c r="H39" s="9">
        <v>1924</v>
      </c>
      <c r="I39" s="9"/>
      <c r="J39" s="9"/>
      <c r="K39" s="9"/>
      <c r="L39" s="9"/>
      <c r="M39" s="9">
        <v>326105</v>
      </c>
      <c r="N39" s="50">
        <f>SUM(N31:N38)</f>
        <v>1215001</v>
      </c>
      <c r="O39" s="3"/>
      <c r="P39" s="3"/>
      <c r="Q39" s="3"/>
      <c r="R39" s="7" t="s">
        <v>52</v>
      </c>
      <c r="S39" s="20">
        <f>N41/1000</f>
        <v>208.863</v>
      </c>
      <c r="T39" s="14">
        <f>O41</f>
        <v>0.17190356221929035</v>
      </c>
    </row>
    <row r="40" spans="1:47">
      <c r="R40" s="7" t="s">
        <v>53</v>
      </c>
      <c r="S40" s="20">
        <f>N35/1000</f>
        <v>47.081000000000003</v>
      </c>
      <c r="T40" s="15">
        <f>O35</f>
        <v>3.8749762345874614E-2</v>
      </c>
    </row>
    <row r="41" spans="1:47" ht="15">
      <c r="A41" s="21" t="s">
        <v>54</v>
      </c>
      <c r="B41" s="22">
        <f>B38+B37+B36</f>
        <v>25271</v>
      </c>
      <c r="C41" s="22">
        <f t="shared" ref="C41:N41" si="0">C38+C37+C36</f>
        <v>2395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23200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157997</v>
      </c>
      <c r="N41" s="22">
        <f t="shared" si="0"/>
        <v>208863</v>
      </c>
      <c r="O41" s="16">
        <f>N41/N$39</f>
        <v>0.17190356221929035</v>
      </c>
      <c r="P41" s="16" t="s">
        <v>55</v>
      </c>
      <c r="Q41" s="7"/>
      <c r="R41" s="7" t="s">
        <v>56</v>
      </c>
      <c r="S41" s="20">
        <f>N33/1000</f>
        <v>26.864000000000001</v>
      </c>
      <c r="T41" s="14">
        <f>O33</f>
        <v>2.2110269868090643E-2</v>
      </c>
    </row>
    <row r="42" spans="1:47" ht="15">
      <c r="A42" s="23" t="s">
        <v>57</v>
      </c>
      <c r="B42" s="22"/>
      <c r="C42" s="24">
        <f>C39+C23+C10</f>
        <v>139860</v>
      </c>
      <c r="D42" s="24">
        <f t="shared" ref="D42:L42" si="1">D39+D23+D10</f>
        <v>385718</v>
      </c>
      <c r="E42" s="24">
        <f t="shared" si="1"/>
        <v>290120</v>
      </c>
      <c r="F42" s="24">
        <f t="shared" si="1"/>
        <v>12092</v>
      </c>
      <c r="G42" s="24">
        <f t="shared" si="1"/>
        <v>23201</v>
      </c>
      <c r="H42" s="24">
        <f t="shared" si="1"/>
        <v>1924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352193.4</v>
      </c>
      <c r="N42" s="25">
        <f>SUM(C42:M42)</f>
        <v>1205108.3999999999</v>
      </c>
      <c r="O42" s="7"/>
      <c r="P42" s="7"/>
      <c r="Q42" s="7"/>
      <c r="R42" s="7" t="s">
        <v>37</v>
      </c>
      <c r="S42" s="20">
        <f>N31/1000</f>
        <v>25.164999999999999</v>
      </c>
      <c r="T42" s="14">
        <f>O31</f>
        <v>2.0711917109533243E-2</v>
      </c>
    </row>
    <row r="43" spans="1:47" ht="15">
      <c r="A43" s="23" t="s">
        <v>58</v>
      </c>
      <c r="B43" s="22"/>
      <c r="C43" s="16">
        <f t="shared" ref="C43:M43" si="2">C42/$N42</f>
        <v>0.11605594982160941</v>
      </c>
      <c r="D43" s="16">
        <f t="shared" si="2"/>
        <v>0.32006913237016688</v>
      </c>
      <c r="E43" s="16">
        <f t="shared" si="2"/>
        <v>0.24074182870188277</v>
      </c>
      <c r="F43" s="16">
        <f t="shared" si="2"/>
        <v>1.0033952132438875E-2</v>
      </c>
      <c r="G43" s="16">
        <f t="shared" si="2"/>
        <v>1.9252210008659804E-2</v>
      </c>
      <c r="H43" s="16">
        <f t="shared" si="2"/>
        <v>1.5965368758528279E-3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0.29225039008938952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774.05799999999999</v>
      </c>
      <c r="T43" s="15">
        <f>O32</f>
        <v>0.63708424931337504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132.97</v>
      </c>
      <c r="T44" s="15">
        <f>O34</f>
        <v>0.10944023914383609</v>
      </c>
    </row>
    <row r="45" spans="1:47" ht="15">
      <c r="A45" s="6" t="s">
        <v>61</v>
      </c>
      <c r="B45" s="6">
        <f>B23-B39</f>
        <v>4516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26088.400000000001</v>
      </c>
      <c r="N45" s="25">
        <f>B45+M45</f>
        <v>30604.400000000001</v>
      </c>
      <c r="O45" s="7"/>
      <c r="P45" s="7"/>
      <c r="Q45" s="7"/>
      <c r="R45" s="7" t="s">
        <v>62</v>
      </c>
      <c r="S45" s="20">
        <f>SUM(S39:S44)</f>
        <v>1215.001</v>
      </c>
      <c r="T45" s="14">
        <f>SUM(T39:T44)</f>
        <v>1</v>
      </c>
    </row>
    <row r="46" spans="1:47" ht="15">
      <c r="A46" s="9" t="s">
        <v>95</v>
      </c>
      <c r="B46" s="42">
        <f>B45/B23</f>
        <v>8.7599169786433381E-2</v>
      </c>
      <c r="C46" s="6"/>
      <c r="D46" s="6"/>
      <c r="E46" s="6"/>
      <c r="F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8"/>
      <c r="F48" s="28"/>
      <c r="G48" s="27"/>
      <c r="H48" s="6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8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8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/>
  <dimension ref="A1:AU70"/>
  <sheetViews>
    <sheetView topLeftCell="A4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3" width="8.83203125" style="2"/>
    <col min="14" max="14" width="9.6640625" style="2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34500</v>
      </c>
      <c r="C6" s="43">
        <v>0</v>
      </c>
      <c r="D6" s="43">
        <v>0</v>
      </c>
      <c r="E6" s="56">
        <v>0</v>
      </c>
      <c r="F6" s="43">
        <v>0</v>
      </c>
      <c r="G6" s="43">
        <v>0</v>
      </c>
      <c r="H6" s="43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131923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166423</v>
      </c>
      <c r="C10" s="9">
        <v>0</v>
      </c>
      <c r="D10" s="9">
        <v>0</v>
      </c>
      <c r="E10" s="56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7932</v>
      </c>
      <c r="C17" s="43">
        <v>0</v>
      </c>
      <c r="D17" s="43">
        <v>0</v>
      </c>
      <c r="E17" s="43"/>
      <c r="F17" s="43">
        <v>0</v>
      </c>
      <c r="G17" s="43">
        <v>8349</v>
      </c>
      <c r="H17" s="43">
        <v>0</v>
      </c>
      <c r="I17" s="9"/>
      <c r="J17" s="9"/>
      <c r="K17" s="9"/>
      <c r="L17" s="9"/>
      <c r="M17" s="9"/>
      <c r="N17" s="9">
        <f>E17+G17</f>
        <v>8349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62">
        <v>18762</v>
      </c>
      <c r="C18" s="62">
        <v>0</v>
      </c>
      <c r="D18" s="43">
        <v>0</v>
      </c>
      <c r="E18" s="56">
        <v>13983</v>
      </c>
      <c r="F18" s="43">
        <v>3895</v>
      </c>
      <c r="G18" s="62">
        <v>6864</v>
      </c>
      <c r="H18" s="43">
        <v>5115</v>
      </c>
      <c r="J18" s="43"/>
      <c r="K18" s="43"/>
      <c r="L18" s="43"/>
      <c r="M18" s="43"/>
      <c r="N18" s="62">
        <f>SUM(C18:M18)</f>
        <v>29857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34918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56">
        <f>0.33*B20</f>
        <v>11522.94</v>
      </c>
      <c r="N20" s="50">
        <f>M20</f>
        <v>11522.94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56">
        <v>52466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98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62">
        <f>B17+B18+B20+B21</f>
        <v>114078</v>
      </c>
      <c r="C23" s="18">
        <v>0</v>
      </c>
      <c r="D23" s="9">
        <v>0</v>
      </c>
      <c r="E23" s="50">
        <f>SUM(E17:E22)</f>
        <v>13983</v>
      </c>
      <c r="F23" s="43">
        <f>SUM(F17:F22)</f>
        <v>3895</v>
      </c>
      <c r="G23" s="18">
        <f>SUM(G17:G22)</f>
        <v>15213</v>
      </c>
      <c r="H23" s="43">
        <f>SUM(H17:H22)</f>
        <v>5115</v>
      </c>
      <c r="I23" s="9"/>
      <c r="J23" s="9"/>
      <c r="K23" s="9"/>
      <c r="L23" s="9"/>
      <c r="M23" s="9">
        <f>M20</f>
        <v>11522.94</v>
      </c>
      <c r="N23" s="18">
        <f>SUM(N17:N22)</f>
        <v>49728.94</v>
      </c>
      <c r="O23" s="3"/>
      <c r="P23" s="3"/>
      <c r="Q23" s="3"/>
      <c r="R23" s="3" t="s">
        <v>27</v>
      </c>
      <c r="S23" s="12">
        <f>N42/1000</f>
        <v>1290.09286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354.94085999999999</v>
      </c>
      <c r="T26" s="14">
        <f>M43</f>
        <v>0.27512814852723083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51.942999999999998</v>
      </c>
      <c r="T27" s="15">
        <f>G43</f>
        <v>4.0262993161593041E-2</v>
      </c>
    </row>
    <row r="28" spans="1:20" ht="15">
      <c r="A28" s="4" t="s">
        <v>88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23.956</v>
      </c>
      <c r="T29" s="14">
        <f>F43</f>
        <v>1.856920594072585E-2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580.59</v>
      </c>
      <c r="T30" s="14">
        <f>E43</f>
        <v>0.45003737172841968</v>
      </c>
    </row>
    <row r="31" spans="1:20" ht="15">
      <c r="A31" s="5" t="s">
        <v>36</v>
      </c>
      <c r="B31" s="9">
        <v>0</v>
      </c>
      <c r="C31" s="9">
        <v>19509</v>
      </c>
      <c r="D31" s="9">
        <v>0</v>
      </c>
      <c r="E31" s="9">
        <v>0</v>
      </c>
      <c r="F31" s="9">
        <v>1993</v>
      </c>
      <c r="G31" s="9">
        <v>0</v>
      </c>
      <c r="H31" s="9">
        <v>0</v>
      </c>
      <c r="I31" s="9"/>
      <c r="J31" s="9"/>
      <c r="K31" s="9"/>
      <c r="L31" s="9"/>
      <c r="M31" s="9">
        <v>5597</v>
      </c>
      <c r="N31" s="9">
        <v>27098</v>
      </c>
      <c r="O31" s="16">
        <f>N31/N$39</f>
        <v>2.01783420518644E-2</v>
      </c>
      <c r="P31" s="17" t="s">
        <v>37</v>
      </c>
      <c r="Q31" s="3"/>
      <c r="R31" s="3" t="s">
        <v>38</v>
      </c>
      <c r="S31" s="13">
        <f>C42/1000</f>
        <v>228.46600000000001</v>
      </c>
      <c r="T31" s="15">
        <f>C43</f>
        <v>0.17709267842936519</v>
      </c>
    </row>
    <row r="32" spans="1:20" ht="15">
      <c r="A32" s="5" t="s">
        <v>39</v>
      </c>
      <c r="B32" s="9">
        <v>7406</v>
      </c>
      <c r="C32" s="62">
        <f>C39-C31-C33-C34-C35-C36-C37</f>
        <v>5632</v>
      </c>
      <c r="D32" s="62">
        <v>26931</v>
      </c>
      <c r="E32" s="62">
        <f>485100+81507</f>
        <v>566607</v>
      </c>
      <c r="F32" s="9">
        <v>429</v>
      </c>
      <c r="G32" s="62">
        <v>30</v>
      </c>
      <c r="H32" s="62">
        <v>18151</v>
      </c>
      <c r="I32" s="18"/>
      <c r="J32" s="18"/>
      <c r="K32" s="18"/>
      <c r="L32" s="9"/>
      <c r="M32" s="9">
        <v>125935</v>
      </c>
      <c r="N32" s="56">
        <f>SUM(B32:M32)</f>
        <v>751121</v>
      </c>
      <c r="O32" s="16">
        <f>N32/N$39</f>
        <v>0.55931716216467786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62">
        <v>9935</v>
      </c>
      <c r="C33" s="9">
        <v>401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39403</v>
      </c>
      <c r="N33" s="62">
        <f>SUM(B33:M33)</f>
        <v>49739</v>
      </c>
      <c r="O33" s="16">
        <f>N33/N$39</f>
        <v>3.7037809259638475E-2</v>
      </c>
      <c r="P33" s="17" t="s">
        <v>43</v>
      </c>
      <c r="Q33" s="3"/>
      <c r="R33" s="3" t="s">
        <v>7</v>
      </c>
      <c r="S33" s="13">
        <f>H42/1000</f>
        <v>23.265999999999998</v>
      </c>
      <c r="T33" s="14">
        <f>H43</f>
        <v>1.803436072035931E-2</v>
      </c>
    </row>
    <row r="34" spans="1:47" ht="15">
      <c r="A34" s="5" t="s">
        <v>44</v>
      </c>
      <c r="B34" s="9">
        <v>0</v>
      </c>
      <c r="C34" s="9">
        <v>201512</v>
      </c>
      <c r="D34" s="9">
        <v>0</v>
      </c>
      <c r="E34" s="9">
        <v>0</v>
      </c>
      <c r="F34" s="9">
        <v>17639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219151</v>
      </c>
      <c r="O34" s="16">
        <f>N34/N$39</f>
        <v>0.16318930692332037</v>
      </c>
      <c r="P34" s="17" t="s">
        <v>45</v>
      </c>
      <c r="Q34" s="3"/>
      <c r="R34" s="3"/>
      <c r="S34" s="13">
        <f>SUM(S26:S33)</f>
        <v>1263.1618600000002</v>
      </c>
      <c r="T34" s="14">
        <f>SUM(T26:T33)</f>
        <v>0.97912475850769398</v>
      </c>
    </row>
    <row r="35" spans="1:47" ht="15">
      <c r="A35" s="5" t="s">
        <v>46</v>
      </c>
      <c r="B35" s="9">
        <v>3722</v>
      </c>
      <c r="C35" s="9">
        <v>474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56065</v>
      </c>
      <c r="N35" s="9">
        <v>60260</v>
      </c>
      <c r="O35" s="16">
        <f>N35/N$39</f>
        <v>4.4872200606884224E-2</v>
      </c>
      <c r="P35" s="17" t="s">
        <v>47</v>
      </c>
      <c r="Q35" s="17"/>
    </row>
    <row r="36" spans="1:47" ht="15">
      <c r="A36" s="5" t="s">
        <v>48</v>
      </c>
      <c r="B36" s="9">
        <v>11426</v>
      </c>
      <c r="C36" s="62">
        <f>N36-M36-G36-B36</f>
        <v>908</v>
      </c>
      <c r="D36" s="9">
        <v>0</v>
      </c>
      <c r="E36" s="9">
        <v>0</v>
      </c>
      <c r="F36" s="9">
        <v>0</v>
      </c>
      <c r="G36" s="62">
        <v>36700</v>
      </c>
      <c r="H36" s="9">
        <v>0</v>
      </c>
      <c r="I36" s="9"/>
      <c r="J36" s="9"/>
      <c r="K36" s="9"/>
      <c r="L36" s="9"/>
      <c r="M36" s="9">
        <v>69541</v>
      </c>
      <c r="N36" s="9">
        <v>118575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62">
        <f>B39-B36-B35-B33-B32</f>
        <v>63567</v>
      </c>
      <c r="C37" s="9">
        <v>30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51636</v>
      </c>
      <c r="N37" s="62">
        <f>SUM(B37:M37)</f>
        <v>115233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1748</v>
      </c>
      <c r="N38" s="9">
        <v>1748</v>
      </c>
      <c r="O38" s="17">
        <f>SUM(O31:O35)</f>
        <v>0.82459482100638537</v>
      </c>
      <c r="P38" s="17"/>
      <c r="Q38" s="3"/>
      <c r="R38" s="7" t="s">
        <v>51</v>
      </c>
      <c r="S38" s="19">
        <f>N45/1000</f>
        <v>46.015920000000001</v>
      </c>
      <c r="T38" s="7"/>
    </row>
    <row r="39" spans="1:47" ht="15">
      <c r="A39" s="5" t="s">
        <v>17</v>
      </c>
      <c r="B39" s="9">
        <v>96056</v>
      </c>
      <c r="C39" s="9">
        <v>228466</v>
      </c>
      <c r="D39" s="18">
        <f>D32</f>
        <v>26931</v>
      </c>
      <c r="E39" s="18">
        <f>E32</f>
        <v>566607</v>
      </c>
      <c r="F39" s="9">
        <v>20061</v>
      </c>
      <c r="G39" s="57">
        <f>SUM(G31:G38)</f>
        <v>36730</v>
      </c>
      <c r="H39" s="18">
        <f>H32</f>
        <v>18151</v>
      </c>
      <c r="I39" s="18"/>
      <c r="J39" s="18"/>
      <c r="K39" s="18"/>
      <c r="L39" s="9"/>
      <c r="M39" s="9">
        <v>349924</v>
      </c>
      <c r="N39" s="56">
        <f>SUM(N31:N38)</f>
        <v>1342925</v>
      </c>
      <c r="O39" s="3"/>
      <c r="P39" s="3"/>
      <c r="Q39" s="3"/>
      <c r="R39" s="7" t="s">
        <v>52</v>
      </c>
      <c r="S39" s="20">
        <f>N41/1000</f>
        <v>235.55600000000001</v>
      </c>
      <c r="T39" s="14">
        <f>O41</f>
        <v>0.17540517899361469</v>
      </c>
    </row>
    <row r="40" spans="1:47">
      <c r="N40" s="10"/>
      <c r="R40" s="7" t="s">
        <v>53</v>
      </c>
      <c r="S40" s="20">
        <f>N35/1000</f>
        <v>60.26</v>
      </c>
      <c r="T40" s="15">
        <f>O35</f>
        <v>4.4872200606884224E-2</v>
      </c>
    </row>
    <row r="41" spans="1:47" ht="15">
      <c r="A41" s="21" t="s">
        <v>54</v>
      </c>
      <c r="B41" s="22">
        <f>B38+B37+B36</f>
        <v>74993</v>
      </c>
      <c r="C41" s="22">
        <f t="shared" ref="C41:N41" si="0">C38+C37+C36</f>
        <v>938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36700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122925</v>
      </c>
      <c r="N41" s="22">
        <f t="shared" si="0"/>
        <v>235556</v>
      </c>
      <c r="O41" s="16">
        <f>N41/N$39</f>
        <v>0.17540517899361469</v>
      </c>
      <c r="P41" s="16" t="s">
        <v>55</v>
      </c>
      <c r="Q41" s="7"/>
      <c r="R41" s="7" t="s">
        <v>56</v>
      </c>
      <c r="S41" s="20">
        <f>N33/1000</f>
        <v>49.738999999999997</v>
      </c>
      <c r="T41" s="14">
        <f>O33</f>
        <v>3.7037809259638475E-2</v>
      </c>
    </row>
    <row r="42" spans="1:47" ht="15">
      <c r="A42" s="23" t="s">
        <v>57</v>
      </c>
      <c r="B42" s="22"/>
      <c r="C42" s="24">
        <f>C39+C23+C10</f>
        <v>228466</v>
      </c>
      <c r="D42" s="24">
        <f t="shared" ref="D42:L42" si="1">D39+D23+D10</f>
        <v>26931</v>
      </c>
      <c r="E42" s="24">
        <f t="shared" si="1"/>
        <v>580590</v>
      </c>
      <c r="F42" s="24">
        <f t="shared" si="1"/>
        <v>23956</v>
      </c>
      <c r="G42" s="24">
        <f t="shared" si="1"/>
        <v>51943</v>
      </c>
      <c r="H42" s="24">
        <f t="shared" si="1"/>
        <v>23266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354940.86</v>
      </c>
      <c r="N42" s="25">
        <f>SUM(C42:M42)</f>
        <v>1290092.8599999999</v>
      </c>
      <c r="O42" s="7"/>
      <c r="P42" s="7"/>
      <c r="Q42" s="7"/>
      <c r="R42" s="7" t="s">
        <v>37</v>
      </c>
      <c r="S42" s="20">
        <f>N31/1000</f>
        <v>27.097999999999999</v>
      </c>
      <c r="T42" s="14">
        <f>O31</f>
        <v>2.01783420518644E-2</v>
      </c>
    </row>
    <row r="43" spans="1:47" ht="15">
      <c r="A43" s="23" t="s">
        <v>58</v>
      </c>
      <c r="B43" s="22"/>
      <c r="C43" s="16">
        <f t="shared" ref="C43:M43" si="2">C42/$N42</f>
        <v>0.17709267842936519</v>
      </c>
      <c r="D43" s="16">
        <f t="shared" si="2"/>
        <v>2.0875241492306223E-2</v>
      </c>
      <c r="E43" s="16">
        <f t="shared" si="2"/>
        <v>0.45003737172841968</v>
      </c>
      <c r="F43" s="16">
        <f t="shared" si="2"/>
        <v>1.856920594072585E-2</v>
      </c>
      <c r="G43" s="16">
        <f t="shared" si="2"/>
        <v>4.0262993161593041E-2</v>
      </c>
      <c r="H43" s="16">
        <f t="shared" si="2"/>
        <v>1.803436072035931E-2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0.27512814852723083</v>
      </c>
      <c r="N43" s="16">
        <f>SUM(C43:M43)</f>
        <v>1.0000000000000002</v>
      </c>
      <c r="O43" s="7"/>
      <c r="P43" s="7"/>
      <c r="Q43" s="7"/>
      <c r="R43" s="7" t="s">
        <v>59</v>
      </c>
      <c r="S43" s="20">
        <f>N32/1000</f>
        <v>751.12099999999998</v>
      </c>
      <c r="T43" s="15">
        <f>O32</f>
        <v>0.55931716216467786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219.15100000000001</v>
      </c>
      <c r="T44" s="15">
        <f>O34</f>
        <v>0.16318930692332037</v>
      </c>
    </row>
    <row r="45" spans="1:47" ht="15">
      <c r="A45" s="6" t="s">
        <v>61</v>
      </c>
      <c r="B45" s="6">
        <f>B23-B39</f>
        <v>18022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27993.920000000002</v>
      </c>
      <c r="N45" s="25">
        <f>B45+M45</f>
        <v>46015.92</v>
      </c>
      <c r="O45" s="7"/>
      <c r="P45" s="7"/>
      <c r="Q45" s="7"/>
      <c r="R45" s="7" t="s">
        <v>62</v>
      </c>
      <c r="S45" s="20">
        <f>SUM(S39:S44)</f>
        <v>1342.925</v>
      </c>
      <c r="T45" s="14">
        <f>SUM(T39:T44)</f>
        <v>1</v>
      </c>
    </row>
    <row r="46" spans="1:47" ht="15">
      <c r="A46" s="9" t="s">
        <v>95</v>
      </c>
      <c r="B46" s="72">
        <f>B45/B23</f>
        <v>0.15797962797384246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8"/>
      <c r="F48" s="28"/>
      <c r="G48" s="27"/>
      <c r="H48" s="28"/>
      <c r="I48" s="28"/>
      <c r="J48" s="18"/>
      <c r="K48" s="28"/>
      <c r="L48" s="28"/>
      <c r="M48" s="9"/>
      <c r="N48" s="27"/>
      <c r="O48" s="27"/>
      <c r="P48" s="27"/>
      <c r="Q48" s="27"/>
      <c r="R48" s="4"/>
      <c r="S48" s="28"/>
      <c r="T48" s="28"/>
      <c r="U48" s="27"/>
      <c r="V48" s="27"/>
      <c r="W48" s="27"/>
      <c r="X48" s="28"/>
      <c r="Y48" s="27"/>
      <c r="Z48" s="27"/>
      <c r="AA48" s="27"/>
      <c r="AB48" s="27"/>
      <c r="AC48" s="27"/>
      <c r="AD48" s="27"/>
      <c r="AE48" s="28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8"/>
      <c r="D49" s="27"/>
      <c r="E49" s="27"/>
      <c r="F49" s="27"/>
      <c r="G49" s="27"/>
      <c r="H49" s="27"/>
      <c r="I49" s="27"/>
      <c r="J49" s="9"/>
      <c r="K49" s="27"/>
      <c r="L49" s="27"/>
      <c r="M49" s="27"/>
      <c r="N49" s="27"/>
      <c r="O49" s="28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8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8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7"/>
      <c r="Q53" s="27"/>
      <c r="R53" s="4"/>
      <c r="S53" s="28"/>
      <c r="T53" s="28"/>
      <c r="U53" s="27"/>
      <c r="V53" s="27"/>
      <c r="W53" s="27"/>
      <c r="X53" s="28"/>
      <c r="Y53" s="27"/>
      <c r="Z53" s="27"/>
      <c r="AA53" s="27"/>
      <c r="AB53" s="27"/>
      <c r="AC53" s="27"/>
      <c r="AD53" s="27"/>
      <c r="AE53" s="28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8"/>
      <c r="T54" s="28"/>
      <c r="U54" s="27"/>
      <c r="V54" s="27"/>
      <c r="W54" s="27"/>
      <c r="X54" s="28"/>
      <c r="Y54" s="27"/>
      <c r="Z54" s="27"/>
      <c r="AA54" s="27"/>
      <c r="AB54" s="27"/>
      <c r="AC54" s="27"/>
      <c r="AD54" s="27"/>
      <c r="AE54" s="28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8"/>
      <c r="F55" s="28"/>
      <c r="G55" s="27"/>
      <c r="H55" s="28"/>
      <c r="I55" s="28"/>
      <c r="J55" s="28"/>
      <c r="K55" s="28"/>
      <c r="L55" s="28"/>
      <c r="M55" s="27"/>
      <c r="N55" s="27"/>
      <c r="O55" s="27"/>
      <c r="P55" s="27"/>
      <c r="Q55" s="27"/>
      <c r="R55" s="4"/>
      <c r="S55" s="28"/>
      <c r="T55" s="28"/>
      <c r="U55" s="27"/>
      <c r="V55" s="27"/>
      <c r="W55" s="27"/>
      <c r="X55" s="28"/>
      <c r="Y55" s="27"/>
      <c r="Z55" s="27"/>
      <c r="AA55" s="27"/>
      <c r="AB55" s="27"/>
      <c r="AC55" s="27"/>
      <c r="AD55" s="27"/>
      <c r="AE55" s="28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8"/>
      <c r="F56" s="28"/>
      <c r="G56" s="27"/>
      <c r="H56" s="28"/>
      <c r="I56" s="28"/>
      <c r="J56" s="28"/>
      <c r="K56" s="28"/>
      <c r="L56" s="28"/>
      <c r="M56" s="27"/>
      <c r="N56" s="27"/>
      <c r="O56" s="27"/>
      <c r="P56" s="27"/>
      <c r="Q56" s="27"/>
      <c r="R56" s="4"/>
      <c r="S56" s="28"/>
      <c r="T56" s="28"/>
      <c r="U56" s="27"/>
      <c r="V56" s="27"/>
      <c r="W56" s="27"/>
      <c r="X56" s="28"/>
      <c r="Y56" s="27"/>
      <c r="Z56" s="27"/>
      <c r="AA56" s="27"/>
      <c r="AB56" s="27"/>
      <c r="AC56" s="27"/>
      <c r="AD56" s="27"/>
      <c r="AE56" s="28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/>
  <dimension ref="A1:AU70"/>
  <sheetViews>
    <sheetView topLeftCell="A17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89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59408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59408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89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129671</v>
      </c>
      <c r="C18" s="9">
        <v>3662</v>
      </c>
      <c r="D18" s="9">
        <v>0</v>
      </c>
      <c r="E18" s="9">
        <v>0</v>
      </c>
      <c r="F18" s="9">
        <v>0</v>
      </c>
      <c r="G18" s="9">
        <v>132236</v>
      </c>
      <c r="H18" s="9">
        <v>3125</v>
      </c>
      <c r="I18" s="9"/>
      <c r="J18" s="9"/>
      <c r="K18" s="9"/>
      <c r="L18" s="9"/>
      <c r="M18" s="9"/>
      <c r="N18" s="9">
        <v>139022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26310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155981</v>
      </c>
      <c r="C23" s="9">
        <v>3662</v>
      </c>
      <c r="D23" s="9">
        <v>0</v>
      </c>
      <c r="E23" s="9">
        <v>0</v>
      </c>
      <c r="F23" s="9">
        <v>0</v>
      </c>
      <c r="G23" s="9">
        <v>132236</v>
      </c>
      <c r="H23" s="9">
        <v>3125</v>
      </c>
      <c r="I23" s="9"/>
      <c r="J23" s="9"/>
      <c r="K23" s="9"/>
      <c r="L23" s="9"/>
      <c r="M23" s="9"/>
      <c r="N23" s="9">
        <v>139022</v>
      </c>
      <c r="O23" s="3"/>
      <c r="P23" s="3"/>
      <c r="Q23" s="3"/>
      <c r="R23" s="3" t="s">
        <v>27</v>
      </c>
      <c r="S23" s="12">
        <f>N42/1000</f>
        <v>733.26815999999997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314.06615999999997</v>
      </c>
      <c r="T26" s="14">
        <f>M43</f>
        <v>0.42831010145047071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153.62</v>
      </c>
      <c r="T27" s="15">
        <f>G43</f>
        <v>0.20950043705702429</v>
      </c>
    </row>
    <row r="28" spans="1:20" ht="15">
      <c r="A28" s="4" t="s">
        <v>89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21.274000000000001</v>
      </c>
      <c r="T29" s="14">
        <f>F43</f>
        <v>2.9012578426970023E-2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8.532</v>
      </c>
      <c r="T30" s="14">
        <f>E43</f>
        <v>1.1635579540232595E-2</v>
      </c>
    </row>
    <row r="31" spans="1:20" ht="15">
      <c r="A31" s="5" t="s">
        <v>36</v>
      </c>
      <c r="B31" s="9">
        <v>0</v>
      </c>
      <c r="C31" s="9">
        <v>23256</v>
      </c>
      <c r="D31" s="9">
        <v>0</v>
      </c>
      <c r="E31" s="9">
        <v>0</v>
      </c>
      <c r="F31" s="9">
        <v>2464</v>
      </c>
      <c r="G31" s="9">
        <v>0</v>
      </c>
      <c r="H31" s="9">
        <v>0</v>
      </c>
      <c r="I31" s="9"/>
      <c r="J31" s="9"/>
      <c r="K31" s="9"/>
      <c r="L31" s="9"/>
      <c r="M31" s="9">
        <v>25539</v>
      </c>
      <c r="N31" s="9">
        <v>51259</v>
      </c>
      <c r="O31" s="16">
        <f>N31/N$39</f>
        <v>7.2374979173785228E-2</v>
      </c>
      <c r="P31" s="17" t="s">
        <v>37</v>
      </c>
      <c r="Q31" s="3"/>
      <c r="R31" s="3" t="s">
        <v>38</v>
      </c>
      <c r="S31" s="13">
        <f>C42/1000</f>
        <v>232.65100000000001</v>
      </c>
      <c r="T31" s="15">
        <f>C43</f>
        <v>0.31727956113626976</v>
      </c>
    </row>
    <row r="32" spans="1:20" ht="15">
      <c r="A32" s="5" t="s">
        <v>39</v>
      </c>
      <c r="B32" s="9">
        <v>5975</v>
      </c>
      <c r="C32" s="9">
        <v>4636</v>
      </c>
      <c r="D32" s="9">
        <v>0</v>
      </c>
      <c r="E32" s="62">
        <v>8532</v>
      </c>
      <c r="F32" s="9">
        <v>369</v>
      </c>
      <c r="G32" s="62">
        <f>N32-M32-F32-E32-C32-B32</f>
        <v>1689</v>
      </c>
      <c r="H32" s="9">
        <v>0</v>
      </c>
      <c r="I32" s="9"/>
      <c r="J32" s="9"/>
      <c r="K32" s="9"/>
      <c r="L32" s="9"/>
      <c r="M32" s="9">
        <v>42934</v>
      </c>
      <c r="N32" s="9">
        <v>64135</v>
      </c>
      <c r="O32" s="16">
        <f>N32/N$39</f>
        <v>9.0555205706524047E-2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28445</v>
      </c>
      <c r="C33" s="9">
        <v>123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32636</v>
      </c>
      <c r="N33" s="9">
        <v>61204</v>
      </c>
      <c r="O33" s="16">
        <f>N33/N$39</f>
        <v>8.6416789741359593E-2</v>
      </c>
      <c r="P33" s="17" t="s">
        <v>43</v>
      </c>
      <c r="Q33" s="3"/>
      <c r="R33" s="3" t="s">
        <v>7</v>
      </c>
      <c r="S33" s="13">
        <f>H42/1000</f>
        <v>3.125</v>
      </c>
      <c r="T33" s="14">
        <f>H43</f>
        <v>4.2617423890326843E-3</v>
      </c>
    </row>
    <row r="34" spans="1:47" ht="15">
      <c r="A34" s="5" t="s">
        <v>44</v>
      </c>
      <c r="B34" s="9">
        <v>0</v>
      </c>
      <c r="C34" s="9">
        <v>199406</v>
      </c>
      <c r="D34" s="9">
        <v>0</v>
      </c>
      <c r="E34" s="9">
        <v>0</v>
      </c>
      <c r="F34" s="9">
        <v>18442</v>
      </c>
      <c r="G34" s="9">
        <v>0</v>
      </c>
      <c r="H34" s="9">
        <v>0</v>
      </c>
      <c r="I34" s="9"/>
      <c r="J34" s="9"/>
      <c r="K34" s="9"/>
      <c r="L34" s="9"/>
      <c r="M34" s="9">
        <v>478</v>
      </c>
      <c r="N34" s="9">
        <v>218326</v>
      </c>
      <c r="O34" s="16">
        <f>N34/N$39</f>
        <v>0.30826468918815886</v>
      </c>
      <c r="P34" s="17" t="s">
        <v>45</v>
      </c>
      <c r="Q34" s="3"/>
      <c r="R34" s="3"/>
      <c r="S34" s="13">
        <f>SUM(S26:S33)</f>
        <v>733.26815999999997</v>
      </c>
      <c r="T34" s="14">
        <f>SUM(T26:T33)</f>
        <v>1.0000000000000002</v>
      </c>
    </row>
    <row r="35" spans="1:47" ht="15">
      <c r="A35" s="5" t="s">
        <v>46</v>
      </c>
      <c r="B35" s="9">
        <v>3844</v>
      </c>
      <c r="C35" s="9">
        <v>438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46473</v>
      </c>
      <c r="N35" s="9">
        <v>50755</v>
      </c>
      <c r="O35" s="16">
        <f>N35/N$39</f>
        <v>7.1663358004749794E-2</v>
      </c>
      <c r="P35" s="17" t="s">
        <v>47</v>
      </c>
      <c r="Q35" s="17"/>
    </row>
    <row r="36" spans="1:47" ht="15">
      <c r="A36" s="5" t="s">
        <v>48</v>
      </c>
      <c r="B36" s="9">
        <v>24131</v>
      </c>
      <c r="C36" s="9">
        <v>811</v>
      </c>
      <c r="D36" s="9">
        <v>0</v>
      </c>
      <c r="E36" s="9">
        <v>0</v>
      </c>
      <c r="F36" s="9">
        <v>0</v>
      </c>
      <c r="G36" s="9">
        <v>19695</v>
      </c>
      <c r="H36" s="9">
        <v>0</v>
      </c>
      <c r="I36" s="9"/>
      <c r="J36" s="9"/>
      <c r="K36" s="9"/>
      <c r="L36" s="9"/>
      <c r="M36" s="9">
        <v>112540</v>
      </c>
      <c r="N36" s="9">
        <v>157177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74866</v>
      </c>
      <c r="C37" s="9">
        <v>318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16485</v>
      </c>
      <c r="N37" s="9">
        <v>91669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13717</v>
      </c>
      <c r="N38" s="9">
        <v>13717</v>
      </c>
      <c r="O38" s="17">
        <f>SUM(O31:O35)</f>
        <v>0.62927502181457751</v>
      </c>
      <c r="P38" s="17"/>
      <c r="Q38" s="3"/>
      <c r="R38" s="7" t="s">
        <v>51</v>
      </c>
      <c r="S38" s="19">
        <f>N45/1000</f>
        <v>41.984160000000003</v>
      </c>
      <c r="T38" s="7"/>
    </row>
    <row r="39" spans="1:47" ht="15">
      <c r="A39" s="5" t="s">
        <v>17</v>
      </c>
      <c r="B39" s="9">
        <v>137261</v>
      </c>
      <c r="C39" s="9">
        <v>228989</v>
      </c>
      <c r="D39" s="9">
        <v>0</v>
      </c>
      <c r="E39" s="57">
        <f>E32</f>
        <v>8532</v>
      </c>
      <c r="F39" s="9">
        <v>21274</v>
      </c>
      <c r="G39" s="57">
        <f>SUM(G31:G38)</f>
        <v>21384</v>
      </c>
      <c r="H39" s="9">
        <v>0</v>
      </c>
      <c r="I39" s="9"/>
      <c r="J39" s="9"/>
      <c r="K39" s="9"/>
      <c r="L39" s="9"/>
      <c r="M39" s="9">
        <v>290802</v>
      </c>
      <c r="N39" s="9">
        <v>708242</v>
      </c>
      <c r="O39" s="3"/>
      <c r="P39" s="3"/>
      <c r="Q39" s="3"/>
      <c r="R39" s="7" t="s">
        <v>52</v>
      </c>
      <c r="S39" s="20">
        <f>N41/1000</f>
        <v>262.56299999999999</v>
      </c>
      <c r="T39" s="14">
        <f>O41</f>
        <v>0.37072497818542249</v>
      </c>
    </row>
    <row r="40" spans="1:47">
      <c r="R40" s="7" t="s">
        <v>53</v>
      </c>
      <c r="S40" s="20">
        <f>N35/1000</f>
        <v>50.755000000000003</v>
      </c>
      <c r="T40" s="15">
        <f>O35</f>
        <v>7.1663358004749794E-2</v>
      </c>
    </row>
    <row r="41" spans="1:47" ht="15">
      <c r="A41" s="21" t="s">
        <v>54</v>
      </c>
      <c r="B41" s="22">
        <f>B38+B37+B36</f>
        <v>98997</v>
      </c>
      <c r="C41" s="22">
        <f t="shared" ref="C41:N41" si="0">C38+C37+C36</f>
        <v>1129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19695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142742</v>
      </c>
      <c r="N41" s="22">
        <f t="shared" si="0"/>
        <v>262563</v>
      </c>
      <c r="O41" s="16">
        <f>N41/N$39</f>
        <v>0.37072497818542249</v>
      </c>
      <c r="P41" s="16" t="s">
        <v>55</v>
      </c>
      <c r="Q41" s="7"/>
      <c r="R41" s="7" t="s">
        <v>56</v>
      </c>
      <c r="S41" s="20">
        <f>N33/1000</f>
        <v>61.204000000000001</v>
      </c>
      <c r="T41" s="14">
        <f>O33</f>
        <v>8.6416789741359593E-2</v>
      </c>
    </row>
    <row r="42" spans="1:47" ht="15">
      <c r="A42" s="23" t="s">
        <v>57</v>
      </c>
      <c r="B42" s="22"/>
      <c r="C42" s="24">
        <f>C39+C23+C10</f>
        <v>232651</v>
      </c>
      <c r="D42" s="24">
        <f t="shared" ref="D42:L42" si="1">D39+D23+D10</f>
        <v>0</v>
      </c>
      <c r="E42" s="24">
        <f t="shared" si="1"/>
        <v>8532</v>
      </c>
      <c r="F42" s="24">
        <f t="shared" si="1"/>
        <v>21274</v>
      </c>
      <c r="G42" s="24">
        <f t="shared" si="1"/>
        <v>153620</v>
      </c>
      <c r="H42" s="24">
        <f t="shared" si="1"/>
        <v>3125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314066.15999999997</v>
      </c>
      <c r="N42" s="25">
        <f>SUM(C42:M42)</f>
        <v>733268.15999999992</v>
      </c>
      <c r="O42" s="7"/>
      <c r="P42" s="7"/>
      <c r="Q42" s="7"/>
      <c r="R42" s="7" t="s">
        <v>37</v>
      </c>
      <c r="S42" s="20">
        <f>N31/1000</f>
        <v>51.259</v>
      </c>
      <c r="T42" s="14">
        <f>O31</f>
        <v>7.2374979173785228E-2</v>
      </c>
    </row>
    <row r="43" spans="1:47" ht="15">
      <c r="A43" s="23" t="s">
        <v>58</v>
      </c>
      <c r="B43" s="22"/>
      <c r="C43" s="16">
        <f t="shared" ref="C43:M43" si="2">C42/$N42</f>
        <v>0.31727956113626976</v>
      </c>
      <c r="D43" s="16">
        <f t="shared" si="2"/>
        <v>0</v>
      </c>
      <c r="E43" s="16">
        <f t="shared" si="2"/>
        <v>1.1635579540232595E-2</v>
      </c>
      <c r="F43" s="16">
        <f t="shared" si="2"/>
        <v>2.9012578426970023E-2</v>
      </c>
      <c r="G43" s="16">
        <f t="shared" si="2"/>
        <v>0.20950043705702429</v>
      </c>
      <c r="H43" s="16">
        <f t="shared" si="2"/>
        <v>4.2617423890326843E-3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0.42831010145047071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64.135000000000005</v>
      </c>
      <c r="T43" s="15">
        <f>O32</f>
        <v>9.0555205706524047E-2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218.32599999999999</v>
      </c>
      <c r="T44" s="15">
        <f>O34</f>
        <v>0.30826468918815886</v>
      </c>
    </row>
    <row r="45" spans="1:47" ht="15">
      <c r="A45" s="6" t="s">
        <v>61</v>
      </c>
      <c r="B45" s="6">
        <f>B23-B39</f>
        <v>18720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23264.16</v>
      </c>
      <c r="N45" s="25">
        <f>B45+M45</f>
        <v>41984.160000000003</v>
      </c>
      <c r="O45" s="7"/>
      <c r="P45" s="7"/>
      <c r="Q45" s="7"/>
      <c r="R45" s="7" t="s">
        <v>62</v>
      </c>
      <c r="S45" s="20">
        <f>SUM(S39:S44)</f>
        <v>708.24199999999996</v>
      </c>
      <c r="T45" s="14">
        <f>SUM(T39:T44)</f>
        <v>1</v>
      </c>
    </row>
    <row r="46" spans="1:47" ht="15">
      <c r="A46" s="9" t="s">
        <v>95</v>
      </c>
      <c r="B46" s="72">
        <f>B45/B23</f>
        <v>0.12001461716491112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 enableFormatConditionsCalculation="0"/>
  <dimension ref="A1:AU70"/>
  <sheetViews>
    <sheetView topLeftCell="A11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9547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57">
        <v>9547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29418</v>
      </c>
      <c r="C18" s="9">
        <v>0</v>
      </c>
      <c r="D18" s="9">
        <v>0</v>
      </c>
      <c r="E18" s="9">
        <v>3531</v>
      </c>
      <c r="F18" s="9">
        <v>0</v>
      </c>
      <c r="G18" s="9">
        <v>26720</v>
      </c>
      <c r="H18" s="9">
        <v>0</v>
      </c>
      <c r="I18" s="9"/>
      <c r="J18" s="9"/>
      <c r="K18" s="9"/>
      <c r="L18" s="9"/>
      <c r="M18" s="9"/>
      <c r="N18" s="9">
        <v>30251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29418</v>
      </c>
      <c r="C23" s="9">
        <v>0</v>
      </c>
      <c r="D23" s="9">
        <v>0</v>
      </c>
      <c r="E23" s="9">
        <v>3531</v>
      </c>
      <c r="F23" s="9">
        <v>0</v>
      </c>
      <c r="G23" s="9">
        <v>26720</v>
      </c>
      <c r="H23" s="9">
        <v>0</v>
      </c>
      <c r="I23" s="9"/>
      <c r="J23" s="9"/>
      <c r="K23" s="9"/>
      <c r="L23" s="9"/>
      <c r="M23" s="9"/>
      <c r="N23" s="9">
        <v>30251</v>
      </c>
      <c r="O23" s="3"/>
      <c r="P23" s="3"/>
      <c r="Q23" s="3"/>
      <c r="R23" s="3" t="s">
        <v>27</v>
      </c>
      <c r="S23" s="12">
        <f>N42/1000</f>
        <v>409.71795999999995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193.81896</v>
      </c>
      <c r="T26" s="14">
        <f>M43</f>
        <v>0.47305458613530149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32.408999999999999</v>
      </c>
      <c r="T27" s="15">
        <f>G43</f>
        <v>7.9100755065753051E-2</v>
      </c>
    </row>
    <row r="28" spans="1:20" ht="15">
      <c r="A28" s="4" t="s">
        <v>63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14.846</v>
      </c>
      <c r="T29" s="14">
        <f>F43</f>
        <v>3.6234682023702357E-2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6.5910000000000002</v>
      </c>
      <c r="T30" s="14">
        <f>E43</f>
        <v>1.6086675819629682E-2</v>
      </c>
    </row>
    <row r="31" spans="1:20" ht="15">
      <c r="A31" s="5" t="s">
        <v>36</v>
      </c>
      <c r="B31" s="9">
        <v>0</v>
      </c>
      <c r="C31" s="9">
        <v>9703</v>
      </c>
      <c r="D31" s="9">
        <v>0</v>
      </c>
      <c r="E31" s="9">
        <v>0</v>
      </c>
      <c r="F31" s="9">
        <v>1012</v>
      </c>
      <c r="G31" s="9">
        <v>0</v>
      </c>
      <c r="H31" s="9">
        <v>0</v>
      </c>
      <c r="I31" s="9"/>
      <c r="J31" s="9"/>
      <c r="K31" s="9"/>
      <c r="L31" s="9"/>
      <c r="M31" s="9">
        <v>6598</v>
      </c>
      <c r="N31" s="9">
        <v>17313</v>
      </c>
      <c r="O31" s="16">
        <f>N31/N$39</f>
        <v>4.4342961934667573E-2</v>
      </c>
      <c r="P31" s="17" t="s">
        <v>37</v>
      </c>
      <c r="Q31" s="3"/>
      <c r="R31" s="3" t="s">
        <v>38</v>
      </c>
      <c r="S31" s="13">
        <f>C42/1000</f>
        <v>162.053</v>
      </c>
      <c r="T31" s="15">
        <f>C43</f>
        <v>0.3955233009556135</v>
      </c>
    </row>
    <row r="32" spans="1:20" ht="15">
      <c r="A32" s="5" t="s">
        <v>39</v>
      </c>
      <c r="B32" s="9">
        <v>0</v>
      </c>
      <c r="C32" s="9">
        <v>3012</v>
      </c>
      <c r="D32" s="9">
        <v>0</v>
      </c>
      <c r="E32" s="9">
        <v>3060</v>
      </c>
      <c r="F32" s="9">
        <v>256</v>
      </c>
      <c r="G32" s="9">
        <v>0</v>
      </c>
      <c r="H32" s="9">
        <v>0</v>
      </c>
      <c r="I32" s="9"/>
      <c r="J32" s="9"/>
      <c r="K32" s="9"/>
      <c r="L32" s="9"/>
      <c r="M32" s="9">
        <v>20219</v>
      </c>
      <c r="N32" s="9">
        <v>26548</v>
      </c>
      <c r="O32" s="16">
        <f>N32/N$39</f>
        <v>6.7996127386446878E-2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4429</v>
      </c>
      <c r="C33" s="9">
        <v>139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12617</v>
      </c>
      <c r="N33" s="9">
        <v>17185</v>
      </c>
      <c r="O33" s="16">
        <f>N33/N$39</f>
        <v>4.4015121633874096E-2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147771</v>
      </c>
      <c r="D34" s="9">
        <v>0</v>
      </c>
      <c r="E34" s="9">
        <v>0</v>
      </c>
      <c r="F34" s="9">
        <v>13578</v>
      </c>
      <c r="G34" s="9">
        <v>0</v>
      </c>
      <c r="H34" s="9">
        <v>0</v>
      </c>
      <c r="I34" s="9"/>
      <c r="J34" s="9"/>
      <c r="K34" s="9"/>
      <c r="L34" s="9"/>
      <c r="M34" s="9">
        <v>29</v>
      </c>
      <c r="N34" s="9">
        <v>161378</v>
      </c>
      <c r="O34" s="16">
        <f>N34/N$39</f>
        <v>0.41332978173007473</v>
      </c>
      <c r="P34" s="17" t="s">
        <v>45</v>
      </c>
      <c r="Q34" s="3"/>
      <c r="R34" s="3"/>
      <c r="S34" s="13">
        <f>SUM(S26:S33)</f>
        <v>409.71796000000001</v>
      </c>
      <c r="T34" s="14">
        <f>SUM(T26:T33)</f>
        <v>1</v>
      </c>
    </row>
    <row r="35" spans="1:47" ht="15">
      <c r="A35" s="5" t="s">
        <v>46</v>
      </c>
      <c r="B35" s="9">
        <v>1453</v>
      </c>
      <c r="C35" s="9">
        <v>465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37301</v>
      </c>
      <c r="N35" s="9">
        <v>39219</v>
      </c>
      <c r="O35" s="16">
        <f>N35/N$39</f>
        <v>0.10044975591265105</v>
      </c>
      <c r="P35" s="17" t="s">
        <v>47</v>
      </c>
      <c r="Q35" s="17"/>
    </row>
    <row r="36" spans="1:47" ht="15">
      <c r="A36" s="5" t="s">
        <v>48</v>
      </c>
      <c r="B36" s="9">
        <v>5067</v>
      </c>
      <c r="C36" s="9">
        <v>943</v>
      </c>
      <c r="D36" s="9">
        <v>0</v>
      </c>
      <c r="E36" s="9">
        <v>0</v>
      </c>
      <c r="F36" s="9">
        <v>0</v>
      </c>
      <c r="G36" s="9">
        <v>5689</v>
      </c>
      <c r="H36" s="9">
        <v>0</v>
      </c>
      <c r="I36" s="9"/>
      <c r="J36" s="9"/>
      <c r="K36" s="9"/>
      <c r="L36" s="9"/>
      <c r="M36" s="9">
        <v>92298</v>
      </c>
      <c r="N36" s="9">
        <v>103997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14375</v>
      </c>
      <c r="C37" s="9">
        <v>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10349</v>
      </c>
      <c r="N37" s="9">
        <v>24744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51</v>
      </c>
      <c r="N38" s="9">
        <v>51</v>
      </c>
      <c r="O38" s="17">
        <f>SUM(O31:O35)</f>
        <v>0.67013374859771424</v>
      </c>
      <c r="P38" s="17"/>
      <c r="Q38" s="3"/>
      <c r="R38" s="7" t="s">
        <v>51</v>
      </c>
      <c r="S38" s="19">
        <f>N45/1000</f>
        <v>18.450959999999998</v>
      </c>
      <c r="T38" s="7"/>
    </row>
    <row r="39" spans="1:47" ht="15">
      <c r="A39" s="5" t="s">
        <v>17</v>
      </c>
      <c r="B39" s="9">
        <v>25324</v>
      </c>
      <c r="C39" s="9">
        <v>162053</v>
      </c>
      <c r="D39" s="9">
        <v>0</v>
      </c>
      <c r="E39" s="9">
        <v>3060</v>
      </c>
      <c r="F39" s="9">
        <v>14846</v>
      </c>
      <c r="G39" s="9">
        <v>5689</v>
      </c>
      <c r="H39" s="9">
        <v>0</v>
      </c>
      <c r="I39" s="9"/>
      <c r="J39" s="9"/>
      <c r="K39" s="9"/>
      <c r="L39" s="9"/>
      <c r="M39" s="9">
        <v>179462</v>
      </c>
      <c r="N39" s="9">
        <v>390434</v>
      </c>
      <c r="O39" s="3"/>
      <c r="P39" s="3"/>
      <c r="Q39" s="3"/>
      <c r="R39" s="7" t="s">
        <v>52</v>
      </c>
      <c r="S39" s="20">
        <f>N41/1000</f>
        <v>128.792</v>
      </c>
      <c r="T39" s="14">
        <f>O41</f>
        <v>0.32986881265463563</v>
      </c>
    </row>
    <row r="40" spans="1:47">
      <c r="R40" s="7" t="s">
        <v>53</v>
      </c>
      <c r="S40" s="20">
        <f>N35/1000</f>
        <v>39.219000000000001</v>
      </c>
      <c r="T40" s="15">
        <f>O35</f>
        <v>0.10044975591265105</v>
      </c>
    </row>
    <row r="41" spans="1:47" ht="15">
      <c r="A41" s="21" t="s">
        <v>54</v>
      </c>
      <c r="B41" s="22">
        <f>B38+B37+B36</f>
        <v>19442</v>
      </c>
      <c r="C41" s="22">
        <f t="shared" ref="C41:N41" si="0">C38+C37+C36</f>
        <v>963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5689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102698</v>
      </c>
      <c r="N41" s="22">
        <f t="shared" si="0"/>
        <v>128792</v>
      </c>
      <c r="O41" s="16">
        <f>N41/N$39</f>
        <v>0.32986881265463563</v>
      </c>
      <c r="P41" s="16" t="s">
        <v>55</v>
      </c>
      <c r="Q41" s="7"/>
      <c r="R41" s="7" t="s">
        <v>56</v>
      </c>
      <c r="S41" s="20">
        <f>N33/1000</f>
        <v>17.184999999999999</v>
      </c>
      <c r="T41" s="14">
        <f>O33</f>
        <v>4.4015121633874096E-2</v>
      </c>
    </row>
    <row r="42" spans="1:47" ht="15">
      <c r="A42" s="23" t="s">
        <v>57</v>
      </c>
      <c r="B42" s="22"/>
      <c r="C42" s="24">
        <f>C39+C23+C10</f>
        <v>162053</v>
      </c>
      <c r="D42" s="24">
        <f t="shared" ref="D42:L42" si="1">D39+D23+D10</f>
        <v>0</v>
      </c>
      <c r="E42" s="24">
        <f t="shared" si="1"/>
        <v>6591</v>
      </c>
      <c r="F42" s="24">
        <f t="shared" si="1"/>
        <v>14846</v>
      </c>
      <c r="G42" s="24">
        <f t="shared" si="1"/>
        <v>32409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193818.96</v>
      </c>
      <c r="N42" s="25">
        <f>SUM(C42:M42)</f>
        <v>409717.95999999996</v>
      </c>
      <c r="O42" s="7"/>
      <c r="P42" s="7"/>
      <c r="Q42" s="7"/>
      <c r="R42" s="7" t="s">
        <v>37</v>
      </c>
      <c r="S42" s="20">
        <f>N31/1000</f>
        <v>17.312999999999999</v>
      </c>
      <c r="T42" s="14">
        <f>O31</f>
        <v>4.4342961934667573E-2</v>
      </c>
    </row>
    <row r="43" spans="1:47" ht="15">
      <c r="A43" s="23" t="s">
        <v>58</v>
      </c>
      <c r="B43" s="22"/>
      <c r="C43" s="16">
        <f t="shared" ref="C43:M43" si="2">C42/$N42</f>
        <v>0.3955233009556135</v>
      </c>
      <c r="D43" s="16">
        <f t="shared" si="2"/>
        <v>0</v>
      </c>
      <c r="E43" s="16">
        <f t="shared" si="2"/>
        <v>1.6086675819629682E-2</v>
      </c>
      <c r="F43" s="16">
        <f t="shared" si="2"/>
        <v>3.6234682023702357E-2</v>
      </c>
      <c r="G43" s="16">
        <f t="shared" si="2"/>
        <v>7.9100755065753051E-2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0.47305458613530149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26.547999999999998</v>
      </c>
      <c r="T43" s="15">
        <f>O32</f>
        <v>6.7996127386446878E-2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161.37799999999999</v>
      </c>
      <c r="T44" s="15">
        <f>O34</f>
        <v>0.41332978173007473</v>
      </c>
    </row>
    <row r="45" spans="1:47" ht="15">
      <c r="A45" s="6" t="s">
        <v>61</v>
      </c>
      <c r="B45" s="6">
        <f>B23-B39</f>
        <v>4094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14356.960000000001</v>
      </c>
      <c r="N45" s="25">
        <f>B45+M45</f>
        <v>18450.96</v>
      </c>
      <c r="O45" s="7"/>
      <c r="P45" s="7"/>
      <c r="Q45" s="7"/>
      <c r="R45" s="7" t="s">
        <v>62</v>
      </c>
      <c r="S45" s="20">
        <f>SUM(S39:S44)</f>
        <v>390.43499999999995</v>
      </c>
      <c r="T45" s="14">
        <f>SUM(T39:T44)</f>
        <v>1.00000256125235</v>
      </c>
    </row>
    <row r="46" spans="1:47" ht="15">
      <c r="A46" s="6" t="s">
        <v>95</v>
      </c>
      <c r="B46" s="68">
        <f>B45/B23</f>
        <v>0.13916649670269904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/>
  <dimension ref="A1:AU70"/>
  <sheetViews>
    <sheetView topLeftCell="A19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90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71119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71119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90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96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51">
        <f>88829+10754</f>
        <v>99583</v>
      </c>
      <c r="C18" s="56">
        <f>633/90*100</f>
        <v>703.33333333333337</v>
      </c>
      <c r="D18" s="9">
        <v>0</v>
      </c>
      <c r="E18" s="56">
        <f>258/90*100</f>
        <v>286.66666666666669</v>
      </c>
      <c r="F18" s="9">
        <v>0</v>
      </c>
      <c r="G18" s="56">
        <f>83037/90*100</f>
        <v>92263.333333333328</v>
      </c>
      <c r="H18" s="56">
        <f>4901/90*100</f>
        <v>5445.5555555555557</v>
      </c>
      <c r="I18" s="9"/>
      <c r="J18" s="9"/>
      <c r="K18" s="9"/>
      <c r="L18" s="9"/>
      <c r="M18" s="9"/>
      <c r="N18" s="56">
        <f>SUM(C18:M18)</f>
        <v>98698.888888888891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47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1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56">
        <f>B22+B18</f>
        <v>99583</v>
      </c>
      <c r="C23" s="56">
        <f>C18</f>
        <v>703.33333333333337</v>
      </c>
      <c r="D23" s="43">
        <f t="shared" ref="D23:H23" si="0">D18</f>
        <v>0</v>
      </c>
      <c r="E23" s="56">
        <f t="shared" si="0"/>
        <v>286.66666666666669</v>
      </c>
      <c r="F23" s="43">
        <f t="shared" si="0"/>
        <v>0</v>
      </c>
      <c r="G23" s="56">
        <f t="shared" si="0"/>
        <v>92263.333333333328</v>
      </c>
      <c r="H23" s="56">
        <f t="shared" si="0"/>
        <v>5445.5555555555557</v>
      </c>
      <c r="I23" s="9"/>
      <c r="J23" s="9"/>
      <c r="K23" s="9"/>
      <c r="L23" s="9"/>
      <c r="M23" s="9"/>
      <c r="N23" s="9">
        <f>N18</f>
        <v>98698.888888888891</v>
      </c>
      <c r="O23" s="3"/>
      <c r="P23" s="3"/>
      <c r="Q23" s="3"/>
      <c r="R23" s="3" t="s">
        <v>27</v>
      </c>
      <c r="S23" s="12">
        <f>N42/1000</f>
        <v>989.20588888888881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442.42200000000003</v>
      </c>
      <c r="T26" s="14">
        <f>M43</f>
        <v>0.44724966255199322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131.24333333333331</v>
      </c>
      <c r="T27" s="15">
        <f>G43</f>
        <v>0.13267544684833052</v>
      </c>
    </row>
    <row r="28" spans="1:20" ht="15">
      <c r="A28" s="4" t="s">
        <v>90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29.704000000000001</v>
      </c>
      <c r="T29" s="14">
        <f>F43</f>
        <v>3.0028126938634169E-2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27.216666666666669</v>
      </c>
      <c r="T30" s="14">
        <f>E43</f>
        <v>2.7513652084337464E-2</v>
      </c>
    </row>
    <row r="31" spans="1:20" ht="15">
      <c r="A31" s="5" t="s">
        <v>36</v>
      </c>
      <c r="B31" s="9">
        <v>0</v>
      </c>
      <c r="C31" s="9">
        <v>32745</v>
      </c>
      <c r="D31" s="9">
        <v>0</v>
      </c>
      <c r="E31" s="9">
        <v>0</v>
      </c>
      <c r="F31" s="9">
        <v>3193</v>
      </c>
      <c r="G31" s="9">
        <v>0</v>
      </c>
      <c r="H31" s="9">
        <v>0</v>
      </c>
      <c r="I31" s="9"/>
      <c r="J31" s="9"/>
      <c r="K31" s="9"/>
      <c r="L31" s="9"/>
      <c r="M31" s="9">
        <v>25702</v>
      </c>
      <c r="N31" s="9">
        <v>61640</v>
      </c>
      <c r="O31" s="16">
        <f>N31/N$39</f>
        <v>6.5231516855002739E-2</v>
      </c>
      <c r="P31" s="17" t="s">
        <v>37</v>
      </c>
      <c r="Q31" s="3"/>
      <c r="R31" s="3" t="s">
        <v>38</v>
      </c>
      <c r="S31" s="13">
        <f>C42/1000</f>
        <v>353.17433333333332</v>
      </c>
      <c r="T31" s="15">
        <f>C43</f>
        <v>0.35702813468895872</v>
      </c>
    </row>
    <row r="32" spans="1:20" ht="15">
      <c r="A32" s="5" t="s">
        <v>39</v>
      </c>
      <c r="B32" s="9">
        <v>1187</v>
      </c>
      <c r="C32" s="9">
        <v>5680</v>
      </c>
      <c r="D32" s="9">
        <v>0</v>
      </c>
      <c r="E32" s="9">
        <v>26930</v>
      </c>
      <c r="F32" s="9">
        <v>89</v>
      </c>
      <c r="G32" s="9">
        <v>0</v>
      </c>
      <c r="H32" s="9">
        <v>0</v>
      </c>
      <c r="I32" s="9"/>
      <c r="J32" s="9"/>
      <c r="K32" s="9"/>
      <c r="L32" s="9"/>
      <c r="M32" s="9">
        <v>75485</v>
      </c>
      <c r="N32" s="9">
        <v>109372</v>
      </c>
      <c r="O32" s="16">
        <f>N32/N$39</f>
        <v>0.11574467004324075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25802</v>
      </c>
      <c r="C33" s="9">
        <v>2416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16240</v>
      </c>
      <c r="N33" s="9">
        <v>44458</v>
      </c>
      <c r="O33" s="16">
        <f>N33/N$39</f>
        <v>4.7048390271572225E-2</v>
      </c>
      <c r="P33" s="17" t="s">
        <v>43</v>
      </c>
      <c r="Q33" s="3"/>
      <c r="R33" s="3" t="s">
        <v>7</v>
      </c>
      <c r="S33" s="13">
        <f>H42/1000</f>
        <v>5.4455555555555559</v>
      </c>
      <c r="T33" s="14">
        <f>H43</f>
        <v>5.5049768877459852E-3</v>
      </c>
    </row>
    <row r="34" spans="1:47" ht="15">
      <c r="A34" s="5" t="s">
        <v>44</v>
      </c>
      <c r="B34" s="9">
        <v>0</v>
      </c>
      <c r="C34" s="9">
        <v>308003</v>
      </c>
      <c r="D34" s="9">
        <v>0</v>
      </c>
      <c r="E34" s="9">
        <v>0</v>
      </c>
      <c r="F34" s="9">
        <v>26423</v>
      </c>
      <c r="G34" s="9">
        <v>0</v>
      </c>
      <c r="H34" s="9">
        <v>0</v>
      </c>
      <c r="I34" s="9"/>
      <c r="J34" s="9"/>
      <c r="K34" s="9"/>
      <c r="L34" s="9"/>
      <c r="M34" s="9">
        <v>1812</v>
      </c>
      <c r="N34" s="9">
        <v>336238</v>
      </c>
      <c r="O34" s="16">
        <f>N34/N$39</f>
        <v>0.35582924666275811</v>
      </c>
      <c r="P34" s="17" t="s">
        <v>45</v>
      </c>
      <c r="Q34" s="3"/>
      <c r="R34" s="3"/>
      <c r="S34" s="13">
        <f>SUM(S26:S33)</f>
        <v>989.20588888888892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1573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95346</v>
      </c>
      <c r="N35" s="9">
        <v>96919</v>
      </c>
      <c r="O35" s="16">
        <f>N35/N$39</f>
        <v>0.10256608342099303</v>
      </c>
      <c r="P35" s="17" t="s">
        <v>47</v>
      </c>
      <c r="Q35" s="17"/>
    </row>
    <row r="36" spans="1:47" ht="15">
      <c r="A36" s="5" t="s">
        <v>48</v>
      </c>
      <c r="B36" s="9">
        <v>4741</v>
      </c>
      <c r="C36" s="9">
        <v>967</v>
      </c>
      <c r="D36" s="9">
        <v>0</v>
      </c>
      <c r="E36" s="9">
        <v>0</v>
      </c>
      <c r="F36" s="9">
        <v>0</v>
      </c>
      <c r="G36" s="9">
        <v>38980</v>
      </c>
      <c r="H36" s="9">
        <v>0</v>
      </c>
      <c r="I36" s="9"/>
      <c r="J36" s="9"/>
      <c r="K36" s="9"/>
      <c r="L36" s="9"/>
      <c r="M36" s="9">
        <v>164577</v>
      </c>
      <c r="N36" s="9">
        <v>209265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55476</v>
      </c>
      <c r="C37" s="9">
        <v>1087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17843</v>
      </c>
      <c r="N37" s="9">
        <v>74406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12645</v>
      </c>
      <c r="N38" s="9">
        <v>12645</v>
      </c>
      <c r="O38" s="17">
        <f>SUM(O31:O35)</f>
        <v>0.68641990725356694</v>
      </c>
      <c r="P38" s="17"/>
      <c r="Q38" s="3"/>
      <c r="R38" s="7" t="s">
        <v>51</v>
      </c>
      <c r="S38" s="19">
        <f>N45/1000</f>
        <v>45.149000000000001</v>
      </c>
      <c r="T38" s="7"/>
    </row>
    <row r="39" spans="1:47" ht="15">
      <c r="A39" s="5" t="s">
        <v>17</v>
      </c>
      <c r="B39" s="9">
        <v>87206</v>
      </c>
      <c r="C39" s="9">
        <v>352471</v>
      </c>
      <c r="D39" s="9">
        <v>0</v>
      </c>
      <c r="E39" s="9">
        <v>26930</v>
      </c>
      <c r="F39" s="9">
        <v>29704</v>
      </c>
      <c r="G39" s="9">
        <v>38980</v>
      </c>
      <c r="H39" s="9">
        <v>0</v>
      </c>
      <c r="I39" s="9"/>
      <c r="J39" s="9"/>
      <c r="K39" s="9"/>
      <c r="L39" s="9"/>
      <c r="M39" s="9">
        <v>409650</v>
      </c>
      <c r="N39" s="9">
        <v>944942</v>
      </c>
      <c r="O39" s="3"/>
      <c r="P39" s="3"/>
      <c r="Q39" s="3"/>
      <c r="R39" s="7" t="s">
        <v>52</v>
      </c>
      <c r="S39" s="20">
        <f>N41/1000</f>
        <v>296.31599999999997</v>
      </c>
      <c r="T39" s="14">
        <f>O41</f>
        <v>0.3135811510124431</v>
      </c>
    </row>
    <row r="40" spans="1:47">
      <c r="R40" s="7" t="s">
        <v>53</v>
      </c>
      <c r="S40" s="20">
        <f>N35/1000</f>
        <v>96.918999999999997</v>
      </c>
      <c r="T40" s="15">
        <f>O35</f>
        <v>0.10256608342099303</v>
      </c>
    </row>
    <row r="41" spans="1:47" ht="15">
      <c r="A41" s="21" t="s">
        <v>54</v>
      </c>
      <c r="B41" s="22">
        <f>B38+B37+B36</f>
        <v>60217</v>
      </c>
      <c r="C41" s="22">
        <f t="shared" ref="C41:N41" si="1">C38+C37+C36</f>
        <v>2054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38980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195065</v>
      </c>
      <c r="N41" s="22">
        <f t="shared" si="1"/>
        <v>296316</v>
      </c>
      <c r="O41" s="16">
        <f>N41/N$39</f>
        <v>0.3135811510124431</v>
      </c>
      <c r="P41" s="16" t="s">
        <v>55</v>
      </c>
      <c r="Q41" s="7"/>
      <c r="R41" s="7" t="s">
        <v>56</v>
      </c>
      <c r="S41" s="20">
        <f>N33/1000</f>
        <v>44.457999999999998</v>
      </c>
      <c r="T41" s="14">
        <f>O33</f>
        <v>4.7048390271572225E-2</v>
      </c>
    </row>
    <row r="42" spans="1:47" ht="15">
      <c r="A42" s="23" t="s">
        <v>57</v>
      </c>
      <c r="B42" s="22"/>
      <c r="C42" s="24">
        <f>C39+C23+C10</f>
        <v>353174.33333333331</v>
      </c>
      <c r="D42" s="24">
        <f t="shared" ref="D42:L42" si="2">D39+D23+D10</f>
        <v>0</v>
      </c>
      <c r="E42" s="24">
        <f t="shared" si="2"/>
        <v>27216.666666666668</v>
      </c>
      <c r="F42" s="24">
        <f t="shared" si="2"/>
        <v>29704</v>
      </c>
      <c r="G42" s="24">
        <f t="shared" si="2"/>
        <v>131243.33333333331</v>
      </c>
      <c r="H42" s="24">
        <f t="shared" si="2"/>
        <v>5445.5555555555557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442422</v>
      </c>
      <c r="N42" s="25">
        <f>SUM(C42:M42)</f>
        <v>989205.88888888876</v>
      </c>
      <c r="O42" s="7"/>
      <c r="P42" s="7"/>
      <c r="Q42" s="7"/>
      <c r="R42" s="7" t="s">
        <v>37</v>
      </c>
      <c r="S42" s="20">
        <f>N31/1000</f>
        <v>61.64</v>
      </c>
      <c r="T42" s="14">
        <f>O31</f>
        <v>6.5231516855002739E-2</v>
      </c>
    </row>
    <row r="43" spans="1:47" ht="15">
      <c r="A43" s="23" t="s">
        <v>58</v>
      </c>
      <c r="B43" s="22"/>
      <c r="C43" s="16">
        <f t="shared" ref="C43:M43" si="3">C42/$N42</f>
        <v>0.35702813468895872</v>
      </c>
      <c r="D43" s="16">
        <f t="shared" si="3"/>
        <v>0</v>
      </c>
      <c r="E43" s="16">
        <f t="shared" si="3"/>
        <v>2.7513652084337464E-2</v>
      </c>
      <c r="F43" s="16">
        <f t="shared" si="3"/>
        <v>3.0028126938634169E-2</v>
      </c>
      <c r="G43" s="16">
        <f t="shared" si="3"/>
        <v>0.13267544684833052</v>
      </c>
      <c r="H43" s="16">
        <f t="shared" si="3"/>
        <v>5.5049768877459852E-3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0.44724966255199322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109.372</v>
      </c>
      <c r="T43" s="15">
        <f>O32</f>
        <v>0.11574467004324075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336.238</v>
      </c>
      <c r="T44" s="15">
        <f>O34</f>
        <v>0.35582924666275811</v>
      </c>
    </row>
    <row r="45" spans="1:47" ht="15">
      <c r="A45" s="6" t="s">
        <v>61</v>
      </c>
      <c r="B45" s="6">
        <f>B23-B39</f>
        <v>12377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32772</v>
      </c>
      <c r="N45" s="25">
        <f>B45+M45</f>
        <v>45149</v>
      </c>
      <c r="O45" s="7"/>
      <c r="P45" s="7"/>
      <c r="Q45" s="7"/>
      <c r="R45" s="7" t="s">
        <v>62</v>
      </c>
      <c r="S45" s="20">
        <f>SUM(S39:S44)</f>
        <v>944.94299999999998</v>
      </c>
      <c r="T45" s="14">
        <f>SUM(T39:T44)</f>
        <v>1.0000010582660099</v>
      </c>
    </row>
    <row r="46" spans="1:47" ht="15">
      <c r="A46" s="9" t="s">
        <v>95</v>
      </c>
      <c r="B46" s="72">
        <f>B45/B23</f>
        <v>0.12428828213650925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/>
  <dimension ref="A1:AU70"/>
  <sheetViews>
    <sheetView topLeftCell="A16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91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71787</v>
      </c>
      <c r="C6" s="43">
        <v>0</v>
      </c>
      <c r="D6" s="43">
        <v>0</v>
      </c>
      <c r="E6" s="43">
        <v>0</v>
      </c>
      <c r="F6" s="43">
        <v>0</v>
      </c>
      <c r="G6" s="56">
        <v>0</v>
      </c>
      <c r="H6" s="56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15447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113959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201192</v>
      </c>
      <c r="C10" s="9">
        <v>0</v>
      </c>
      <c r="D10" s="9">
        <v>0</v>
      </c>
      <c r="E10" s="9">
        <v>0</v>
      </c>
      <c r="F10" s="9">
        <v>0</v>
      </c>
      <c r="G10" s="56">
        <v>0</v>
      </c>
      <c r="H10" s="56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91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427533</v>
      </c>
      <c r="C17" s="43">
        <v>1493</v>
      </c>
      <c r="D17" s="43">
        <v>0</v>
      </c>
      <c r="E17" s="43">
        <v>281</v>
      </c>
      <c r="F17" s="43">
        <v>28116</v>
      </c>
      <c r="G17" s="56">
        <v>437384</v>
      </c>
      <c r="H17" s="56">
        <v>22824</v>
      </c>
      <c r="I17" s="9"/>
      <c r="J17" s="9"/>
      <c r="K17" s="9"/>
      <c r="L17" s="9"/>
      <c r="M17" s="9"/>
      <c r="N17" s="56">
        <f>SUM(C17:J17)</f>
        <v>490098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620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428153</v>
      </c>
      <c r="C23" s="9">
        <f t="shared" ref="C23:F23" si="0">SUM(C17:C22)</f>
        <v>1493</v>
      </c>
      <c r="D23" s="9">
        <f t="shared" si="0"/>
        <v>0</v>
      </c>
      <c r="E23" s="9">
        <f t="shared" si="0"/>
        <v>281</v>
      </c>
      <c r="F23" s="9">
        <f t="shared" si="0"/>
        <v>28116</v>
      </c>
      <c r="G23" s="50">
        <f>SUM(G17:G22)</f>
        <v>437384</v>
      </c>
      <c r="H23" s="50">
        <f>SUM(H17:H22)</f>
        <v>22824</v>
      </c>
      <c r="I23" s="9"/>
      <c r="J23" s="9"/>
      <c r="K23" s="9"/>
      <c r="L23" s="9"/>
      <c r="M23" s="9"/>
      <c r="N23" s="9">
        <f>SUM(C23:H23)</f>
        <v>490098</v>
      </c>
      <c r="O23" s="3"/>
      <c r="P23" s="3"/>
      <c r="Q23" s="3"/>
      <c r="R23" s="3" t="s">
        <v>27</v>
      </c>
      <c r="S23" s="12">
        <f>N42/1000</f>
        <v>2373.4663599999999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882.81636000000003</v>
      </c>
      <c r="T26" s="14">
        <f>M43</f>
        <v>0.37195233725579324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518.68100000000004</v>
      </c>
      <c r="T27" s="15">
        <f>G43</f>
        <v>0.21853311626460128</v>
      </c>
    </row>
    <row r="28" spans="1:20" ht="15">
      <c r="A28" s="4" t="s">
        <v>91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88.82</v>
      </c>
      <c r="T29" s="14">
        <f>F43</f>
        <v>3.7422059775896722E-2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185.94</v>
      </c>
      <c r="T30" s="14">
        <f>E43</f>
        <v>7.8341114554494884E-2</v>
      </c>
    </row>
    <row r="31" spans="1:20" ht="15">
      <c r="A31" s="5" t="s">
        <v>36</v>
      </c>
      <c r="B31" s="9">
        <v>0</v>
      </c>
      <c r="C31" s="9">
        <v>48201</v>
      </c>
      <c r="D31" s="9">
        <v>0</v>
      </c>
      <c r="E31" s="9">
        <v>0</v>
      </c>
      <c r="F31" s="9">
        <v>4739</v>
      </c>
      <c r="G31" s="9">
        <v>0</v>
      </c>
      <c r="H31" s="9">
        <v>0</v>
      </c>
      <c r="I31" s="9"/>
      <c r="J31" s="9"/>
      <c r="K31" s="9"/>
      <c r="L31" s="9"/>
      <c r="M31" s="9">
        <v>70959</v>
      </c>
      <c r="N31" s="9">
        <v>123898</v>
      </c>
      <c r="O31" s="16">
        <f>N31/N$39</f>
        <v>5.5316002789507379E-2</v>
      </c>
      <c r="P31" s="17" t="s">
        <v>37</v>
      </c>
      <c r="Q31" s="3"/>
      <c r="R31" s="3" t="s">
        <v>38</v>
      </c>
      <c r="S31" s="13">
        <f>C42/1000</f>
        <v>673.38499999999999</v>
      </c>
      <c r="T31" s="15">
        <f>C43</f>
        <v>0.28371373251736337</v>
      </c>
    </row>
    <row r="32" spans="1:20" ht="15">
      <c r="A32" s="5" t="s">
        <v>39</v>
      </c>
      <c r="B32" s="9">
        <v>36819</v>
      </c>
      <c r="C32" s="9">
        <v>27245</v>
      </c>
      <c r="D32" s="9">
        <v>0</v>
      </c>
      <c r="E32" s="62">
        <f>N32-M32-C32-F32-G32-H32-B32</f>
        <v>185659</v>
      </c>
      <c r="F32" s="9">
        <v>1823</v>
      </c>
      <c r="G32" s="62">
        <v>1049</v>
      </c>
      <c r="H32" s="62">
        <v>1000</v>
      </c>
      <c r="I32" s="18"/>
      <c r="J32" s="18"/>
      <c r="K32" s="18"/>
      <c r="L32" s="9"/>
      <c r="M32" s="9">
        <v>167284</v>
      </c>
      <c r="N32" s="9">
        <v>420879</v>
      </c>
      <c r="O32" s="16">
        <f>N32/N$39</f>
        <v>0.18790734263704884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60345</v>
      </c>
      <c r="C33" s="9">
        <v>1719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103016</v>
      </c>
      <c r="N33" s="9">
        <v>165080</v>
      </c>
      <c r="O33" s="16">
        <f>N33/N$39</f>
        <v>7.3702285270883128E-2</v>
      </c>
      <c r="P33" s="17" t="s">
        <v>43</v>
      </c>
      <c r="Q33" s="3"/>
      <c r="R33" s="3" t="s">
        <v>7</v>
      </c>
      <c r="S33" s="13">
        <f>H42/1000</f>
        <v>23.824000000000002</v>
      </c>
      <c r="T33" s="14">
        <f>H43</f>
        <v>1.0037639631850523E-2</v>
      </c>
    </row>
    <row r="34" spans="1:47" ht="15">
      <c r="A34" s="5" t="s">
        <v>44</v>
      </c>
      <c r="B34" s="9">
        <v>0</v>
      </c>
      <c r="C34" s="9">
        <v>583573</v>
      </c>
      <c r="D34" s="9">
        <v>0</v>
      </c>
      <c r="E34" s="9">
        <v>0</v>
      </c>
      <c r="F34" s="9">
        <v>54142</v>
      </c>
      <c r="G34" s="9">
        <v>0</v>
      </c>
      <c r="H34" s="9">
        <v>0</v>
      </c>
      <c r="I34" s="9"/>
      <c r="J34" s="9"/>
      <c r="K34" s="9"/>
      <c r="L34" s="9"/>
      <c r="M34" s="9">
        <v>268</v>
      </c>
      <c r="N34" s="9">
        <v>637984</v>
      </c>
      <c r="O34" s="16">
        <f>N34/N$39</f>
        <v>0.28483692007668465</v>
      </c>
      <c r="P34" s="17" t="s">
        <v>45</v>
      </c>
      <c r="Q34" s="3"/>
      <c r="R34" s="3"/>
      <c r="S34" s="13">
        <f>SUM(S26:S33)</f>
        <v>2373.4663599999999</v>
      </c>
      <c r="T34" s="14">
        <f>SUM(T26:T33)</f>
        <v>1</v>
      </c>
    </row>
    <row r="35" spans="1:47" ht="15">
      <c r="A35" s="5" t="s">
        <v>46</v>
      </c>
      <c r="B35" s="9">
        <v>61742</v>
      </c>
      <c r="C35" s="9">
        <v>8621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224366</v>
      </c>
      <c r="N35" s="9">
        <v>294729</v>
      </c>
      <c r="O35" s="16">
        <f>N35/N$39</f>
        <v>0.13158590280834817</v>
      </c>
      <c r="P35" s="17" t="s">
        <v>47</v>
      </c>
      <c r="Q35" s="17"/>
    </row>
    <row r="36" spans="1:47" ht="15">
      <c r="A36" s="5" t="s">
        <v>48</v>
      </c>
      <c r="B36" s="9">
        <v>43670</v>
      </c>
      <c r="C36" s="9">
        <v>1876</v>
      </c>
      <c r="D36" s="9">
        <v>0</v>
      </c>
      <c r="E36" s="9">
        <v>0</v>
      </c>
      <c r="F36" s="9">
        <v>0</v>
      </c>
      <c r="G36" s="9">
        <v>80248</v>
      </c>
      <c r="H36" s="9">
        <v>0</v>
      </c>
      <c r="I36" s="9"/>
      <c r="J36" s="9"/>
      <c r="K36" s="9"/>
      <c r="L36" s="9"/>
      <c r="M36" s="9">
        <v>252054</v>
      </c>
      <c r="N36" s="9">
        <v>377848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152803</v>
      </c>
      <c r="C37" s="9">
        <v>657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35525</v>
      </c>
      <c r="N37" s="9">
        <v>188985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30420</v>
      </c>
      <c r="N38" s="9">
        <v>30420</v>
      </c>
      <c r="O38" s="17">
        <f>SUM(O31:O35)</f>
        <v>0.73334845358247214</v>
      </c>
      <c r="P38" s="17"/>
      <c r="Q38" s="3"/>
      <c r="R38" s="7" t="s">
        <v>51</v>
      </c>
      <c r="S38" s="19">
        <f>N45/1000</f>
        <v>143.48535999999999</v>
      </c>
      <c r="T38" s="7"/>
    </row>
    <row r="39" spans="1:47" ht="15">
      <c r="A39" s="5" t="s">
        <v>17</v>
      </c>
      <c r="B39" s="9">
        <v>355379</v>
      </c>
      <c r="C39" s="9">
        <v>671892</v>
      </c>
      <c r="D39" s="9">
        <v>0</v>
      </c>
      <c r="E39" s="57">
        <f>E32</f>
        <v>185659</v>
      </c>
      <c r="F39" s="9">
        <v>60704</v>
      </c>
      <c r="G39" s="57">
        <f>SUM(G31:G38)</f>
        <v>81297</v>
      </c>
      <c r="H39" s="57">
        <f>H32</f>
        <v>1000</v>
      </c>
      <c r="I39" s="18"/>
      <c r="J39" s="18"/>
      <c r="K39" s="18"/>
      <c r="L39" s="9"/>
      <c r="M39" s="9">
        <v>883892</v>
      </c>
      <c r="N39" s="9">
        <v>2239822</v>
      </c>
      <c r="O39" s="3"/>
      <c r="P39" s="3"/>
      <c r="Q39" s="3"/>
      <c r="R39" s="7" t="s">
        <v>52</v>
      </c>
      <c r="S39" s="20">
        <f>N41/1000</f>
        <v>597.25300000000004</v>
      </c>
      <c r="T39" s="14">
        <f>O41</f>
        <v>0.2666519928815772</v>
      </c>
    </row>
    <row r="40" spans="1:47">
      <c r="R40" s="7" t="s">
        <v>53</v>
      </c>
      <c r="S40" s="20">
        <f>N35/1000</f>
        <v>294.72899999999998</v>
      </c>
      <c r="T40" s="15">
        <f>O35</f>
        <v>0.13158590280834817</v>
      </c>
    </row>
    <row r="41" spans="1:47" ht="15">
      <c r="A41" s="21" t="s">
        <v>54</v>
      </c>
      <c r="B41" s="22">
        <f>B38+B37+B36</f>
        <v>196473</v>
      </c>
      <c r="C41" s="22">
        <f t="shared" ref="C41:N41" si="1">C38+C37+C36</f>
        <v>2533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80248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317999</v>
      </c>
      <c r="N41" s="22">
        <f t="shared" si="1"/>
        <v>597253</v>
      </c>
      <c r="O41" s="16">
        <f>N41/N$39</f>
        <v>0.2666519928815772</v>
      </c>
      <c r="P41" s="16" t="s">
        <v>55</v>
      </c>
      <c r="Q41" s="7"/>
      <c r="R41" s="7" t="s">
        <v>56</v>
      </c>
      <c r="S41" s="20">
        <f>N33/1000</f>
        <v>165.08</v>
      </c>
      <c r="T41" s="14">
        <f>O33</f>
        <v>7.3702285270883128E-2</v>
      </c>
    </row>
    <row r="42" spans="1:47" ht="15">
      <c r="A42" s="23" t="s">
        <v>57</v>
      </c>
      <c r="B42" s="22"/>
      <c r="C42" s="24">
        <f>C39+C23+C10</f>
        <v>673385</v>
      </c>
      <c r="D42" s="24">
        <f t="shared" ref="D42:L42" si="2">D39+D23+D10</f>
        <v>0</v>
      </c>
      <c r="E42" s="24">
        <f t="shared" si="2"/>
        <v>185940</v>
      </c>
      <c r="F42" s="24">
        <f t="shared" si="2"/>
        <v>88820</v>
      </c>
      <c r="G42" s="24">
        <f t="shared" si="2"/>
        <v>518681</v>
      </c>
      <c r="H42" s="24">
        <f t="shared" si="2"/>
        <v>23824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882816.36</v>
      </c>
      <c r="N42" s="25">
        <f>SUM(C42:M42)</f>
        <v>2373466.36</v>
      </c>
      <c r="O42" s="7"/>
      <c r="P42" s="7"/>
      <c r="Q42" s="7"/>
      <c r="R42" s="7" t="s">
        <v>37</v>
      </c>
      <c r="S42" s="20">
        <f>N31/1000</f>
        <v>123.898</v>
      </c>
      <c r="T42" s="14">
        <f>O31</f>
        <v>5.5316002789507379E-2</v>
      </c>
    </row>
    <row r="43" spans="1:47" ht="15">
      <c r="A43" s="23" t="s">
        <v>58</v>
      </c>
      <c r="B43" s="22"/>
      <c r="C43" s="16">
        <f t="shared" ref="C43:M43" si="3">C42/$N42</f>
        <v>0.28371373251736337</v>
      </c>
      <c r="D43" s="16">
        <f t="shared" si="3"/>
        <v>0</v>
      </c>
      <c r="E43" s="16">
        <f t="shared" si="3"/>
        <v>7.8341114554494884E-2</v>
      </c>
      <c r="F43" s="16">
        <f t="shared" si="3"/>
        <v>3.7422059775896722E-2</v>
      </c>
      <c r="G43" s="16">
        <f t="shared" si="3"/>
        <v>0.21853311626460128</v>
      </c>
      <c r="H43" s="16">
        <f t="shared" si="3"/>
        <v>1.0037639631850523E-2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0.37195233725579324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420.87900000000002</v>
      </c>
      <c r="T43" s="15">
        <f>O32</f>
        <v>0.18790734263704884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637.98400000000004</v>
      </c>
      <c r="T44" s="15">
        <f>O34</f>
        <v>0.28483692007668465</v>
      </c>
    </row>
    <row r="45" spans="1:47" ht="15">
      <c r="A45" s="6" t="s">
        <v>61</v>
      </c>
      <c r="B45" s="6">
        <f>B23-B39</f>
        <v>72774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70711.360000000001</v>
      </c>
      <c r="N45" s="25">
        <f>B45+M45</f>
        <v>143485.35999999999</v>
      </c>
      <c r="O45" s="7"/>
      <c r="P45" s="7"/>
      <c r="Q45" s="7"/>
      <c r="R45" s="7" t="s">
        <v>62</v>
      </c>
      <c r="S45" s="20">
        <f>SUM(S39:S44)</f>
        <v>2239.8229999999999</v>
      </c>
      <c r="T45" s="14">
        <f>SUM(T39:T44)</f>
        <v>1.0000004464640495</v>
      </c>
    </row>
    <row r="46" spans="1:47" ht="15">
      <c r="A46" s="9" t="s">
        <v>95</v>
      </c>
      <c r="B46" s="42">
        <f>B45/B23</f>
        <v>0.16997194927981352</v>
      </c>
      <c r="C46" s="6"/>
      <c r="D46" s="6"/>
      <c r="E46" s="6"/>
      <c r="F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7"/>
      <c r="H48" s="28"/>
      <c r="I48" s="28"/>
      <c r="J48" s="28"/>
      <c r="K48" s="28"/>
      <c r="L48" s="28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9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8"/>
      <c r="J55" s="28"/>
      <c r="K55" s="28"/>
      <c r="L55" s="28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8"/>
      <c r="J56" s="28"/>
      <c r="K56" s="28"/>
      <c r="L56" s="28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U70"/>
  <sheetViews>
    <sheetView topLeftCell="A16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92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69785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69785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92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52156</v>
      </c>
      <c r="C18" s="9">
        <v>1055</v>
      </c>
      <c r="D18" s="9">
        <v>0</v>
      </c>
      <c r="E18" s="9">
        <v>0</v>
      </c>
      <c r="F18" s="9">
        <v>0</v>
      </c>
      <c r="G18" s="9">
        <v>52132</v>
      </c>
      <c r="H18" s="9">
        <v>0</v>
      </c>
      <c r="I18" s="9"/>
      <c r="J18" s="9"/>
      <c r="K18" s="9"/>
      <c r="L18" s="9"/>
      <c r="M18" s="9"/>
      <c r="N18" s="9">
        <v>53186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52156</v>
      </c>
      <c r="C23" s="9">
        <v>1055</v>
      </c>
      <c r="D23" s="9">
        <v>0</v>
      </c>
      <c r="E23" s="9">
        <v>0</v>
      </c>
      <c r="F23" s="9">
        <v>0</v>
      </c>
      <c r="G23" s="9">
        <v>52132</v>
      </c>
      <c r="H23" s="9">
        <v>0</v>
      </c>
      <c r="I23" s="9"/>
      <c r="J23" s="9"/>
      <c r="K23" s="9"/>
      <c r="L23" s="9"/>
      <c r="M23" s="9"/>
      <c r="N23" s="9">
        <v>53186</v>
      </c>
      <c r="O23" s="3"/>
      <c r="P23" s="3"/>
      <c r="Q23" s="3"/>
      <c r="R23" s="3" t="s">
        <v>27</v>
      </c>
      <c r="S23" s="12">
        <f>N42/1000</f>
        <v>773.72852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286.49052</v>
      </c>
      <c r="T26" s="14">
        <f>M43</f>
        <v>0.37027266359523625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76.736999999999995</v>
      </c>
      <c r="T27" s="15">
        <f>G43</f>
        <v>9.9178197541432228E-2</v>
      </c>
    </row>
    <row r="28" spans="1:20" ht="15">
      <c r="A28" s="4" t="s">
        <v>92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34.933</v>
      </c>
      <c r="T29" s="14">
        <f>F43</f>
        <v>4.5148910886728073E-2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1.948</v>
      </c>
      <c r="T30" s="14">
        <f>E43</f>
        <v>2.5176789398948353E-3</v>
      </c>
    </row>
    <row r="31" spans="1:20" ht="15">
      <c r="A31" s="5" t="s">
        <v>36</v>
      </c>
      <c r="B31" s="9">
        <v>0</v>
      </c>
      <c r="C31" s="9">
        <v>19690</v>
      </c>
      <c r="D31" s="9">
        <v>0</v>
      </c>
      <c r="E31" s="9">
        <v>0</v>
      </c>
      <c r="F31" s="9">
        <v>2095</v>
      </c>
      <c r="G31" s="9">
        <v>0</v>
      </c>
      <c r="H31" s="9">
        <v>0</v>
      </c>
      <c r="I31" s="9"/>
      <c r="J31" s="9"/>
      <c r="K31" s="9"/>
      <c r="L31" s="9"/>
      <c r="M31" s="9">
        <v>29788</v>
      </c>
      <c r="N31" s="9">
        <v>51573</v>
      </c>
      <c r="O31" s="16">
        <f>N31/N$39</f>
        <v>6.9147631057104822E-2</v>
      </c>
      <c r="P31" s="17" t="s">
        <v>37</v>
      </c>
      <c r="Q31" s="3"/>
      <c r="R31" s="3" t="s">
        <v>38</v>
      </c>
      <c r="S31" s="13">
        <f>C42/1000</f>
        <v>373.62</v>
      </c>
      <c r="T31" s="15">
        <f>C43</f>
        <v>0.48288254903670863</v>
      </c>
    </row>
    <row r="32" spans="1:20" ht="15">
      <c r="A32" s="5" t="s">
        <v>39</v>
      </c>
      <c r="B32" s="9">
        <v>2287</v>
      </c>
      <c r="C32" s="9">
        <v>12767</v>
      </c>
      <c r="D32" s="9">
        <v>0</v>
      </c>
      <c r="E32" s="62">
        <v>1948</v>
      </c>
      <c r="F32" s="9">
        <v>146</v>
      </c>
      <c r="G32" s="62">
        <f>N32-M32-F32-E32-C32-B32</f>
        <v>1100</v>
      </c>
      <c r="H32" s="9">
        <v>0</v>
      </c>
      <c r="I32" s="9"/>
      <c r="J32" s="9"/>
      <c r="K32" s="9"/>
      <c r="L32" s="9"/>
      <c r="M32" s="9">
        <v>42075</v>
      </c>
      <c r="N32" s="9">
        <v>60323</v>
      </c>
      <c r="O32" s="16">
        <f>N32/N$39</f>
        <v>8.0879385497406281E-2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10052</v>
      </c>
      <c r="C33" s="9">
        <v>1734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23580</v>
      </c>
      <c r="N33" s="9">
        <v>35366</v>
      </c>
      <c r="O33" s="16">
        <f>N33/N$39</f>
        <v>4.7417740289794445E-2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337199</v>
      </c>
      <c r="D34" s="9">
        <v>0</v>
      </c>
      <c r="E34" s="9">
        <v>0</v>
      </c>
      <c r="F34" s="9">
        <v>32692</v>
      </c>
      <c r="G34" s="9">
        <v>0</v>
      </c>
      <c r="H34" s="9">
        <v>0</v>
      </c>
      <c r="I34" s="9"/>
      <c r="J34" s="9"/>
      <c r="K34" s="9"/>
      <c r="L34" s="9"/>
      <c r="M34" s="9">
        <v>261</v>
      </c>
      <c r="N34" s="9">
        <v>370152</v>
      </c>
      <c r="O34" s="16">
        <f>N34/N$39</f>
        <v>0.49628941366702467</v>
      </c>
      <c r="P34" s="17" t="s">
        <v>45</v>
      </c>
      <c r="Q34" s="3"/>
      <c r="R34" s="3"/>
      <c r="S34" s="13">
        <f>SUM(S26:S33)</f>
        <v>773.72852</v>
      </c>
      <c r="T34" s="14">
        <f>SUM(T26:T33)</f>
        <v>1</v>
      </c>
    </row>
    <row r="35" spans="1:47" ht="15">
      <c r="A35" s="5" t="s">
        <v>46</v>
      </c>
      <c r="B35" s="9">
        <v>3712</v>
      </c>
      <c r="C35" s="9">
        <v>193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41096</v>
      </c>
      <c r="N35" s="9">
        <v>45001</v>
      </c>
      <c r="O35" s="16">
        <f>N35/N$39</f>
        <v>6.0336077893486398E-2</v>
      </c>
      <c r="P35" s="17" t="s">
        <v>47</v>
      </c>
      <c r="Q35" s="17"/>
    </row>
    <row r="36" spans="1:47" ht="15">
      <c r="A36" s="5" t="s">
        <v>48</v>
      </c>
      <c r="B36" s="9">
        <v>3992</v>
      </c>
      <c r="C36" s="9">
        <v>763</v>
      </c>
      <c r="D36" s="9">
        <v>0</v>
      </c>
      <c r="E36" s="9">
        <v>0</v>
      </c>
      <c r="F36" s="9">
        <v>0</v>
      </c>
      <c r="G36" s="9">
        <v>23505</v>
      </c>
      <c r="H36" s="9">
        <v>0</v>
      </c>
      <c r="I36" s="9"/>
      <c r="J36" s="9"/>
      <c r="K36" s="9"/>
      <c r="L36" s="9"/>
      <c r="M36" s="9">
        <v>93421</v>
      </c>
      <c r="N36" s="9">
        <v>121681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26476</v>
      </c>
      <c r="C37" s="9">
        <v>219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7778</v>
      </c>
      <c r="N37" s="9">
        <v>34473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27270</v>
      </c>
      <c r="N38" s="9">
        <v>27270</v>
      </c>
      <c r="O38" s="17">
        <f>SUM(O31:O35)</f>
        <v>0.75407024840481662</v>
      </c>
      <c r="P38" s="17"/>
      <c r="Q38" s="3"/>
      <c r="R38" s="7" t="s">
        <v>51</v>
      </c>
      <c r="S38" s="19">
        <f>N45/1000</f>
        <v>26.858520000000002</v>
      </c>
      <c r="T38" s="7"/>
    </row>
    <row r="39" spans="1:47" ht="15">
      <c r="A39" s="5" t="s">
        <v>17</v>
      </c>
      <c r="B39" s="9">
        <v>46519</v>
      </c>
      <c r="C39" s="9">
        <v>372565</v>
      </c>
      <c r="D39" s="9">
        <v>0</v>
      </c>
      <c r="E39" s="57">
        <f>SUM(E31:E38)</f>
        <v>1948</v>
      </c>
      <c r="F39" s="9">
        <v>34933</v>
      </c>
      <c r="G39" s="57">
        <f>SUM(G31:G38)</f>
        <v>24605</v>
      </c>
      <c r="H39" s="9">
        <v>0</v>
      </c>
      <c r="I39" s="9"/>
      <c r="J39" s="9"/>
      <c r="K39" s="9"/>
      <c r="L39" s="9"/>
      <c r="M39" s="9">
        <v>265269</v>
      </c>
      <c r="N39" s="9">
        <v>745839</v>
      </c>
      <c r="O39" s="3"/>
      <c r="P39" s="3"/>
      <c r="Q39" s="3"/>
      <c r="R39" s="7" t="s">
        <v>52</v>
      </c>
      <c r="S39" s="20">
        <f>N41/1000</f>
        <v>183.42400000000001</v>
      </c>
      <c r="T39" s="14">
        <f>O41</f>
        <v>0.2459297515951834</v>
      </c>
    </row>
    <row r="40" spans="1:47">
      <c r="R40" s="7" t="s">
        <v>53</v>
      </c>
      <c r="S40" s="20">
        <f>N35/1000</f>
        <v>45.000999999999998</v>
      </c>
      <c r="T40" s="15">
        <f>O35</f>
        <v>6.0336077893486398E-2</v>
      </c>
    </row>
    <row r="41" spans="1:47" ht="15">
      <c r="A41" s="21" t="s">
        <v>54</v>
      </c>
      <c r="B41" s="22">
        <f>B38+B37+B36</f>
        <v>30468</v>
      </c>
      <c r="C41" s="22">
        <f t="shared" ref="C41:N41" si="0">C38+C37+C36</f>
        <v>982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23505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128469</v>
      </c>
      <c r="N41" s="22">
        <f t="shared" si="0"/>
        <v>183424</v>
      </c>
      <c r="O41" s="16">
        <f>N41/N$39</f>
        <v>0.2459297515951834</v>
      </c>
      <c r="P41" s="16" t="s">
        <v>55</v>
      </c>
      <c r="Q41" s="7"/>
      <c r="R41" s="7" t="s">
        <v>56</v>
      </c>
      <c r="S41" s="20">
        <f>N33/1000</f>
        <v>35.366</v>
      </c>
      <c r="T41" s="14">
        <f>O33</f>
        <v>4.7417740289794445E-2</v>
      </c>
    </row>
    <row r="42" spans="1:47" ht="15">
      <c r="A42" s="23" t="s">
        <v>57</v>
      </c>
      <c r="B42" s="22"/>
      <c r="C42" s="24">
        <f>C39+C23+C10</f>
        <v>373620</v>
      </c>
      <c r="D42" s="24">
        <f t="shared" ref="D42:L42" si="1">D39+D23+D10</f>
        <v>0</v>
      </c>
      <c r="E42" s="24">
        <f t="shared" si="1"/>
        <v>1948</v>
      </c>
      <c r="F42" s="24">
        <f t="shared" si="1"/>
        <v>34933</v>
      </c>
      <c r="G42" s="24">
        <f t="shared" si="1"/>
        <v>76737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286490.52</v>
      </c>
      <c r="N42" s="25">
        <f>SUM(C42:M42)</f>
        <v>773728.52</v>
      </c>
      <c r="O42" s="7"/>
      <c r="P42" s="7"/>
      <c r="Q42" s="7"/>
      <c r="R42" s="7" t="s">
        <v>37</v>
      </c>
      <c r="S42" s="20">
        <f>N31/1000</f>
        <v>51.573</v>
      </c>
      <c r="T42" s="14">
        <f>O31</f>
        <v>6.9147631057104822E-2</v>
      </c>
    </row>
    <row r="43" spans="1:47" ht="15">
      <c r="A43" s="23" t="s">
        <v>58</v>
      </c>
      <c r="B43" s="22"/>
      <c r="C43" s="16">
        <f t="shared" ref="C43:M43" si="2">C42/$N42</f>
        <v>0.48288254903670863</v>
      </c>
      <c r="D43" s="16">
        <f t="shared" si="2"/>
        <v>0</v>
      </c>
      <c r="E43" s="16">
        <f t="shared" si="2"/>
        <v>2.5176789398948353E-3</v>
      </c>
      <c r="F43" s="16">
        <f t="shared" si="2"/>
        <v>4.5148910886728073E-2</v>
      </c>
      <c r="G43" s="16">
        <f t="shared" si="2"/>
        <v>9.9178197541432228E-2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0.37027266359523625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60.323</v>
      </c>
      <c r="T43" s="15">
        <f>O32</f>
        <v>8.0879385497406281E-2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370.15199999999999</v>
      </c>
      <c r="T44" s="15">
        <f>O34</f>
        <v>0.49628941366702467</v>
      </c>
    </row>
    <row r="45" spans="1:47" ht="15">
      <c r="A45" s="6" t="s">
        <v>61</v>
      </c>
      <c r="B45" s="6">
        <f>B23-B39</f>
        <v>5637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21221.52</v>
      </c>
      <c r="N45" s="25">
        <f>B45+M45</f>
        <v>26858.52</v>
      </c>
      <c r="O45" s="7"/>
      <c r="P45" s="7"/>
      <c r="Q45" s="7"/>
      <c r="R45" s="7" t="s">
        <v>62</v>
      </c>
      <c r="S45" s="20">
        <f>SUM(S39:S44)</f>
        <v>745.83899999999994</v>
      </c>
      <c r="T45" s="14">
        <f>SUM(T39:T44)</f>
        <v>1</v>
      </c>
    </row>
    <row r="46" spans="1:47" ht="15">
      <c r="A46" s="9" t="s">
        <v>95</v>
      </c>
      <c r="B46" s="42">
        <f>B45/B23</f>
        <v>0.1080796073318506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/>
  <dimension ref="A1:AU70"/>
  <sheetViews>
    <sheetView topLeftCell="A13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93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5058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5058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93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/>
      <c r="J17" s="51"/>
      <c r="K17" s="51"/>
      <c r="L17" s="51"/>
      <c r="M17" s="51"/>
      <c r="N17" s="51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56">
        <v>217199</v>
      </c>
      <c r="C18" s="56">
        <v>1174</v>
      </c>
      <c r="D18" s="56">
        <v>0</v>
      </c>
      <c r="E18" s="9">
        <v>0</v>
      </c>
      <c r="F18" s="56">
        <v>7150</v>
      </c>
      <c r="G18" s="56">
        <v>207234</v>
      </c>
      <c r="H18" s="9">
        <v>0</v>
      </c>
      <c r="I18" s="9"/>
      <c r="J18" s="9"/>
      <c r="K18" s="56">
        <f>2*13381</f>
        <v>26762</v>
      </c>
      <c r="L18" s="9"/>
      <c r="M18" s="9"/>
      <c r="N18" s="56">
        <v>242320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1708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218907</v>
      </c>
      <c r="C23" s="9">
        <v>1174</v>
      </c>
      <c r="D23" s="56">
        <v>0</v>
      </c>
      <c r="E23" s="9">
        <v>0</v>
      </c>
      <c r="F23" s="9">
        <v>7150</v>
      </c>
      <c r="G23" s="56">
        <f>SUM(G17:G22)</f>
        <v>207234</v>
      </c>
      <c r="H23" s="9">
        <v>0</v>
      </c>
      <c r="I23" s="9"/>
      <c r="J23" s="9"/>
      <c r="K23" s="50">
        <f>K18</f>
        <v>26762</v>
      </c>
      <c r="L23" s="9"/>
      <c r="M23" s="9"/>
      <c r="N23" s="9">
        <v>242320</v>
      </c>
      <c r="O23" s="3"/>
      <c r="P23" s="3"/>
      <c r="Q23" s="3"/>
      <c r="R23" s="3" t="s">
        <v>27</v>
      </c>
      <c r="S23" s="12">
        <f>N42/1000</f>
        <v>1175.6523200000001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358.45632000000001</v>
      </c>
      <c r="T26" s="14">
        <f>M43</f>
        <v>0.30489993844438634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246.846</v>
      </c>
      <c r="T27" s="15">
        <f>G43</f>
        <v>0.20996513663155106</v>
      </c>
    </row>
    <row r="28" spans="1:20" ht="15">
      <c r="A28" s="4" t="s">
        <v>93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51.317999999999998</v>
      </c>
      <c r="T29" s="14">
        <f>F43</f>
        <v>4.3650660256426832E-2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6.4720000000000004</v>
      </c>
      <c r="T30" s="14">
        <f>E43</f>
        <v>5.5050289017419705E-3</v>
      </c>
    </row>
    <row r="31" spans="1:20" ht="15">
      <c r="A31" s="5" t="s">
        <v>36</v>
      </c>
      <c r="B31" s="43">
        <v>0</v>
      </c>
      <c r="C31" s="9">
        <v>17578</v>
      </c>
      <c r="D31" s="9">
        <v>0</v>
      </c>
      <c r="E31" s="9">
        <v>0</v>
      </c>
      <c r="F31" s="9">
        <v>1867</v>
      </c>
      <c r="G31" s="9">
        <v>0</v>
      </c>
      <c r="H31" s="9">
        <v>0</v>
      </c>
      <c r="I31" s="9"/>
      <c r="J31" s="9"/>
      <c r="K31" s="9"/>
      <c r="L31" s="9"/>
      <c r="M31" s="9">
        <v>22502</v>
      </c>
      <c r="N31" s="43">
        <f>SUM(B31:M31)</f>
        <v>41947</v>
      </c>
      <c r="O31" s="16">
        <f>N31/N$39</f>
        <v>3.7999566982310592E-2</v>
      </c>
      <c r="P31" s="17" t="s">
        <v>37</v>
      </c>
      <c r="Q31" s="3"/>
      <c r="R31" s="3" t="s">
        <v>38</v>
      </c>
      <c r="S31" s="13">
        <f>C42/1000</f>
        <v>485.798</v>
      </c>
      <c r="T31" s="15">
        <f>C43</f>
        <v>0.41321570309153982</v>
      </c>
    </row>
    <row r="32" spans="1:20" ht="15">
      <c r="A32" s="5" t="s">
        <v>39</v>
      </c>
      <c r="B32" s="56">
        <v>8400</v>
      </c>
      <c r="C32" s="9">
        <v>5657</v>
      </c>
      <c r="D32" s="9">
        <v>0</v>
      </c>
      <c r="E32" s="9">
        <v>6472</v>
      </c>
      <c r="F32" s="9">
        <v>385</v>
      </c>
      <c r="G32" s="9">
        <v>2152</v>
      </c>
      <c r="H32" s="9">
        <v>0</v>
      </c>
      <c r="I32" s="9"/>
      <c r="J32" s="9"/>
      <c r="K32" s="9"/>
      <c r="L32" s="9"/>
      <c r="M32" s="9">
        <v>36153</v>
      </c>
      <c r="N32" s="56">
        <f t="shared" ref="N32:N38" si="0">SUM(B32:M32)</f>
        <v>59219</v>
      </c>
      <c r="O32" s="16">
        <f>N32/N$39</f>
        <v>5.3646181064806807E-2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56">
        <v>37000</v>
      </c>
      <c r="C33" s="9">
        <v>1745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56"/>
      <c r="K33" s="9"/>
      <c r="L33" s="9"/>
      <c r="M33" s="9">
        <v>38344</v>
      </c>
      <c r="N33" s="56">
        <f t="shared" si="0"/>
        <v>77089</v>
      </c>
      <c r="O33" s="16">
        <f>N33/N$39</f>
        <v>6.9834520206435297E-2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43">
        <v>0</v>
      </c>
      <c r="C34" s="9">
        <v>458182</v>
      </c>
      <c r="D34" s="9">
        <v>0</v>
      </c>
      <c r="E34" s="9">
        <v>0</v>
      </c>
      <c r="F34" s="9">
        <v>41916</v>
      </c>
      <c r="G34" s="9">
        <v>0</v>
      </c>
      <c r="H34" s="9">
        <v>0</v>
      </c>
      <c r="I34" s="9"/>
      <c r="J34" s="9"/>
      <c r="K34" s="9"/>
      <c r="L34" s="9"/>
      <c r="M34" s="9">
        <v>214</v>
      </c>
      <c r="N34" s="43">
        <f t="shared" si="0"/>
        <v>500312</v>
      </c>
      <c r="O34" s="16">
        <f>N34/N$39</f>
        <v>0.45323001301770754</v>
      </c>
      <c r="P34" s="17" t="s">
        <v>45</v>
      </c>
      <c r="Q34" s="3"/>
      <c r="R34" s="3"/>
      <c r="S34" s="13">
        <f>SUM(S26:S33)</f>
        <v>1148.89032</v>
      </c>
      <c r="T34" s="14">
        <f>SUM(T26:T33)</f>
        <v>0.97723646732564595</v>
      </c>
    </row>
    <row r="35" spans="1:47" ht="15">
      <c r="A35" s="5" t="s">
        <v>46</v>
      </c>
      <c r="B35" s="56">
        <v>17400</v>
      </c>
      <c r="C35" s="9">
        <v>234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86838</v>
      </c>
      <c r="N35" s="56">
        <f t="shared" si="0"/>
        <v>104472</v>
      </c>
      <c r="O35" s="16">
        <f>N35/N$39</f>
        <v>9.4640636083056048E-2</v>
      </c>
      <c r="P35" s="17" t="s">
        <v>47</v>
      </c>
      <c r="Q35" s="17"/>
    </row>
    <row r="36" spans="1:47" ht="15">
      <c r="A36" s="5" t="s">
        <v>48</v>
      </c>
      <c r="B36" s="56">
        <v>43300</v>
      </c>
      <c r="C36" s="9">
        <v>1028</v>
      </c>
      <c r="D36" s="9">
        <v>0</v>
      </c>
      <c r="E36" s="9">
        <v>0</v>
      </c>
      <c r="F36" s="9">
        <v>0</v>
      </c>
      <c r="G36" s="9">
        <v>37460</v>
      </c>
      <c r="H36" s="9">
        <v>0</v>
      </c>
      <c r="I36" s="9"/>
      <c r="J36" s="9"/>
      <c r="K36" s="9"/>
      <c r="L36" s="9"/>
      <c r="M36" s="9">
        <v>118874</v>
      </c>
      <c r="N36" s="56">
        <f t="shared" si="0"/>
        <v>200662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56">
        <v>91000</v>
      </c>
      <c r="C37" s="9">
        <v>201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17395</v>
      </c>
      <c r="N37" s="56">
        <f t="shared" si="0"/>
        <v>108596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43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11584</v>
      </c>
      <c r="N38" s="43">
        <f t="shared" si="0"/>
        <v>11584</v>
      </c>
      <c r="O38" s="17">
        <f>SUM(O31:O35)</f>
        <v>0.70935091735431632</v>
      </c>
      <c r="P38" s="17"/>
      <c r="Q38" s="3"/>
      <c r="R38" s="7" t="s">
        <v>51</v>
      </c>
      <c r="S38" s="19">
        <f>N45/1000</f>
        <v>48.359319999999997</v>
      </c>
      <c r="T38" s="7"/>
    </row>
    <row r="39" spans="1:47" ht="15">
      <c r="A39" s="5" t="s">
        <v>17</v>
      </c>
      <c r="B39" s="56">
        <f>SUM(B31:B38)</f>
        <v>197100</v>
      </c>
      <c r="C39" s="9">
        <v>484624</v>
      </c>
      <c r="D39" s="9">
        <v>0</v>
      </c>
      <c r="E39" s="9">
        <v>6472</v>
      </c>
      <c r="F39" s="9">
        <v>44168</v>
      </c>
      <c r="G39" s="9">
        <v>39612</v>
      </c>
      <c r="H39" s="9">
        <v>0</v>
      </c>
      <c r="I39" s="9"/>
      <c r="J39" s="9"/>
      <c r="K39" s="9"/>
      <c r="L39" s="9"/>
      <c r="M39" s="9">
        <v>331904</v>
      </c>
      <c r="N39" s="56">
        <f>SUM(N31:N38)</f>
        <v>1103881</v>
      </c>
      <c r="O39" s="3"/>
      <c r="P39" s="3"/>
      <c r="Q39" s="3"/>
      <c r="R39" s="7" t="s">
        <v>52</v>
      </c>
      <c r="S39" s="20">
        <f>N41/1000</f>
        <v>320.84199999999998</v>
      </c>
      <c r="T39" s="14">
        <f>O41</f>
        <v>0.29064908264568373</v>
      </c>
    </row>
    <row r="40" spans="1:47">
      <c r="R40" s="7" t="s">
        <v>53</v>
      </c>
      <c r="S40" s="20">
        <f>N35/1000</f>
        <v>104.47199999999999</v>
      </c>
      <c r="T40" s="15">
        <f>O35</f>
        <v>9.4640636083056048E-2</v>
      </c>
    </row>
    <row r="41" spans="1:47" ht="15">
      <c r="A41" s="21" t="s">
        <v>54</v>
      </c>
      <c r="B41" s="22">
        <f>B38+B37+B36</f>
        <v>134300</v>
      </c>
      <c r="C41" s="22">
        <f t="shared" ref="C41:N41" si="1">C38+C37+C36</f>
        <v>1229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37460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147853</v>
      </c>
      <c r="N41" s="22">
        <f t="shared" si="1"/>
        <v>320842</v>
      </c>
      <c r="O41" s="16">
        <f>N41/N$39</f>
        <v>0.29064908264568373</v>
      </c>
      <c r="P41" s="16" t="s">
        <v>55</v>
      </c>
      <c r="Q41" s="7"/>
      <c r="R41" s="7" t="s">
        <v>56</v>
      </c>
      <c r="S41" s="20">
        <f>N33/1000</f>
        <v>77.088999999999999</v>
      </c>
      <c r="T41" s="14">
        <f>O33</f>
        <v>6.9834520206435297E-2</v>
      </c>
    </row>
    <row r="42" spans="1:47" ht="15">
      <c r="A42" s="23" t="s">
        <v>57</v>
      </c>
      <c r="B42" s="22"/>
      <c r="C42" s="24">
        <f>C39+C23+C10</f>
        <v>485798</v>
      </c>
      <c r="D42" s="24">
        <f t="shared" ref="D42:L42" si="2">D39+D23+D10</f>
        <v>0</v>
      </c>
      <c r="E42" s="24">
        <f t="shared" si="2"/>
        <v>6472</v>
      </c>
      <c r="F42" s="24">
        <f t="shared" si="2"/>
        <v>51318</v>
      </c>
      <c r="G42" s="24">
        <f t="shared" si="2"/>
        <v>246846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26762</v>
      </c>
      <c r="L42" s="24">
        <f t="shared" si="2"/>
        <v>0</v>
      </c>
      <c r="M42" s="24">
        <f>M39+M23-B6+M45</f>
        <v>358456.32000000001</v>
      </c>
      <c r="N42" s="25">
        <f>SUM(C42:M42)</f>
        <v>1175652.32</v>
      </c>
      <c r="O42" s="7"/>
      <c r="P42" s="7"/>
      <c r="Q42" s="7"/>
      <c r="R42" s="7" t="s">
        <v>37</v>
      </c>
      <c r="S42" s="20">
        <f>N31/1000</f>
        <v>41.947000000000003</v>
      </c>
      <c r="T42" s="14">
        <f>O31</f>
        <v>3.7999566982310592E-2</v>
      </c>
    </row>
    <row r="43" spans="1:47" ht="15">
      <c r="A43" s="23" t="s">
        <v>58</v>
      </c>
      <c r="B43" s="22"/>
      <c r="C43" s="16">
        <f t="shared" ref="C43:M43" si="3">C42/$N42</f>
        <v>0.41321570309153982</v>
      </c>
      <c r="D43" s="16">
        <f t="shared" si="3"/>
        <v>0</v>
      </c>
      <c r="E43" s="16">
        <f t="shared" si="3"/>
        <v>5.5050289017419705E-3</v>
      </c>
      <c r="F43" s="16">
        <f t="shared" si="3"/>
        <v>4.3650660256426832E-2</v>
      </c>
      <c r="G43" s="16">
        <f t="shared" si="3"/>
        <v>0.20996513663155106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2.2763532674353926E-2</v>
      </c>
      <c r="L43" s="16">
        <f t="shared" si="3"/>
        <v>0</v>
      </c>
      <c r="M43" s="16">
        <f t="shared" si="3"/>
        <v>0.30489993844438634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59.219000000000001</v>
      </c>
      <c r="T43" s="15">
        <f>O32</f>
        <v>5.3646181064806807E-2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500.31200000000001</v>
      </c>
      <c r="T44" s="15">
        <f>O34</f>
        <v>0.45323001301770754</v>
      </c>
    </row>
    <row r="45" spans="1:47" ht="15">
      <c r="A45" s="6" t="s">
        <v>61</v>
      </c>
      <c r="B45" s="6">
        <f>B23-B39</f>
        <v>21807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26552.32</v>
      </c>
      <c r="N45" s="25">
        <f>B45+M45</f>
        <v>48359.32</v>
      </c>
      <c r="O45" s="7"/>
      <c r="P45" s="7"/>
      <c r="Q45" s="7"/>
      <c r="R45" s="7" t="s">
        <v>62</v>
      </c>
      <c r="S45" s="20">
        <f>SUM(S39:S44)</f>
        <v>1103.8809999999999</v>
      </c>
      <c r="T45" s="14">
        <f>SUM(T39:T44)</f>
        <v>1</v>
      </c>
    </row>
    <row r="46" spans="1:47" ht="15">
      <c r="A46" s="9" t="s">
        <v>95</v>
      </c>
      <c r="B46" s="72">
        <f>B45/B23</f>
        <v>9.9617645849607361E-2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AU70"/>
  <sheetViews>
    <sheetView topLeftCell="A18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3" width="8.83203125" style="2"/>
    <col min="14" max="14" width="10.1640625" style="2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94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56">
        <v>9353</v>
      </c>
      <c r="C6" s="9">
        <v>0</v>
      </c>
      <c r="D6" s="56">
        <v>0</v>
      </c>
      <c r="E6" s="9">
        <v>0</v>
      </c>
      <c r="F6" s="9">
        <v>0</v>
      </c>
      <c r="G6" s="56">
        <v>0</v>
      </c>
      <c r="H6" s="9">
        <v>0</v>
      </c>
      <c r="I6" s="9"/>
      <c r="J6" s="9"/>
      <c r="K6" s="56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62">
        <f>B10-B9-B6</f>
        <v>1402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1593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12348</v>
      </c>
      <c r="C10" s="9">
        <v>0</v>
      </c>
      <c r="D10" s="56">
        <v>0</v>
      </c>
      <c r="E10" s="43">
        <v>0</v>
      </c>
      <c r="F10" s="43">
        <v>0</v>
      </c>
      <c r="G10" s="56">
        <v>0</v>
      </c>
      <c r="H10" s="43">
        <v>0</v>
      </c>
      <c r="I10" s="43"/>
      <c r="J10" s="43"/>
      <c r="K10" s="43">
        <v>0</v>
      </c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94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64">
        <f>239341-19133</f>
        <v>220208</v>
      </c>
      <c r="C17" s="56">
        <v>1581</v>
      </c>
      <c r="D17" s="56">
        <v>0</v>
      </c>
      <c r="E17" s="9">
        <v>0</v>
      </c>
      <c r="F17" s="9">
        <v>0</v>
      </c>
      <c r="G17" s="56">
        <v>104037</v>
      </c>
      <c r="H17" s="9">
        <v>0</v>
      </c>
      <c r="I17" s="9"/>
      <c r="J17" s="9"/>
      <c r="K17" s="56">
        <v>149068</v>
      </c>
      <c r="L17" s="9"/>
      <c r="M17" s="9"/>
      <c r="N17" s="56">
        <f>SUM(C17:L17)</f>
        <v>254686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64">
        <f>(0.9*N18)+667</f>
        <v>9712.9</v>
      </c>
      <c r="C18" s="62">
        <v>1407.14</v>
      </c>
      <c r="D18" s="9">
        <v>0</v>
      </c>
      <c r="E18" s="9">
        <v>0</v>
      </c>
      <c r="F18" s="9">
        <v>0</v>
      </c>
      <c r="G18" s="56">
        <v>8643.86</v>
      </c>
      <c r="H18" s="9">
        <v>0</v>
      </c>
      <c r="I18" s="9"/>
      <c r="J18" s="9"/>
      <c r="K18" s="9"/>
      <c r="L18" s="9"/>
      <c r="M18" s="43"/>
      <c r="N18" s="62">
        <f>SUM(C18:M18)</f>
        <v>10051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3096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56">
        <f>SUM(B17:B22)</f>
        <v>233016.9</v>
      </c>
      <c r="C23" s="57">
        <f>C18+C17</f>
        <v>2988.1400000000003</v>
      </c>
      <c r="D23" s="9">
        <v>0</v>
      </c>
      <c r="E23" s="9">
        <v>0</v>
      </c>
      <c r="F23" s="9">
        <v>0</v>
      </c>
      <c r="G23" s="50">
        <f>G18+G17</f>
        <v>112680.86</v>
      </c>
      <c r="H23" s="9">
        <v>0</v>
      </c>
      <c r="I23" s="9"/>
      <c r="J23" s="9"/>
      <c r="K23" s="50">
        <f>K17</f>
        <v>149068</v>
      </c>
      <c r="L23" s="9"/>
      <c r="M23" s="9"/>
      <c r="N23" s="18">
        <f>N18+N17</f>
        <v>264737</v>
      </c>
      <c r="O23" s="3"/>
      <c r="P23" s="3"/>
      <c r="Q23" s="3"/>
      <c r="R23" s="3" t="s">
        <v>27</v>
      </c>
      <c r="S23" s="12">
        <f>N42/1000</f>
        <v>1542.5796400000002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5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5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549.06964000000005</v>
      </c>
      <c r="T26" s="14">
        <f>M43</f>
        <v>0.35594249124148947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268.62786</v>
      </c>
      <c r="T27" s="15">
        <f>G43</f>
        <v>0.17414197169100454</v>
      </c>
    </row>
    <row r="28" spans="1:20" ht="15">
      <c r="A28" s="4" t="s">
        <v>94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41.408000000000001</v>
      </c>
      <c r="T29" s="14">
        <f>F43</f>
        <v>2.6843346642381458E-2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2.0019999999999998</v>
      </c>
      <c r="T30" s="14">
        <f>E43</f>
        <v>1.2978260234265764E-3</v>
      </c>
    </row>
    <row r="31" spans="1:20" ht="15">
      <c r="A31" s="5" t="s">
        <v>36</v>
      </c>
      <c r="B31" s="9">
        <v>0</v>
      </c>
      <c r="C31" s="9">
        <v>22715</v>
      </c>
      <c r="D31" s="9">
        <v>0</v>
      </c>
      <c r="E31" s="9">
        <v>0</v>
      </c>
      <c r="F31" s="9">
        <v>2130</v>
      </c>
      <c r="G31" s="9">
        <v>0</v>
      </c>
      <c r="H31" s="9">
        <v>0</v>
      </c>
      <c r="I31" s="9"/>
      <c r="J31" s="9"/>
      <c r="K31" s="9"/>
      <c r="L31" s="9"/>
      <c r="M31" s="9">
        <v>25958</v>
      </c>
      <c r="N31" s="9">
        <v>50802</v>
      </c>
      <c r="O31" s="16">
        <f>N31/N$39</f>
        <v>3.4842856672555884E-2</v>
      </c>
      <c r="P31" s="17" t="s">
        <v>37</v>
      </c>
      <c r="Q31" s="3"/>
      <c r="R31" s="3" t="s">
        <v>38</v>
      </c>
      <c r="S31" s="13">
        <f>C42/1000</f>
        <v>476.49914000000001</v>
      </c>
      <c r="T31" s="15">
        <f>C43</f>
        <v>0.30889759442177001</v>
      </c>
    </row>
    <row r="32" spans="1:20" ht="15">
      <c r="A32" s="5" t="s">
        <v>39</v>
      </c>
      <c r="B32" s="62">
        <f>8000+1845</f>
        <v>9845</v>
      </c>
      <c r="C32" s="9">
        <v>55747</v>
      </c>
      <c r="D32" s="62">
        <v>55905</v>
      </c>
      <c r="E32" s="62">
        <f>N32-D32-F32-G32-M32-B32-C32</f>
        <v>2002</v>
      </c>
      <c r="F32" s="9">
        <v>3438</v>
      </c>
      <c r="G32" s="9">
        <v>47347</v>
      </c>
      <c r="H32" s="9">
        <v>0</v>
      </c>
      <c r="I32" s="9"/>
      <c r="J32" s="9"/>
      <c r="K32" s="9"/>
      <c r="L32" s="9"/>
      <c r="M32" s="62">
        <f>M39-M31-M33-M34-M35-M36-M37-M38</f>
        <v>155855</v>
      </c>
      <c r="N32" s="9">
        <v>330139</v>
      </c>
      <c r="O32" s="16">
        <f>N32/N$39</f>
        <v>0.22642781502737938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43">
        <v>40367</v>
      </c>
      <c r="C33" s="9">
        <v>4886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62">
        <f>N33-C33-B33</f>
        <v>53116</v>
      </c>
      <c r="N33" s="62">
        <f>N39-N31-N32-N34-N35-N37-N36-N38</f>
        <v>98369</v>
      </c>
      <c r="O33" s="16">
        <f>N33/N$39</f>
        <v>6.74669691748878E-2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387395</v>
      </c>
      <c r="D34" s="9">
        <v>0</v>
      </c>
      <c r="E34" s="9">
        <v>0</v>
      </c>
      <c r="F34" s="9">
        <v>35840</v>
      </c>
      <c r="G34" s="9">
        <v>0</v>
      </c>
      <c r="H34" s="9">
        <v>0</v>
      </c>
      <c r="I34" s="9"/>
      <c r="J34" s="9"/>
      <c r="K34" s="9"/>
      <c r="L34" s="9"/>
      <c r="M34" s="9">
        <v>1041</v>
      </c>
      <c r="N34" s="9">
        <v>424277</v>
      </c>
      <c r="O34" s="16">
        <f>N34/N$39</f>
        <v>0.2909929274528954</v>
      </c>
      <c r="P34" s="17" t="s">
        <v>45</v>
      </c>
      <c r="Q34" s="3"/>
      <c r="R34" s="3"/>
      <c r="S34" s="13">
        <f>SUM(S26:S33)</f>
        <v>1337.60664</v>
      </c>
      <c r="T34" s="14">
        <f>SUM(T26:T33)</f>
        <v>0.86712323002007197</v>
      </c>
    </row>
    <row r="35" spans="1:47" ht="15">
      <c r="A35" s="5" t="s">
        <v>46</v>
      </c>
      <c r="B35" s="62">
        <f>B39-B37-B36-B33-B32</f>
        <v>29342</v>
      </c>
      <c r="C35" s="9">
        <v>635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95883</v>
      </c>
      <c r="N35" s="62">
        <f>M35+B35+C35</f>
        <v>125860</v>
      </c>
      <c r="O35" s="16">
        <f>N35/N$39</f>
        <v>8.6321836557771023E-2</v>
      </c>
      <c r="P35" s="17" t="s">
        <v>47</v>
      </c>
      <c r="Q35" s="17"/>
    </row>
    <row r="36" spans="1:47" ht="15">
      <c r="A36" s="5" t="s">
        <v>48</v>
      </c>
      <c r="B36" s="43">
        <v>49774</v>
      </c>
      <c r="C36" s="9">
        <v>1730</v>
      </c>
      <c r="D36" s="9">
        <v>0</v>
      </c>
      <c r="E36" s="9">
        <v>0</v>
      </c>
      <c r="F36" s="9">
        <v>0</v>
      </c>
      <c r="G36" s="62">
        <v>108600</v>
      </c>
      <c r="H36" s="9">
        <v>0</v>
      </c>
      <c r="I36" s="9"/>
      <c r="J36" s="9"/>
      <c r="K36" s="9"/>
      <c r="L36" s="9"/>
      <c r="M36" s="62">
        <f>N36-G36-C36-B36</f>
        <v>156772</v>
      </c>
      <c r="N36" s="9">
        <v>316876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43">
        <v>82873</v>
      </c>
      <c r="C37" s="9">
        <v>403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17401</v>
      </c>
      <c r="N37" s="9">
        <v>100677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11032</v>
      </c>
      <c r="N38" s="9">
        <v>11032</v>
      </c>
      <c r="O38" s="17">
        <f>SUM(O31:O35)</f>
        <v>0.70605240488548959</v>
      </c>
      <c r="P38" s="17"/>
      <c r="Q38" s="3"/>
      <c r="R38" s="7" t="s">
        <v>51</v>
      </c>
      <c r="S38" s="19">
        <f>N45/1000</f>
        <v>62.180539999999993</v>
      </c>
      <c r="T38" s="7"/>
    </row>
    <row r="39" spans="1:47" ht="15">
      <c r="A39" s="5" t="s">
        <v>17</v>
      </c>
      <c r="B39" s="43">
        <v>212201</v>
      </c>
      <c r="C39" s="9">
        <v>473511</v>
      </c>
      <c r="D39" s="62">
        <f>D32</f>
        <v>55905</v>
      </c>
      <c r="E39" s="62">
        <f>E32</f>
        <v>2002</v>
      </c>
      <c r="F39" s="9">
        <v>41408</v>
      </c>
      <c r="G39" s="62">
        <f>G36+G32</f>
        <v>155947</v>
      </c>
      <c r="H39" s="9">
        <v>0</v>
      </c>
      <c r="I39" s="9"/>
      <c r="J39" s="9"/>
      <c r="K39" s="9"/>
      <c r="L39" s="9"/>
      <c r="M39" s="9">
        <v>517058</v>
      </c>
      <c r="N39" s="9">
        <v>1458032</v>
      </c>
      <c r="O39" s="3"/>
      <c r="P39" s="3"/>
      <c r="Q39" s="3"/>
      <c r="R39" s="7" t="s">
        <v>52</v>
      </c>
      <c r="S39" s="20">
        <f>N41/1000</f>
        <v>428.58499999999998</v>
      </c>
      <c r="T39" s="14">
        <f>O41</f>
        <v>0.29394759511451052</v>
      </c>
    </row>
    <row r="40" spans="1:47">
      <c r="R40" s="7" t="s">
        <v>53</v>
      </c>
      <c r="S40" s="20">
        <f>N35/1000</f>
        <v>125.86</v>
      </c>
      <c r="T40" s="15">
        <f>O35</f>
        <v>8.6321836557771023E-2</v>
      </c>
    </row>
    <row r="41" spans="1:47" ht="15">
      <c r="A41" s="21" t="s">
        <v>54</v>
      </c>
      <c r="B41" s="22">
        <f>B38+B37+B36</f>
        <v>132647</v>
      </c>
      <c r="C41" s="22">
        <f t="shared" ref="C41:N41" si="0">C38+C37+C36</f>
        <v>2133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108600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185205</v>
      </c>
      <c r="N41" s="22">
        <f t="shared" si="0"/>
        <v>428585</v>
      </c>
      <c r="O41" s="16">
        <f>N41/N$39</f>
        <v>0.29394759511451052</v>
      </c>
      <c r="P41" s="16" t="s">
        <v>55</v>
      </c>
      <c r="Q41" s="7"/>
      <c r="R41" s="7" t="s">
        <v>56</v>
      </c>
      <c r="S41" s="20">
        <f>N33/1000</f>
        <v>98.369</v>
      </c>
      <c r="T41" s="14">
        <f>O33</f>
        <v>6.74669691748878E-2</v>
      </c>
    </row>
    <row r="42" spans="1:47" ht="15">
      <c r="A42" s="23" t="s">
        <v>57</v>
      </c>
      <c r="B42" s="22"/>
      <c r="C42" s="24">
        <f>C39+C23+C10</f>
        <v>476499.14</v>
      </c>
      <c r="D42" s="24">
        <f t="shared" ref="D42:L42" si="1">D39+D23+D10</f>
        <v>55905</v>
      </c>
      <c r="E42" s="24">
        <f t="shared" si="1"/>
        <v>2002</v>
      </c>
      <c r="F42" s="24">
        <f t="shared" si="1"/>
        <v>41408</v>
      </c>
      <c r="G42" s="24">
        <f t="shared" si="1"/>
        <v>268627.86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149068</v>
      </c>
      <c r="L42" s="24">
        <f t="shared" si="1"/>
        <v>0</v>
      </c>
      <c r="M42" s="24">
        <f>M39+M23-B6+M45</f>
        <v>549069.64</v>
      </c>
      <c r="N42" s="25">
        <f>SUM(C42:M42)</f>
        <v>1542579.6400000001</v>
      </c>
      <c r="O42" s="7"/>
      <c r="P42" s="7"/>
      <c r="Q42" s="7"/>
      <c r="R42" s="7" t="s">
        <v>37</v>
      </c>
      <c r="S42" s="20">
        <f>N31/1000</f>
        <v>50.802</v>
      </c>
      <c r="T42" s="14">
        <f>O31</f>
        <v>3.4842856672555884E-2</v>
      </c>
    </row>
    <row r="43" spans="1:47" ht="15">
      <c r="A43" s="23" t="s">
        <v>58</v>
      </c>
      <c r="B43" s="22"/>
      <c r="C43" s="16">
        <f t="shared" ref="C43:M43" si="2">C42/$N42</f>
        <v>0.30889759442177001</v>
      </c>
      <c r="D43" s="16">
        <f t="shared" si="2"/>
        <v>3.6241240679152228E-2</v>
      </c>
      <c r="E43" s="16">
        <f t="shared" si="2"/>
        <v>1.2978260234265764E-3</v>
      </c>
      <c r="F43" s="16">
        <f t="shared" si="2"/>
        <v>2.6843346642381458E-2</v>
      </c>
      <c r="G43" s="16">
        <f t="shared" si="2"/>
        <v>0.17414197169100454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9.6635529300775666E-2</v>
      </c>
      <c r="L43" s="16">
        <f t="shared" si="2"/>
        <v>0</v>
      </c>
      <c r="M43" s="16">
        <f t="shared" si="2"/>
        <v>0.35594249124148947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330.13900000000001</v>
      </c>
      <c r="T43" s="15">
        <f>O32</f>
        <v>0.22642781502737938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424.27699999999999</v>
      </c>
      <c r="T44" s="15">
        <f>O34</f>
        <v>0.2909929274528954</v>
      </c>
    </row>
    <row r="45" spans="1:47" ht="15">
      <c r="A45" s="6" t="s">
        <v>61</v>
      </c>
      <c r="B45" s="6">
        <f>B23-B39</f>
        <v>20815.899999999994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41364.639999999999</v>
      </c>
      <c r="N45" s="25">
        <f>B45+M45</f>
        <v>62180.539999999994</v>
      </c>
      <c r="O45" s="7"/>
      <c r="P45" s="7"/>
      <c r="Q45" s="7"/>
      <c r="R45" s="7" t="s">
        <v>62</v>
      </c>
      <c r="S45" s="20">
        <f>SUM(S39:S44)</f>
        <v>1458.0320000000002</v>
      </c>
      <c r="T45" s="14">
        <f>SUM(T39:T44)</f>
        <v>1</v>
      </c>
    </row>
    <row r="46" spans="1:47" ht="15">
      <c r="A46" s="9" t="s">
        <v>95</v>
      </c>
      <c r="B46" s="72">
        <f>B45/B23</f>
        <v>8.9332147153275129E-2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8"/>
      <c r="D48" s="27"/>
      <c r="E48" s="28"/>
      <c r="F48" s="28"/>
      <c r="G48" s="27"/>
      <c r="H48" s="27"/>
      <c r="I48" s="27"/>
      <c r="J48" s="27"/>
      <c r="K48" s="27"/>
      <c r="L48" s="27"/>
      <c r="M48" s="27"/>
      <c r="N48" s="28"/>
      <c r="O48" s="27"/>
      <c r="P48" s="27"/>
      <c r="Q48" s="27"/>
      <c r="R48" s="4"/>
      <c r="S48" s="27"/>
      <c r="T48" s="28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8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8"/>
      <c r="O49" s="28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8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8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8"/>
      <c r="I52" s="27"/>
      <c r="J52" s="27"/>
      <c r="K52" s="27"/>
      <c r="L52" s="27"/>
      <c r="M52" s="27"/>
      <c r="N52" s="28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8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8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8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8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8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8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8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8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8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8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8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8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8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8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8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8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8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8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8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8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9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 enableFormatConditionsCalculation="0"/>
  <dimension ref="A1:AU70"/>
  <sheetViews>
    <sheetView topLeftCell="A11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98</v>
      </c>
      <c r="B22" s="52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50">
        <f>B22</f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  <c r="J23" s="9"/>
      <c r="K23" s="9"/>
      <c r="L23" s="9"/>
      <c r="M23" s="9"/>
      <c r="N23" s="9">
        <v>0</v>
      </c>
      <c r="O23" s="3"/>
      <c r="P23" s="3"/>
      <c r="Q23" s="3"/>
      <c r="R23" s="3" t="s">
        <v>27</v>
      </c>
      <c r="S23" s="12">
        <f>N42/1000</f>
        <v>472.27595999999994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A25" s="2" t="s">
        <v>100</v>
      </c>
      <c r="B25" s="2">
        <v>99864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156.28896</v>
      </c>
      <c r="T26" s="14">
        <f>M43</f>
        <v>0.33092719773413831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5.2839999999999998</v>
      </c>
      <c r="T27" s="15">
        <f>G43</f>
        <v>1.118837384820519E-2</v>
      </c>
    </row>
    <row r="28" spans="1:20" ht="15">
      <c r="A28" s="4" t="s">
        <v>64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16.713000000000001</v>
      </c>
      <c r="T29" s="14">
        <f>F43</f>
        <v>3.5388208199290942E-2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112.91500000000001</v>
      </c>
      <c r="T30" s="14">
        <f>E43</f>
        <v>0.23908691011924471</v>
      </c>
    </row>
    <row r="31" spans="1:20" ht="15">
      <c r="A31" s="5" t="s">
        <v>36</v>
      </c>
      <c r="B31" s="56">
        <v>0</v>
      </c>
      <c r="C31" s="9">
        <v>506</v>
      </c>
      <c r="D31" s="9">
        <v>0</v>
      </c>
      <c r="E31" s="9">
        <v>0</v>
      </c>
      <c r="F31" s="9">
        <v>37</v>
      </c>
      <c r="G31" s="9">
        <v>0</v>
      </c>
      <c r="H31" s="9">
        <v>0</v>
      </c>
      <c r="I31" s="9"/>
      <c r="J31" s="9"/>
      <c r="K31" s="9"/>
      <c r="L31" s="9"/>
      <c r="M31" s="9">
        <v>1303</v>
      </c>
      <c r="N31" s="9">
        <v>1846</v>
      </c>
      <c r="O31" s="16">
        <f>N31/N$39</f>
        <v>3.3584915766265867E-3</v>
      </c>
      <c r="P31" s="17" t="s">
        <v>37</v>
      </c>
      <c r="Q31" s="3"/>
      <c r="R31" s="3" t="s">
        <v>38</v>
      </c>
      <c r="S31" s="13">
        <f>C42/1000</f>
        <v>181.07499999999999</v>
      </c>
      <c r="T31" s="15">
        <f>C43</f>
        <v>0.38340931009912088</v>
      </c>
    </row>
    <row r="32" spans="1:20" ht="15">
      <c r="A32" s="5" t="s">
        <v>39</v>
      </c>
      <c r="B32" s="56">
        <v>7529.3460242334613</v>
      </c>
      <c r="C32" s="9">
        <v>1086</v>
      </c>
      <c r="D32" s="9">
        <v>0</v>
      </c>
      <c r="E32" s="62">
        <v>112915</v>
      </c>
      <c r="F32" s="9">
        <v>45</v>
      </c>
      <c r="G32" s="9">
        <v>0</v>
      </c>
      <c r="H32" s="9">
        <v>0</v>
      </c>
      <c r="I32" s="9"/>
      <c r="J32" s="9"/>
      <c r="K32" s="9"/>
      <c r="L32" s="9"/>
      <c r="M32" s="9">
        <v>11343</v>
      </c>
      <c r="N32" s="62">
        <f>M32+F32+E32+C32+B32</f>
        <v>132918.34602423347</v>
      </c>
      <c r="O32" s="16">
        <f>N32/N$39</f>
        <v>0.24182293905824814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56">
        <v>23007.009746629501</v>
      </c>
      <c r="C33" s="9">
        <v>480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9867</v>
      </c>
      <c r="N33" s="56">
        <f>SUM(B33:M33)</f>
        <v>33354.009746629497</v>
      </c>
      <c r="O33" s="16">
        <f>N33/N$39</f>
        <v>6.0682102264775863E-2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56">
        <v>0</v>
      </c>
      <c r="C34" s="9">
        <v>177862</v>
      </c>
      <c r="D34" s="9">
        <v>0</v>
      </c>
      <c r="E34" s="9">
        <v>0</v>
      </c>
      <c r="F34" s="9">
        <v>16632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43">
        <v>194494</v>
      </c>
      <c r="O34" s="16">
        <f>N34/N$39</f>
        <v>0.35384965368603</v>
      </c>
      <c r="P34" s="17" t="s">
        <v>45</v>
      </c>
      <c r="Q34" s="3"/>
      <c r="R34" s="3"/>
      <c r="S34" s="13">
        <f>SUM(S26:S33)</f>
        <v>472.27596</v>
      </c>
      <c r="T34" s="14">
        <f>SUM(T26:T33)</f>
        <v>1</v>
      </c>
    </row>
    <row r="35" spans="1:47" ht="15">
      <c r="A35" s="5" t="s">
        <v>46</v>
      </c>
      <c r="B35" s="56">
        <v>26353.72309369134</v>
      </c>
      <c r="C35" s="9">
        <v>111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76039</v>
      </c>
      <c r="N35" s="56">
        <f>SUM(B35:M35)</f>
        <v>102503.72309369134</v>
      </c>
      <c r="O35" s="16">
        <f>N35/N$39</f>
        <v>0.18648856477953765</v>
      </c>
      <c r="P35" s="17" t="s">
        <v>47</v>
      </c>
      <c r="Q35" s="17"/>
    </row>
    <row r="36" spans="1:47" ht="15">
      <c r="A36" s="5" t="s">
        <v>48</v>
      </c>
      <c r="B36" s="56">
        <v>7772.2281540474432</v>
      </c>
      <c r="C36" s="9">
        <v>552</v>
      </c>
      <c r="D36" s="9">
        <v>0</v>
      </c>
      <c r="E36" s="9">
        <v>0</v>
      </c>
      <c r="F36" s="9">
        <v>0</v>
      </c>
      <c r="G36" s="9">
        <v>5284</v>
      </c>
      <c r="H36" s="9">
        <v>0</v>
      </c>
      <c r="I36" s="9"/>
      <c r="J36" s="9"/>
      <c r="K36" s="9"/>
      <c r="L36" s="9"/>
      <c r="M36" s="9">
        <v>38057</v>
      </c>
      <c r="N36" s="56">
        <f>SUM(B36:M36)</f>
        <v>51665.228154047443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56">
        <v>24288.212981398257</v>
      </c>
      <c r="C37" s="9">
        <v>479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8088</v>
      </c>
      <c r="N37" s="56">
        <f>SUM(B37:M37)</f>
        <v>32855.212981398261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56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15</v>
      </c>
      <c r="N38" s="43">
        <v>15</v>
      </c>
      <c r="O38" s="17">
        <f>SUM(O31:O35)</f>
        <v>0.84620175136521836</v>
      </c>
      <c r="P38" s="17"/>
      <c r="Q38" s="3"/>
      <c r="R38" s="7" t="s">
        <v>51</v>
      </c>
      <c r="S38" s="19">
        <f>N45/1000</f>
        <v>22.490439999999996</v>
      </c>
      <c r="T38" s="7"/>
    </row>
    <row r="39" spans="1:47" ht="15">
      <c r="A39" s="5" t="s">
        <v>17</v>
      </c>
      <c r="B39" s="56">
        <v>88950.52</v>
      </c>
      <c r="C39" s="9">
        <v>181075</v>
      </c>
      <c r="D39" s="9">
        <v>0</v>
      </c>
      <c r="E39" s="62">
        <f>SUM(E31:E38)</f>
        <v>112915</v>
      </c>
      <c r="F39" s="9">
        <v>16713</v>
      </c>
      <c r="G39" s="9">
        <v>5284</v>
      </c>
      <c r="H39" s="9">
        <v>0</v>
      </c>
      <c r="I39" s="9"/>
      <c r="J39" s="9"/>
      <c r="K39" s="9"/>
      <c r="L39" s="9"/>
      <c r="M39" s="9">
        <v>144712</v>
      </c>
      <c r="N39" s="62">
        <f>N38+N37+N36+N35+N34+N33+N32+N31</f>
        <v>549651.52</v>
      </c>
      <c r="O39" s="3"/>
      <c r="P39" s="3"/>
      <c r="Q39" s="3"/>
      <c r="R39" s="7" t="s">
        <v>52</v>
      </c>
      <c r="S39" s="20">
        <f>N41/1000</f>
        <v>84.535441135445694</v>
      </c>
      <c r="T39" s="14">
        <f>O41</f>
        <v>0.15379824863478173</v>
      </c>
    </row>
    <row r="40" spans="1:47">
      <c r="R40" s="7" t="s">
        <v>53</v>
      </c>
      <c r="S40" s="20">
        <f>N35/1000</f>
        <v>102.50372309369133</v>
      </c>
      <c r="T40" s="15">
        <f>O35</f>
        <v>0.18648856477953765</v>
      </c>
    </row>
    <row r="41" spans="1:47" ht="15">
      <c r="A41" s="21" t="s">
        <v>54</v>
      </c>
      <c r="B41" s="69">
        <f>B38+B37+B36</f>
        <v>32060.441135445701</v>
      </c>
      <c r="C41" s="22">
        <f t="shared" ref="C41:N41" si="0">C38+C37+C36</f>
        <v>1031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5284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46160</v>
      </c>
      <c r="N41" s="22">
        <f t="shared" si="0"/>
        <v>84535.441135445697</v>
      </c>
      <c r="O41" s="16">
        <f>N41/N$39</f>
        <v>0.15379824863478173</v>
      </c>
      <c r="P41" s="16" t="s">
        <v>55</v>
      </c>
      <c r="Q41" s="7"/>
      <c r="R41" s="7" t="s">
        <v>56</v>
      </c>
      <c r="S41" s="20">
        <f>N33/1000</f>
        <v>33.354009746629501</v>
      </c>
      <c r="T41" s="14">
        <f>O33</f>
        <v>6.0682102264775863E-2</v>
      </c>
    </row>
    <row r="42" spans="1:47" ht="15">
      <c r="A42" s="23" t="s">
        <v>57</v>
      </c>
      <c r="B42" s="69"/>
      <c r="C42" s="24">
        <f>C39+C23+C10</f>
        <v>181075</v>
      </c>
      <c r="D42" s="24">
        <f t="shared" ref="D42:L42" si="1">D39+D23+D10</f>
        <v>0</v>
      </c>
      <c r="E42" s="24">
        <f t="shared" si="1"/>
        <v>112915</v>
      </c>
      <c r="F42" s="24">
        <f t="shared" si="1"/>
        <v>16713</v>
      </c>
      <c r="G42" s="24">
        <f t="shared" si="1"/>
        <v>5284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156288.95999999999</v>
      </c>
      <c r="N42" s="25">
        <f>SUM(C42:M42)</f>
        <v>472275.95999999996</v>
      </c>
      <c r="O42" s="7"/>
      <c r="P42" s="7"/>
      <c r="Q42" s="7"/>
      <c r="R42" s="7" t="s">
        <v>37</v>
      </c>
      <c r="S42" s="20">
        <f>N31/1000</f>
        <v>1.8460000000000001</v>
      </c>
      <c r="T42" s="14">
        <f>O31</f>
        <v>3.3584915766265867E-3</v>
      </c>
    </row>
    <row r="43" spans="1:47" ht="15">
      <c r="A43" s="23" t="s">
        <v>58</v>
      </c>
      <c r="B43" s="69"/>
      <c r="C43" s="16">
        <f t="shared" ref="C43:M43" si="2">C42/$N42</f>
        <v>0.38340931009912088</v>
      </c>
      <c r="D43" s="16">
        <f t="shared" si="2"/>
        <v>0</v>
      </c>
      <c r="E43" s="16">
        <f t="shared" si="2"/>
        <v>0.23908691011924471</v>
      </c>
      <c r="F43" s="16">
        <f t="shared" si="2"/>
        <v>3.5388208199290942E-2</v>
      </c>
      <c r="G43" s="16">
        <f t="shared" si="2"/>
        <v>1.118837384820519E-2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0.33092719773413831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132.91834602423347</v>
      </c>
      <c r="T43" s="15">
        <f>O32</f>
        <v>0.24182293905824814</v>
      </c>
    </row>
    <row r="44" spans="1:47">
      <c r="A44" s="6"/>
      <c r="B44" s="7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194.494</v>
      </c>
      <c r="T44" s="15">
        <f>O34</f>
        <v>0.35384965368603</v>
      </c>
    </row>
    <row r="45" spans="1:47" ht="15">
      <c r="A45" s="6" t="s">
        <v>61</v>
      </c>
      <c r="B45" s="70">
        <f>B25-B39</f>
        <v>10913.479999999996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11576.960000000001</v>
      </c>
      <c r="N45" s="25">
        <f>B45+M45</f>
        <v>22490.439999999995</v>
      </c>
      <c r="O45" s="7"/>
      <c r="P45" s="7"/>
      <c r="Q45" s="7"/>
      <c r="R45" s="7" t="s">
        <v>62</v>
      </c>
      <c r="S45" s="20">
        <f>SUM(S39:S44)</f>
        <v>549.65152</v>
      </c>
      <c r="T45" s="14">
        <f>SUM(T39:T44)</f>
        <v>1</v>
      </c>
    </row>
    <row r="46" spans="1:47" ht="15">
      <c r="A46" s="6" t="s">
        <v>95</v>
      </c>
      <c r="B46" s="71">
        <f>B45/B25</f>
        <v>0.10928342545862368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7"/>
      <c r="H48" s="27"/>
      <c r="I48" s="27"/>
      <c r="J48" s="27"/>
      <c r="K48" s="27"/>
      <c r="L48" s="27"/>
      <c r="M48" s="27"/>
      <c r="N48" s="27"/>
      <c r="O48" s="28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7"/>
      <c r="I55" s="27"/>
      <c r="J55" s="27"/>
      <c r="K55" s="27"/>
      <c r="L55" s="27"/>
      <c r="M55" s="27"/>
      <c r="N55" s="27"/>
      <c r="O55" s="28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7"/>
      <c r="I56" s="27"/>
      <c r="J56" s="27"/>
      <c r="K56" s="27"/>
      <c r="L56" s="27"/>
      <c r="M56" s="27"/>
      <c r="N56" s="27"/>
      <c r="O56" s="28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 enableFormatConditionsCalculation="0"/>
  <dimension ref="A1:AU70"/>
  <sheetViews>
    <sheetView topLeftCell="A4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  <c r="J23" s="9"/>
      <c r="K23" s="9"/>
      <c r="L23" s="9"/>
      <c r="M23" s="9"/>
      <c r="N23" s="9">
        <v>0</v>
      </c>
      <c r="O23" s="3"/>
      <c r="P23" s="3"/>
      <c r="Q23" s="3"/>
      <c r="R23" s="3" t="s">
        <v>27</v>
      </c>
      <c r="S23" s="12">
        <f>N42/1000</f>
        <v>553.22152000000006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336.44051999999999</v>
      </c>
      <c r="T26" s="14">
        <f>M43</f>
        <v>0.60814792598812861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13.872</v>
      </c>
      <c r="T27" s="15">
        <f>G43</f>
        <v>2.5074946469905941E-2</v>
      </c>
    </row>
    <row r="28" spans="1:20" ht="15">
      <c r="A28" s="4" t="s">
        <v>65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15.678000000000001</v>
      </c>
      <c r="T29" s="14">
        <f>F43</f>
        <v>2.8339461559629856E-2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3.0169999999999999</v>
      </c>
      <c r="T30" s="14">
        <f>E43</f>
        <v>5.4535116421356852E-3</v>
      </c>
    </row>
    <row r="31" spans="1:20" ht="15">
      <c r="A31" s="5" t="s">
        <v>36</v>
      </c>
      <c r="B31" s="9">
        <v>0</v>
      </c>
      <c r="C31" s="62">
        <f>(N31-M31)*0.91</f>
        <v>15166.060000000001</v>
      </c>
      <c r="D31" s="43">
        <v>0</v>
      </c>
      <c r="E31" s="43">
        <v>0</v>
      </c>
      <c r="F31" s="62">
        <f>(N31-M31)*0.09</f>
        <v>1499.94</v>
      </c>
      <c r="G31" s="9">
        <v>0</v>
      </c>
      <c r="H31" s="9">
        <v>0</v>
      </c>
      <c r="I31" s="9"/>
      <c r="J31" s="9"/>
      <c r="K31" s="9"/>
      <c r="L31" s="9"/>
      <c r="M31" s="9">
        <v>12888</v>
      </c>
      <c r="N31" s="9">
        <v>29554</v>
      </c>
      <c r="O31" s="16">
        <f>N31/N$39</f>
        <v>5.5941699791784968E-2</v>
      </c>
      <c r="P31" s="17" t="s">
        <v>37</v>
      </c>
      <c r="Q31" s="3"/>
      <c r="R31" s="3" t="s">
        <v>38</v>
      </c>
      <c r="S31" s="13">
        <f>C42/1000</f>
        <v>184.214</v>
      </c>
      <c r="T31" s="15">
        <f>C43</f>
        <v>0.3329841543401999</v>
      </c>
    </row>
    <row r="32" spans="1:20" ht="15">
      <c r="A32" s="5" t="s">
        <v>39</v>
      </c>
      <c r="B32" s="9">
        <v>0</v>
      </c>
      <c r="C32" s="62">
        <f>C39-C31-C34-C33-C35-C36-C37</f>
        <v>1652.9400000000023</v>
      </c>
      <c r="D32" s="43">
        <v>0</v>
      </c>
      <c r="E32" s="43">
        <v>3017</v>
      </c>
      <c r="F32" s="62">
        <f>F39-F34-F31</f>
        <v>27.059999999999945</v>
      </c>
      <c r="G32" s="9">
        <v>0</v>
      </c>
      <c r="H32" s="9">
        <v>0</v>
      </c>
      <c r="I32" s="9"/>
      <c r="J32" s="9"/>
      <c r="K32" s="9"/>
      <c r="L32" s="9"/>
      <c r="M32" s="9">
        <v>14069</v>
      </c>
      <c r="N32" s="9">
        <v>18766</v>
      </c>
      <c r="O32" s="16">
        <f>N32/N$39</f>
        <v>3.5521484005300016E-2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0</v>
      </c>
      <c r="C33" s="9">
        <v>1044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28415</v>
      </c>
      <c r="N33" s="9">
        <v>29459</v>
      </c>
      <c r="O33" s="16">
        <f>N33/N$39</f>
        <v>5.5761877720991858E-2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164229</v>
      </c>
      <c r="D34" s="9">
        <v>0</v>
      </c>
      <c r="E34" s="9">
        <v>0</v>
      </c>
      <c r="F34" s="9">
        <v>14151</v>
      </c>
      <c r="G34" s="9">
        <v>0</v>
      </c>
      <c r="H34" s="9">
        <v>0</v>
      </c>
      <c r="I34" s="9"/>
      <c r="J34" s="9"/>
      <c r="K34" s="9"/>
      <c r="L34" s="9"/>
      <c r="M34" s="9">
        <v>46</v>
      </c>
      <c r="N34" s="9">
        <v>178426</v>
      </c>
      <c r="O34" s="16">
        <f>N34/N$39</f>
        <v>0.33773613477190989</v>
      </c>
      <c r="P34" s="17" t="s">
        <v>45</v>
      </c>
      <c r="Q34" s="3"/>
      <c r="R34" s="3"/>
      <c r="S34" s="13">
        <f>SUM(S26:S33)</f>
        <v>553.22152000000006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203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35099</v>
      </c>
      <c r="N35" s="9">
        <v>35302</v>
      </c>
      <c r="O35" s="16">
        <f>N35/N$39</f>
        <v>6.6821881506719666E-2</v>
      </c>
      <c r="P35" s="17" t="s">
        <v>47</v>
      </c>
      <c r="Q35" s="17"/>
    </row>
    <row r="36" spans="1:47" ht="15">
      <c r="A36" s="5" t="s">
        <v>48</v>
      </c>
      <c r="B36" s="9">
        <v>0</v>
      </c>
      <c r="C36" s="9">
        <v>1540</v>
      </c>
      <c r="D36" s="9">
        <v>0</v>
      </c>
      <c r="E36" s="9">
        <v>0</v>
      </c>
      <c r="F36" s="9">
        <v>0</v>
      </c>
      <c r="G36" s="9">
        <v>13872</v>
      </c>
      <c r="H36" s="9">
        <v>0</v>
      </c>
      <c r="I36" s="9"/>
      <c r="J36" s="9"/>
      <c r="K36" s="9"/>
      <c r="L36" s="9"/>
      <c r="M36" s="9">
        <v>190589</v>
      </c>
      <c r="N36" s="9">
        <v>206001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0</v>
      </c>
      <c r="C37" s="9">
        <v>379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8223</v>
      </c>
      <c r="N37" s="9">
        <v>8602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22190</v>
      </c>
      <c r="N38" s="9">
        <v>22190</v>
      </c>
      <c r="O38" s="17">
        <f>SUM(O31:O35)</f>
        <v>0.55178307779670643</v>
      </c>
      <c r="P38" s="17"/>
      <c r="Q38" s="3"/>
      <c r="R38" s="7" t="s">
        <v>51</v>
      </c>
      <c r="S38" s="19">
        <f>N45/1000</f>
        <v>24.921520000000001</v>
      </c>
      <c r="T38" s="7"/>
    </row>
    <row r="39" spans="1:47" ht="15">
      <c r="A39" s="5" t="s">
        <v>17</v>
      </c>
      <c r="B39" s="9">
        <v>0</v>
      </c>
      <c r="C39" s="9">
        <v>184214</v>
      </c>
      <c r="D39" s="9">
        <v>0</v>
      </c>
      <c r="E39" s="9">
        <v>3017</v>
      </c>
      <c r="F39" s="9">
        <v>15678</v>
      </c>
      <c r="G39" s="9">
        <v>13872</v>
      </c>
      <c r="H39" s="9">
        <v>0</v>
      </c>
      <c r="I39" s="9"/>
      <c r="J39" s="9"/>
      <c r="K39" s="9"/>
      <c r="L39" s="9"/>
      <c r="M39" s="9">
        <v>311519</v>
      </c>
      <c r="N39" s="9">
        <v>528300</v>
      </c>
      <c r="O39" s="3"/>
      <c r="P39" s="3"/>
      <c r="Q39" s="3"/>
      <c r="R39" s="7" t="s">
        <v>52</v>
      </c>
      <c r="S39" s="20">
        <f>N41/1000</f>
        <v>236.79300000000001</v>
      </c>
      <c r="T39" s="14">
        <f>O41</f>
        <v>0.44821692220329357</v>
      </c>
    </row>
    <row r="40" spans="1:47">
      <c r="R40" s="7" t="s">
        <v>53</v>
      </c>
      <c r="S40" s="20">
        <f>N35/1000</f>
        <v>35.302</v>
      </c>
      <c r="T40" s="15">
        <f>O35</f>
        <v>6.6821881506719666E-2</v>
      </c>
    </row>
    <row r="41" spans="1:47" ht="15">
      <c r="A41" s="21" t="s">
        <v>54</v>
      </c>
      <c r="B41" s="22">
        <f>B38+B37+B36</f>
        <v>0</v>
      </c>
      <c r="C41" s="22">
        <f t="shared" ref="C41:N41" si="0">C38+C37+C36</f>
        <v>1919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13872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221002</v>
      </c>
      <c r="N41" s="22">
        <f t="shared" si="0"/>
        <v>236793</v>
      </c>
      <c r="O41" s="16">
        <f>N41/N$39</f>
        <v>0.44821692220329357</v>
      </c>
      <c r="P41" s="16" t="s">
        <v>55</v>
      </c>
      <c r="Q41" s="7"/>
      <c r="R41" s="7" t="s">
        <v>56</v>
      </c>
      <c r="S41" s="20">
        <f>N33/1000</f>
        <v>29.459</v>
      </c>
      <c r="T41" s="14">
        <f>O33</f>
        <v>5.5761877720991858E-2</v>
      </c>
    </row>
    <row r="42" spans="1:47" ht="15">
      <c r="A42" s="23" t="s">
        <v>57</v>
      </c>
      <c r="B42" s="22"/>
      <c r="C42" s="24">
        <f>C39+C23+C10</f>
        <v>184214</v>
      </c>
      <c r="D42" s="24">
        <f t="shared" ref="D42:L42" si="1">D39+D23+D10</f>
        <v>0</v>
      </c>
      <c r="E42" s="24">
        <f t="shared" si="1"/>
        <v>3017</v>
      </c>
      <c r="F42" s="24">
        <f t="shared" si="1"/>
        <v>15678</v>
      </c>
      <c r="G42" s="24">
        <f t="shared" si="1"/>
        <v>13872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336440.52</v>
      </c>
      <c r="N42" s="25">
        <f>SUM(C42:M42)</f>
        <v>553221.52</v>
      </c>
      <c r="O42" s="7"/>
      <c r="P42" s="7"/>
      <c r="Q42" s="7"/>
      <c r="R42" s="7" t="s">
        <v>37</v>
      </c>
      <c r="S42" s="20">
        <f>N31/1000</f>
        <v>29.553999999999998</v>
      </c>
      <c r="T42" s="14">
        <f>O31</f>
        <v>5.5941699791784968E-2</v>
      </c>
    </row>
    <row r="43" spans="1:47" ht="15">
      <c r="A43" s="23" t="s">
        <v>58</v>
      </c>
      <c r="B43" s="22"/>
      <c r="C43" s="16">
        <f t="shared" ref="C43:M43" si="2">C42/$N42</f>
        <v>0.3329841543401999</v>
      </c>
      <c r="D43" s="16">
        <f t="shared" si="2"/>
        <v>0</v>
      </c>
      <c r="E43" s="16">
        <f t="shared" si="2"/>
        <v>5.4535116421356852E-3</v>
      </c>
      <c r="F43" s="16">
        <f t="shared" si="2"/>
        <v>2.8339461559629856E-2</v>
      </c>
      <c r="G43" s="16">
        <f t="shared" si="2"/>
        <v>2.5074946469905941E-2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0.60814792598812861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18.765999999999998</v>
      </c>
      <c r="T43" s="15">
        <f>O32</f>
        <v>3.5521484005300016E-2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178.42599999999999</v>
      </c>
      <c r="T44" s="15">
        <f>O34</f>
        <v>0.33773613477190989</v>
      </c>
    </row>
    <row r="45" spans="1:47" ht="15">
      <c r="A45" s="6" t="s">
        <v>61</v>
      </c>
      <c r="B45" s="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24921.52</v>
      </c>
      <c r="N45" s="25">
        <f>B45+M45</f>
        <v>24921.52</v>
      </c>
      <c r="O45" s="7"/>
      <c r="P45" s="7"/>
      <c r="Q45" s="7"/>
      <c r="R45" s="7" t="s">
        <v>62</v>
      </c>
      <c r="S45" s="20">
        <f>SUM(S39:S44)</f>
        <v>528.29999999999995</v>
      </c>
      <c r="T45" s="14">
        <f>SUM(T39:T44)</f>
        <v>0.99999999999999989</v>
      </c>
    </row>
    <row r="46" spans="1:47" ht="15">
      <c r="A46" s="6" t="s">
        <v>95</v>
      </c>
      <c r="B46" s="40"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9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9"/>
      <c r="D48" s="28"/>
      <c r="E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 enableFormatConditionsCalculation="0"/>
  <dimension ref="A1:AU70"/>
  <sheetViews>
    <sheetView topLeftCell="A14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62">
        <f>B10-B9</f>
        <v>41658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1448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43106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14257</v>
      </c>
      <c r="C18" s="9">
        <v>70</v>
      </c>
      <c r="D18" s="9">
        <v>0</v>
      </c>
      <c r="E18" s="9">
        <v>0</v>
      </c>
      <c r="F18" s="9">
        <v>0</v>
      </c>
      <c r="G18" s="9">
        <v>15040</v>
      </c>
      <c r="H18" s="9">
        <v>0</v>
      </c>
      <c r="I18" s="9"/>
      <c r="J18" s="9"/>
      <c r="K18" s="9"/>
      <c r="L18" s="9"/>
      <c r="M18" s="9"/>
      <c r="N18" s="9">
        <v>15110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4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4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14257</v>
      </c>
      <c r="C23" s="9">
        <v>70</v>
      </c>
      <c r="D23" s="9">
        <v>0</v>
      </c>
      <c r="E23" s="9">
        <v>0</v>
      </c>
      <c r="F23" s="9">
        <v>0</v>
      </c>
      <c r="G23" s="9">
        <v>15040</v>
      </c>
      <c r="H23" s="9">
        <v>0</v>
      </c>
      <c r="I23" s="9"/>
      <c r="J23" s="9"/>
      <c r="K23" s="9"/>
      <c r="L23" s="9"/>
      <c r="M23" s="9"/>
      <c r="N23" s="9">
        <v>15110</v>
      </c>
      <c r="O23" s="3"/>
      <c r="P23" s="3"/>
      <c r="Q23" s="3"/>
      <c r="R23" s="3" t="s">
        <v>27</v>
      </c>
      <c r="S23" s="12">
        <f>N42/1000</f>
        <v>319.10467999999997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163.88567999999998</v>
      </c>
      <c r="T26" s="14">
        <f>M43</f>
        <v>0.51357968175208213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58.84</v>
      </c>
      <c r="T27" s="15">
        <f>G43</f>
        <v>0.18439090269688305</v>
      </c>
    </row>
    <row r="28" spans="1:20" ht="15">
      <c r="A28" s="4" t="s">
        <v>66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6.673</v>
      </c>
      <c r="T29" s="14">
        <f>F43</f>
        <v>2.0911633135559153E-2</v>
      </c>
    </row>
    <row r="30" spans="1:20" ht="15">
      <c r="B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5.4349999999999996</v>
      </c>
      <c r="T30" s="14">
        <f>E43</f>
        <v>1.7032028486702232E-2</v>
      </c>
    </row>
    <row r="31" spans="1:20" ht="15">
      <c r="A31" s="5" t="s">
        <v>36</v>
      </c>
      <c r="B31" s="9">
        <v>0</v>
      </c>
      <c r="C31" s="52">
        <f>(F31/9)*91</f>
        <v>8827</v>
      </c>
      <c r="D31" s="9">
        <v>0</v>
      </c>
      <c r="E31" s="9">
        <v>0</v>
      </c>
      <c r="F31" s="9">
        <v>873</v>
      </c>
      <c r="G31" s="9">
        <v>0</v>
      </c>
      <c r="H31" s="9">
        <v>0</v>
      </c>
      <c r="I31" s="9"/>
      <c r="J31" s="9"/>
      <c r="K31" s="9"/>
      <c r="L31" s="9"/>
      <c r="M31" s="62">
        <f>N31-F31-C31</f>
        <v>8670</v>
      </c>
      <c r="N31" s="9">
        <v>18370</v>
      </c>
      <c r="O31" s="16">
        <f>N31/N$39</f>
        <v>6.2183286676122225E-2</v>
      </c>
      <c r="P31" s="17" t="s">
        <v>37</v>
      </c>
      <c r="Q31" s="3"/>
      <c r="R31" s="3" t="s">
        <v>38</v>
      </c>
      <c r="S31" s="13">
        <f>C42/1000</f>
        <v>84.271000000000001</v>
      </c>
      <c r="T31" s="15">
        <f>C43</f>
        <v>0.26408575392877348</v>
      </c>
    </row>
    <row r="32" spans="1:20" ht="15">
      <c r="A32" s="5" t="s">
        <v>39</v>
      </c>
      <c r="B32" s="9">
        <v>328</v>
      </c>
      <c r="C32" s="9">
        <v>1649</v>
      </c>
      <c r="D32" s="9">
        <v>0</v>
      </c>
      <c r="E32" s="9">
        <v>5435</v>
      </c>
      <c r="F32" s="9">
        <v>84</v>
      </c>
      <c r="G32" s="62">
        <f>G39-G36</f>
        <v>4300</v>
      </c>
      <c r="H32" s="9">
        <v>0</v>
      </c>
      <c r="I32" s="9"/>
      <c r="J32" s="9"/>
      <c r="K32" s="9"/>
      <c r="L32" s="9"/>
      <c r="M32" s="62">
        <f>N32-G32-F32-E32-C32-B32</f>
        <v>33920</v>
      </c>
      <c r="N32" s="9">
        <v>45716</v>
      </c>
      <c r="O32" s="16">
        <f>N32/N$39</f>
        <v>0.15475074217123591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2578</v>
      </c>
      <c r="C33" s="62">
        <f>C39-C31-C32-C34-C35-C36</f>
        <v>2595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62">
        <f>N33-C33-B33</f>
        <v>13231</v>
      </c>
      <c r="N33" s="9">
        <v>18404</v>
      </c>
      <c r="O33" s="16">
        <f>N33/N$39</f>
        <v>6.2298378224679013E-2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69318</v>
      </c>
      <c r="D34" s="9">
        <v>0</v>
      </c>
      <c r="E34" s="9">
        <v>0</v>
      </c>
      <c r="F34" s="9">
        <v>5717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75035</v>
      </c>
      <c r="O34" s="16">
        <f>N34/N$39</f>
        <v>0.25399689252818897</v>
      </c>
      <c r="P34" s="17" t="s">
        <v>45</v>
      </c>
      <c r="Q34" s="3"/>
      <c r="R34" s="3"/>
      <c r="S34" s="13">
        <f>SUM(S26:S33)</f>
        <v>319.10467999999997</v>
      </c>
      <c r="T34" s="14">
        <f>SUM(T26:T33)</f>
        <v>1</v>
      </c>
    </row>
    <row r="35" spans="1:47" ht="15">
      <c r="A35" s="5" t="s">
        <v>46</v>
      </c>
      <c r="B35" s="56">
        <f>C48</f>
        <v>0</v>
      </c>
      <c r="C35" s="9">
        <v>1069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35748</v>
      </c>
      <c r="N35" s="56">
        <f>M35+C35+B35</f>
        <v>36817</v>
      </c>
      <c r="O35" s="16">
        <f>N35/N$39</f>
        <v>0.12462722185927011</v>
      </c>
      <c r="P35" s="17" t="s">
        <v>47</v>
      </c>
      <c r="Q35" s="17"/>
    </row>
    <row r="36" spans="1:47" ht="15">
      <c r="A36" s="5" t="s">
        <v>48</v>
      </c>
      <c r="B36" s="9">
        <v>455</v>
      </c>
      <c r="C36" s="9">
        <v>743</v>
      </c>
      <c r="D36" s="9">
        <v>0</v>
      </c>
      <c r="E36" s="9">
        <v>0</v>
      </c>
      <c r="F36" s="9">
        <v>0</v>
      </c>
      <c r="G36" s="62">
        <v>39500</v>
      </c>
      <c r="H36" s="9">
        <v>0</v>
      </c>
      <c r="I36" s="9"/>
      <c r="J36" s="9"/>
      <c r="K36" s="9"/>
      <c r="L36" s="9"/>
      <c r="M36" s="62">
        <f>M39-M31-M32-M33-M35-M37-M38</f>
        <v>53205</v>
      </c>
      <c r="N36" s="62">
        <f>M36+G36+C36+B36</f>
        <v>93903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200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3721</v>
      </c>
      <c r="N37" s="9">
        <v>3921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62">
        <v>3251</v>
      </c>
      <c r="N38" s="62">
        <f>M38</f>
        <v>3251</v>
      </c>
      <c r="O38" s="17">
        <f>SUM(O31:O35)</f>
        <v>0.65785652145949625</v>
      </c>
      <c r="P38" s="17"/>
      <c r="Q38" s="3"/>
      <c r="R38" s="7" t="s">
        <v>51</v>
      </c>
      <c r="S38" s="19">
        <f>N45/1000</f>
        <v>22.83568</v>
      </c>
      <c r="T38" s="7"/>
    </row>
    <row r="39" spans="1:47" ht="15">
      <c r="A39" s="5" t="s">
        <v>17</v>
      </c>
      <c r="B39" s="9">
        <f>B31+B32+B33+B34+B35+B36+B37</f>
        <v>3561</v>
      </c>
      <c r="C39" s="9">
        <v>84201</v>
      </c>
      <c r="D39" s="9">
        <v>0</v>
      </c>
      <c r="E39" s="9">
        <v>5435</v>
      </c>
      <c r="F39" s="9">
        <v>6673</v>
      </c>
      <c r="G39" s="9">
        <v>43800</v>
      </c>
      <c r="H39" s="9">
        <v>0</v>
      </c>
      <c r="I39" s="9"/>
      <c r="J39" s="9"/>
      <c r="K39" s="9"/>
      <c r="L39" s="9"/>
      <c r="M39" s="9">
        <v>151746</v>
      </c>
      <c r="N39" s="56">
        <f>SUM(N31:N38)</f>
        <v>295417</v>
      </c>
      <c r="O39" s="3"/>
      <c r="P39" s="3"/>
      <c r="Q39" s="3"/>
      <c r="R39" s="7" t="s">
        <v>52</v>
      </c>
      <c r="S39" s="20">
        <f>N41/1000</f>
        <v>101.075</v>
      </c>
      <c r="T39" s="14">
        <f>O41</f>
        <v>0.34214347854050375</v>
      </c>
    </row>
    <row r="40" spans="1:47">
      <c r="R40" s="7" t="s">
        <v>53</v>
      </c>
      <c r="S40" s="20">
        <f>N35/1000</f>
        <v>36.817</v>
      </c>
      <c r="T40" s="15">
        <f>O35</f>
        <v>0.12462722185927011</v>
      </c>
    </row>
    <row r="41" spans="1:47" ht="15">
      <c r="A41" s="21" t="s">
        <v>54</v>
      </c>
      <c r="B41" s="22">
        <f>B38+B37+B36</f>
        <v>655</v>
      </c>
      <c r="C41" s="22">
        <f t="shared" ref="C41:N41" si="0">C38+C37+C36</f>
        <v>743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>G38+G37+G36</f>
        <v>39500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60177</v>
      </c>
      <c r="N41" s="22">
        <f t="shared" si="0"/>
        <v>101075</v>
      </c>
      <c r="O41" s="16">
        <f>N41/N$39</f>
        <v>0.34214347854050375</v>
      </c>
      <c r="P41" s="16" t="s">
        <v>55</v>
      </c>
      <c r="Q41" s="7"/>
      <c r="R41" s="7" t="s">
        <v>56</v>
      </c>
      <c r="S41" s="20">
        <f>N33/1000</f>
        <v>18.404</v>
      </c>
      <c r="T41" s="14">
        <f>O33</f>
        <v>6.2298378224679013E-2</v>
      </c>
    </row>
    <row r="42" spans="1:47" ht="15">
      <c r="A42" s="23" t="s">
        <v>57</v>
      </c>
      <c r="B42" s="22"/>
      <c r="C42" s="24">
        <f>C39+C23+C10</f>
        <v>84271</v>
      </c>
      <c r="D42" s="24">
        <f t="shared" ref="D42:L42" si="1">D39+D23+D10</f>
        <v>0</v>
      </c>
      <c r="E42" s="24">
        <f t="shared" si="1"/>
        <v>5435</v>
      </c>
      <c r="F42" s="24">
        <f t="shared" si="1"/>
        <v>6673</v>
      </c>
      <c r="G42" s="24">
        <f t="shared" si="1"/>
        <v>58840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163885.68</v>
      </c>
      <c r="N42" s="25">
        <f>SUM(C42:M42)</f>
        <v>319104.68</v>
      </c>
      <c r="O42" s="7"/>
      <c r="P42" s="7"/>
      <c r="Q42" s="7"/>
      <c r="R42" s="7" t="s">
        <v>37</v>
      </c>
      <c r="S42" s="20">
        <f>N31/1000</f>
        <v>18.37</v>
      </c>
      <c r="T42" s="14">
        <f>O31</f>
        <v>6.2183286676122225E-2</v>
      </c>
    </row>
    <row r="43" spans="1:47" ht="15">
      <c r="A43" s="23" t="s">
        <v>58</v>
      </c>
      <c r="B43" s="22"/>
      <c r="C43" s="16">
        <f t="shared" ref="C43:M43" si="2">C42/$N42</f>
        <v>0.26408575392877348</v>
      </c>
      <c r="D43" s="16">
        <f t="shared" si="2"/>
        <v>0</v>
      </c>
      <c r="E43" s="16">
        <f t="shared" si="2"/>
        <v>1.7032028486702232E-2</v>
      </c>
      <c r="F43" s="16">
        <f t="shared" si="2"/>
        <v>2.0911633135559153E-2</v>
      </c>
      <c r="G43" s="16">
        <f t="shared" si="2"/>
        <v>0.18439090269688305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0.51357968175208213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45.716000000000001</v>
      </c>
      <c r="T43" s="15">
        <f>O32</f>
        <v>0.15475074217123591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75.034999999999997</v>
      </c>
      <c r="T44" s="15">
        <f>O34</f>
        <v>0.25399689252818897</v>
      </c>
    </row>
    <row r="45" spans="1:47" ht="15">
      <c r="A45" s="6" t="s">
        <v>61</v>
      </c>
      <c r="B45" s="6">
        <f>B23-B39</f>
        <v>10696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12139.68</v>
      </c>
      <c r="N45" s="25">
        <f>B45+M45</f>
        <v>22835.68</v>
      </c>
      <c r="O45" s="7"/>
      <c r="P45" s="7"/>
      <c r="Q45" s="7"/>
      <c r="R45" s="7" t="s">
        <v>62</v>
      </c>
      <c r="S45" s="20">
        <f>SUM(S39:S44)</f>
        <v>295.41700000000003</v>
      </c>
      <c r="T45" s="14">
        <f>SUM(T39:T44)</f>
        <v>1</v>
      </c>
    </row>
    <row r="46" spans="1:47" ht="15">
      <c r="A46" s="9" t="s">
        <v>95</v>
      </c>
      <c r="B46" s="41">
        <f>B45/B23</f>
        <v>0.75022795819597388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7"/>
      <c r="H47" s="27"/>
      <c r="I47" s="27"/>
      <c r="J47" s="27"/>
      <c r="K47" s="27"/>
      <c r="L47" s="27"/>
      <c r="M47" s="27"/>
      <c r="N47" s="28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8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8"/>
      <c r="E49" s="27"/>
      <c r="F49" s="27"/>
      <c r="G49" s="27"/>
      <c r="H49" s="27"/>
      <c r="I49" s="27"/>
      <c r="J49" s="27"/>
      <c r="K49" s="27"/>
      <c r="L49" s="27"/>
      <c r="M49" s="27"/>
      <c r="N49" s="28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8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8"/>
      <c r="I52" s="27"/>
      <c r="J52" s="27"/>
      <c r="K52" s="27"/>
      <c r="L52" s="27"/>
      <c r="M52" s="27"/>
      <c r="N52" s="28"/>
      <c r="O52" s="28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8"/>
      <c r="O54" s="28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 enableFormatConditionsCalculation="0"/>
  <dimension ref="A1:AU70"/>
  <sheetViews>
    <sheetView topLeftCell="A18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35059</v>
      </c>
      <c r="C18" s="9">
        <v>149</v>
      </c>
      <c r="D18" s="9">
        <v>0</v>
      </c>
      <c r="E18" s="9">
        <v>0</v>
      </c>
      <c r="F18" s="9">
        <v>0</v>
      </c>
      <c r="G18" s="9">
        <v>35830</v>
      </c>
      <c r="H18" s="9">
        <v>0</v>
      </c>
      <c r="I18" s="9"/>
      <c r="J18" s="9"/>
      <c r="K18" s="9"/>
      <c r="L18" s="9"/>
      <c r="M18" s="9"/>
      <c r="N18" s="9">
        <v>35979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56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35059</v>
      </c>
      <c r="C23" s="9">
        <v>149</v>
      </c>
      <c r="D23" s="9">
        <v>0</v>
      </c>
      <c r="E23" s="9">
        <v>0</v>
      </c>
      <c r="F23" s="9">
        <v>0</v>
      </c>
      <c r="G23" s="9">
        <v>35830</v>
      </c>
      <c r="H23" s="9">
        <v>0</v>
      </c>
      <c r="I23" s="9"/>
      <c r="J23" s="56"/>
      <c r="K23" s="9"/>
      <c r="L23" s="9"/>
      <c r="M23" s="9"/>
      <c r="N23" s="9">
        <v>35979</v>
      </c>
      <c r="O23" s="3"/>
      <c r="P23" s="3"/>
      <c r="Q23" s="3"/>
      <c r="R23" s="3" t="s">
        <v>27</v>
      </c>
      <c r="S23" s="12">
        <f>N42/1000</f>
        <v>380.55056000000002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105.82056</v>
      </c>
      <c r="T26" s="14">
        <f>M43</f>
        <v>0.27807227507430288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66.952308900000006</v>
      </c>
      <c r="T27" s="15">
        <f>G43</f>
        <v>0.17593538398682163</v>
      </c>
    </row>
    <row r="28" spans="1:20" ht="15">
      <c r="A28" s="4" t="s">
        <v>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17.41</v>
      </c>
      <c r="T29" s="14">
        <f>F43</f>
        <v>4.5749505663583837E-2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0</v>
      </c>
      <c r="T30" s="14">
        <f>E43</f>
        <v>0</v>
      </c>
    </row>
    <row r="31" spans="1:20" ht="15">
      <c r="A31" s="5" t="s">
        <v>36</v>
      </c>
      <c r="B31" s="9">
        <v>0</v>
      </c>
      <c r="C31" s="9">
        <v>8769</v>
      </c>
      <c r="D31" s="9">
        <v>0</v>
      </c>
      <c r="E31" s="9">
        <v>0</v>
      </c>
      <c r="F31" s="9">
        <v>938</v>
      </c>
      <c r="G31" s="9">
        <v>0</v>
      </c>
      <c r="H31" s="9">
        <v>0</v>
      </c>
      <c r="I31" s="9"/>
      <c r="J31" s="9"/>
      <c r="K31" s="9"/>
      <c r="L31" s="9"/>
      <c r="M31" s="9">
        <v>5440</v>
      </c>
      <c r="N31" s="9">
        <v>15148</v>
      </c>
      <c r="O31" s="16">
        <f>N31/N$39</f>
        <v>4.1460704295512893E-2</v>
      </c>
      <c r="P31" s="17" t="s">
        <v>37</v>
      </c>
      <c r="Q31" s="3"/>
      <c r="R31" s="3" t="s">
        <v>38</v>
      </c>
      <c r="S31" s="13">
        <f>C42/1000</f>
        <v>190.3676911</v>
      </c>
      <c r="T31" s="15">
        <f>C43</f>
        <v>0.50024283527529168</v>
      </c>
    </row>
    <row r="32" spans="1:20" ht="15">
      <c r="A32" s="5" t="s">
        <v>39</v>
      </c>
      <c r="B32" s="9">
        <v>1714</v>
      </c>
      <c r="C32" s="62">
        <f>(N32-B32-F32-M32)*0.6321</f>
        <v>11245.6911</v>
      </c>
      <c r="D32" s="9">
        <v>0</v>
      </c>
      <c r="E32" s="9">
        <v>0</v>
      </c>
      <c r="F32" s="9">
        <v>282</v>
      </c>
      <c r="G32" s="62">
        <f>(N32-F32-M32-B32)*0.3679</f>
        <v>6545.3089</v>
      </c>
      <c r="H32" s="9">
        <v>0</v>
      </c>
      <c r="I32" s="9"/>
      <c r="J32" s="9"/>
      <c r="K32" s="9"/>
      <c r="L32" s="9"/>
      <c r="M32" s="9">
        <v>29382</v>
      </c>
      <c r="N32" s="9">
        <v>49169</v>
      </c>
      <c r="O32" s="16">
        <f>N32/N$39</f>
        <v>0.13457759238883507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6821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7979</v>
      </c>
      <c r="N33" s="9">
        <v>14800</v>
      </c>
      <c r="O33" s="16">
        <f>N33/N$39</f>
        <v>4.050821386147286E-2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168874</v>
      </c>
      <c r="D34" s="9">
        <v>0</v>
      </c>
      <c r="E34" s="9">
        <v>0</v>
      </c>
      <c r="F34" s="9">
        <v>16190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185064</v>
      </c>
      <c r="O34" s="16">
        <f>N34/N$39</f>
        <v>0.50652784392294681</v>
      </c>
      <c r="P34" s="17" t="s">
        <v>45</v>
      </c>
      <c r="Q34" s="3"/>
      <c r="R34" s="3"/>
      <c r="S34" s="13">
        <f>SUM(S26:S33)</f>
        <v>380.55056000000002</v>
      </c>
      <c r="T34" s="14">
        <f>SUM(T26:T33)</f>
        <v>1</v>
      </c>
    </row>
    <row r="35" spans="1:47" ht="15">
      <c r="A35" s="5" t="s">
        <v>46</v>
      </c>
      <c r="B35" s="9">
        <v>4794</v>
      </c>
      <c r="C35" s="9">
        <v>631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13826</v>
      </c>
      <c r="N35" s="9">
        <v>19251</v>
      </c>
      <c r="O35" s="16">
        <f>N35/N$39</f>
        <v>5.2690785476163106E-2</v>
      </c>
      <c r="P35" s="17" t="s">
        <v>47</v>
      </c>
      <c r="Q35" s="17"/>
    </row>
    <row r="36" spans="1:47" ht="15">
      <c r="A36" s="5" t="s">
        <v>48</v>
      </c>
      <c r="B36" s="9">
        <v>6477</v>
      </c>
      <c r="C36" s="9">
        <v>550</v>
      </c>
      <c r="D36" s="9">
        <v>0</v>
      </c>
      <c r="E36" s="9">
        <v>0</v>
      </c>
      <c r="F36" s="9">
        <v>0</v>
      </c>
      <c r="G36" s="9">
        <v>24577</v>
      </c>
      <c r="H36" s="9">
        <v>0</v>
      </c>
      <c r="I36" s="9"/>
      <c r="J36" s="9"/>
      <c r="K36" s="9"/>
      <c r="L36" s="9"/>
      <c r="M36" s="9">
        <v>26912</v>
      </c>
      <c r="N36" s="9">
        <v>58517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8817</v>
      </c>
      <c r="C37" s="9">
        <v>149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8217</v>
      </c>
      <c r="N37" s="9">
        <v>17183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6226</v>
      </c>
      <c r="N38" s="9">
        <v>6226</v>
      </c>
      <c r="O38" s="17">
        <f>SUM(O31:O35)</f>
        <v>0.77576513994493079</v>
      </c>
      <c r="P38" s="17"/>
      <c r="Q38" s="3"/>
      <c r="R38" s="7" t="s">
        <v>51</v>
      </c>
      <c r="S38" s="19">
        <f>N45/1000</f>
        <v>14.274560000000001</v>
      </c>
      <c r="T38" s="7"/>
    </row>
    <row r="39" spans="1:47" ht="15">
      <c r="A39" s="5" t="s">
        <v>17</v>
      </c>
      <c r="B39" s="9">
        <v>28623</v>
      </c>
      <c r="C39" s="18">
        <f>SUM(C31:C38)</f>
        <v>190218.6911</v>
      </c>
      <c r="D39" s="9">
        <v>0</v>
      </c>
      <c r="E39" s="9">
        <v>0</v>
      </c>
      <c r="F39" s="9">
        <v>17410</v>
      </c>
      <c r="G39" s="18">
        <f>G32+G36</f>
        <v>31122.3089</v>
      </c>
      <c r="H39" s="9">
        <v>0</v>
      </c>
      <c r="I39" s="9"/>
      <c r="J39" s="9"/>
      <c r="K39" s="9"/>
      <c r="L39" s="9"/>
      <c r="M39" s="9">
        <v>97982</v>
      </c>
      <c r="N39" s="9">
        <v>365358</v>
      </c>
      <c r="O39" s="3"/>
      <c r="P39" s="3"/>
      <c r="Q39" s="3"/>
      <c r="R39" s="7" t="s">
        <v>52</v>
      </c>
      <c r="S39" s="20">
        <f>N41/1000</f>
        <v>81.926000000000002</v>
      </c>
      <c r="T39" s="14">
        <f>O41</f>
        <v>0.22423486005506926</v>
      </c>
    </row>
    <row r="40" spans="1:47">
      <c r="R40" s="7" t="s">
        <v>53</v>
      </c>
      <c r="S40" s="20">
        <f>N35/1000</f>
        <v>19.251000000000001</v>
      </c>
      <c r="T40" s="15">
        <f>O35</f>
        <v>5.2690785476163106E-2</v>
      </c>
    </row>
    <row r="41" spans="1:47" ht="15">
      <c r="A41" s="21" t="s">
        <v>54</v>
      </c>
      <c r="B41" s="22">
        <f>B38+B37+B36</f>
        <v>15294</v>
      </c>
      <c r="C41" s="22">
        <f t="shared" ref="C41:N41" si="0">C38+C37+C36</f>
        <v>699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>G38+G37+G36</f>
        <v>24577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41355</v>
      </c>
      <c r="N41" s="22">
        <f t="shared" si="0"/>
        <v>81926</v>
      </c>
      <c r="O41" s="16">
        <f>N41/N$39</f>
        <v>0.22423486005506926</v>
      </c>
      <c r="P41" s="16" t="s">
        <v>55</v>
      </c>
      <c r="Q41" s="7"/>
      <c r="R41" s="7" t="s">
        <v>56</v>
      </c>
      <c r="S41" s="20">
        <f>N33/1000</f>
        <v>14.8</v>
      </c>
      <c r="T41" s="14">
        <f>O33</f>
        <v>4.050821386147286E-2</v>
      </c>
    </row>
    <row r="42" spans="1:47" ht="15">
      <c r="A42" s="23" t="s">
        <v>57</v>
      </c>
      <c r="B42" s="22"/>
      <c r="C42" s="24">
        <f>C39+C23+C10</f>
        <v>190367.6911</v>
      </c>
      <c r="D42" s="24">
        <f t="shared" ref="D42:L42" si="1">D39+D23+D10</f>
        <v>0</v>
      </c>
      <c r="E42" s="24">
        <f t="shared" si="1"/>
        <v>0</v>
      </c>
      <c r="F42" s="24">
        <f t="shared" si="1"/>
        <v>17410</v>
      </c>
      <c r="G42" s="24">
        <f t="shared" si="1"/>
        <v>66952.308900000004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105820.56</v>
      </c>
      <c r="N42" s="25">
        <f>SUM(C42:M42)</f>
        <v>380550.56</v>
      </c>
      <c r="O42" s="7"/>
      <c r="P42" s="7"/>
      <c r="Q42" s="7"/>
      <c r="R42" s="7" t="s">
        <v>37</v>
      </c>
      <c r="S42" s="20">
        <f>N31/1000</f>
        <v>15.148</v>
      </c>
      <c r="T42" s="14">
        <f>O31</f>
        <v>4.1460704295512893E-2</v>
      </c>
    </row>
    <row r="43" spans="1:47" ht="15">
      <c r="A43" s="23" t="s">
        <v>58</v>
      </c>
      <c r="B43" s="22"/>
      <c r="C43" s="16">
        <f t="shared" ref="C43:M43" si="2">C42/$N42</f>
        <v>0.50024283527529168</v>
      </c>
      <c r="D43" s="16">
        <f t="shared" si="2"/>
        <v>0</v>
      </c>
      <c r="E43" s="16">
        <f t="shared" si="2"/>
        <v>0</v>
      </c>
      <c r="F43" s="16">
        <f t="shared" si="2"/>
        <v>4.5749505663583837E-2</v>
      </c>
      <c r="G43" s="16">
        <f t="shared" si="2"/>
        <v>0.17593538398682163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0.27807227507430288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49.168999999999997</v>
      </c>
      <c r="T43" s="15">
        <f>O32</f>
        <v>0.13457759238883507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185.06399999999999</v>
      </c>
      <c r="T44" s="15">
        <f>O34</f>
        <v>0.50652784392294681</v>
      </c>
    </row>
    <row r="45" spans="1:47" ht="15">
      <c r="A45" s="6" t="s">
        <v>61</v>
      </c>
      <c r="B45" s="6">
        <f>B23-B39</f>
        <v>6436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7838.56</v>
      </c>
      <c r="N45" s="25">
        <f>B45+M45</f>
        <v>14274.560000000001</v>
      </c>
      <c r="O45" s="7"/>
      <c r="P45" s="7"/>
      <c r="Q45" s="7"/>
      <c r="R45" s="7" t="s">
        <v>62</v>
      </c>
      <c r="S45" s="20">
        <f>SUM(S39:S44)</f>
        <v>365.35799999999995</v>
      </c>
      <c r="T45" s="14">
        <f>SUM(T39:T44)</f>
        <v>1</v>
      </c>
    </row>
    <row r="46" spans="1:47" ht="15">
      <c r="A46" s="9" t="s">
        <v>95</v>
      </c>
      <c r="B46" s="42">
        <f>B45/B23</f>
        <v>0.18357625716649079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45"/>
      <c r="D47" s="27"/>
      <c r="E47" s="27"/>
      <c r="F47" s="27"/>
      <c r="G47" s="45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 enableFormatConditionsCalculation="0"/>
  <dimension ref="A1:AU70"/>
  <sheetViews>
    <sheetView topLeftCell="A11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62">
        <v>72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62">
        <v>72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23302</v>
      </c>
      <c r="C18" s="9">
        <v>129</v>
      </c>
      <c r="D18" s="9">
        <v>0</v>
      </c>
      <c r="E18" s="9">
        <v>18337</v>
      </c>
      <c r="F18" s="9">
        <v>0</v>
      </c>
      <c r="G18" s="9">
        <v>5653</v>
      </c>
      <c r="H18" s="9">
        <v>0</v>
      </c>
      <c r="I18" s="9"/>
      <c r="J18" s="9"/>
      <c r="K18" s="9"/>
      <c r="L18" s="9"/>
      <c r="M18" s="9"/>
      <c r="N18" s="9">
        <v>24119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16820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40122</v>
      </c>
      <c r="C23" s="9">
        <v>129</v>
      </c>
      <c r="D23" s="9">
        <v>0</v>
      </c>
      <c r="E23" s="9">
        <v>18337</v>
      </c>
      <c r="F23" s="9">
        <v>0</v>
      </c>
      <c r="G23" s="9">
        <v>5653</v>
      </c>
      <c r="H23" s="9">
        <v>0</v>
      </c>
      <c r="I23" s="9"/>
      <c r="J23" s="9"/>
      <c r="K23" s="9"/>
      <c r="L23" s="56"/>
      <c r="M23" s="9"/>
      <c r="N23" s="9">
        <v>24119</v>
      </c>
      <c r="O23" s="3"/>
      <c r="P23" s="3"/>
      <c r="Q23" s="3"/>
      <c r="R23" s="3" t="s">
        <v>27</v>
      </c>
      <c r="S23" s="12">
        <f>N42/1000</f>
        <v>679.17004000000009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296.63603999999998</v>
      </c>
      <c r="T26" s="14">
        <f>M43</f>
        <v>0.43676255212906617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15.082000000000001</v>
      </c>
      <c r="T27" s="15">
        <f>G43</f>
        <v>2.2206515469969788E-2</v>
      </c>
    </row>
    <row r="28" spans="1:20" ht="15">
      <c r="A28" s="4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8.1790000000000003</v>
      </c>
      <c r="T29" s="14">
        <f>F43</f>
        <v>1.2042639572263817E-2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255.85</v>
      </c>
      <c r="T30" s="14">
        <f>E43</f>
        <v>0.37670978537274696</v>
      </c>
    </row>
    <row r="31" spans="1:20" ht="15">
      <c r="A31" s="5" t="s">
        <v>36</v>
      </c>
      <c r="B31" s="9">
        <v>0</v>
      </c>
      <c r="C31" s="62">
        <f>(N31-M31)*0.91</f>
        <v>4227.8600000000006</v>
      </c>
      <c r="D31" s="9">
        <v>0</v>
      </c>
      <c r="E31" s="9">
        <v>0</v>
      </c>
      <c r="F31" s="62">
        <f>(N31-M31)*0.09</f>
        <v>418.14</v>
      </c>
      <c r="G31" s="9">
        <v>0</v>
      </c>
      <c r="H31" s="9">
        <v>0</v>
      </c>
      <c r="I31" s="9"/>
      <c r="J31" s="9"/>
      <c r="K31" s="9"/>
      <c r="L31" s="9"/>
      <c r="M31" s="9">
        <v>4209</v>
      </c>
      <c r="N31" s="9">
        <v>8855</v>
      </c>
      <c r="O31" s="16">
        <f>N31/N$39</f>
        <v>1.3254440349779517E-2</v>
      </c>
      <c r="P31" s="17" t="s">
        <v>37</v>
      </c>
      <c r="Q31" s="3"/>
      <c r="R31" s="3" t="s">
        <v>38</v>
      </c>
      <c r="S31" s="13">
        <f>C42/1000</f>
        <v>103.423</v>
      </c>
      <c r="T31" s="15">
        <f>C43</f>
        <v>0.15227850745595314</v>
      </c>
    </row>
    <row r="32" spans="1:20" ht="15">
      <c r="A32" s="5" t="s">
        <v>39</v>
      </c>
      <c r="B32" s="9">
        <v>9985</v>
      </c>
      <c r="C32" s="62">
        <f>C39-C31-C33-C34-C35-C36-C37</f>
        <v>8772.14</v>
      </c>
      <c r="D32" s="9">
        <v>0</v>
      </c>
      <c r="E32" s="9">
        <v>237513</v>
      </c>
      <c r="F32" s="62">
        <f>N32-E32-M32-C32-B32</f>
        <v>660.86000000000058</v>
      </c>
      <c r="G32" s="9">
        <v>0</v>
      </c>
      <c r="H32" s="9">
        <v>0</v>
      </c>
      <c r="I32" s="9"/>
      <c r="J32" s="9"/>
      <c r="K32" s="9"/>
      <c r="L32" s="9"/>
      <c r="M32" s="9">
        <v>171360</v>
      </c>
      <c r="N32" s="9">
        <v>428291</v>
      </c>
      <c r="O32" s="16">
        <f>N32/N$39</f>
        <v>0.64107933504770398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4038</v>
      </c>
      <c r="C33" s="9">
        <v>462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11260</v>
      </c>
      <c r="N33" s="9">
        <v>15760</v>
      </c>
      <c r="O33" s="16">
        <f>N33/N$39</f>
        <v>2.3590059843311709E-2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88707</v>
      </c>
      <c r="D34" s="9">
        <v>0</v>
      </c>
      <c r="E34" s="9">
        <v>0</v>
      </c>
      <c r="F34" s="9">
        <v>7101</v>
      </c>
      <c r="G34" s="9">
        <v>0</v>
      </c>
      <c r="H34" s="9">
        <v>0</v>
      </c>
      <c r="I34" s="9"/>
      <c r="J34" s="9"/>
      <c r="K34" s="56"/>
      <c r="L34" s="9"/>
      <c r="M34" s="9">
        <v>72</v>
      </c>
      <c r="N34" s="9">
        <v>95880</v>
      </c>
      <c r="O34" s="16">
        <f>N34/N$39</f>
        <v>0.14351617625486845</v>
      </c>
      <c r="P34" s="17" t="s">
        <v>45</v>
      </c>
      <c r="Q34" s="3"/>
      <c r="R34" s="3"/>
      <c r="S34" s="13">
        <f>SUM(S26:S33)</f>
        <v>679.17003999999997</v>
      </c>
      <c r="T34" s="14">
        <f>SUM(T26:T33)</f>
        <v>0.99999999999999989</v>
      </c>
    </row>
    <row r="35" spans="1:47" ht="15">
      <c r="A35" s="5" t="s">
        <v>46</v>
      </c>
      <c r="B35" s="9">
        <v>1636</v>
      </c>
      <c r="C35" s="9">
        <v>43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20240</v>
      </c>
      <c r="N35" s="9">
        <v>21919</v>
      </c>
      <c r="O35" s="16">
        <f>N35/N$39</f>
        <v>3.2809043255428258E-2</v>
      </c>
      <c r="P35" s="17" t="s">
        <v>47</v>
      </c>
      <c r="Q35" s="17"/>
    </row>
    <row r="36" spans="1:47" ht="15">
      <c r="A36" s="5" t="s">
        <v>48</v>
      </c>
      <c r="B36" s="9">
        <v>475</v>
      </c>
      <c r="C36" s="9">
        <v>1022</v>
      </c>
      <c r="D36" s="9">
        <v>0</v>
      </c>
      <c r="E36" s="9">
        <v>0</v>
      </c>
      <c r="F36" s="9">
        <v>0</v>
      </c>
      <c r="G36" s="9">
        <v>9429</v>
      </c>
      <c r="H36" s="9">
        <v>0</v>
      </c>
      <c r="I36" s="9"/>
      <c r="J36" s="9"/>
      <c r="K36" s="9"/>
      <c r="L36" s="9"/>
      <c r="M36" s="9">
        <v>62987</v>
      </c>
      <c r="N36" s="9">
        <v>73913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18866</v>
      </c>
      <c r="C37" s="9">
        <v>60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4150</v>
      </c>
      <c r="N37" s="9">
        <v>23076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385</v>
      </c>
      <c r="N38" s="9">
        <v>385</v>
      </c>
      <c r="O38" s="17">
        <f>SUM(O31:O35)</f>
        <v>0.85424905475109192</v>
      </c>
      <c r="P38" s="17"/>
      <c r="Q38" s="3"/>
      <c r="R38" s="7" t="s">
        <v>51</v>
      </c>
      <c r="S38" s="19">
        <f>N45/1000</f>
        <v>27.095040000000001</v>
      </c>
      <c r="T38" s="7"/>
    </row>
    <row r="39" spans="1:47" ht="15">
      <c r="A39" s="5" t="s">
        <v>17</v>
      </c>
      <c r="B39" s="9">
        <v>35000</v>
      </c>
      <c r="C39" s="9">
        <v>103294</v>
      </c>
      <c r="D39" s="9">
        <v>0</v>
      </c>
      <c r="E39" s="9">
        <v>237513</v>
      </c>
      <c r="F39" s="9">
        <v>8179</v>
      </c>
      <c r="G39" s="9">
        <v>9429</v>
      </c>
      <c r="H39" s="9">
        <v>0</v>
      </c>
      <c r="I39" s="9"/>
      <c r="J39" s="9"/>
      <c r="K39" s="9"/>
      <c r="L39" s="9"/>
      <c r="M39" s="9">
        <v>274663</v>
      </c>
      <c r="N39" s="9">
        <v>668078</v>
      </c>
      <c r="O39" s="3"/>
      <c r="P39" s="3"/>
      <c r="Q39" s="3"/>
      <c r="R39" s="7" t="s">
        <v>52</v>
      </c>
      <c r="S39" s="20">
        <f>N41/1000</f>
        <v>97.373999999999995</v>
      </c>
      <c r="T39" s="14">
        <f>O41</f>
        <v>0.1457524420801164</v>
      </c>
    </row>
    <row r="40" spans="1:47">
      <c r="R40" s="7" t="s">
        <v>53</v>
      </c>
      <c r="S40" s="20">
        <f>N35/1000</f>
        <v>21.919</v>
      </c>
      <c r="T40" s="15">
        <f>O35</f>
        <v>3.2809043255428258E-2</v>
      </c>
    </row>
    <row r="41" spans="1:47" ht="15">
      <c r="A41" s="21" t="s">
        <v>54</v>
      </c>
      <c r="B41" s="22">
        <f>B38+B37+B36</f>
        <v>19341</v>
      </c>
      <c r="C41" s="22">
        <f t="shared" ref="C41:N41" si="0">C38+C37+C36</f>
        <v>1082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9429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67522</v>
      </c>
      <c r="N41" s="22">
        <f t="shared" si="0"/>
        <v>97374</v>
      </c>
      <c r="O41" s="16">
        <f>N41/N$39</f>
        <v>0.1457524420801164</v>
      </c>
      <c r="P41" s="16" t="s">
        <v>55</v>
      </c>
      <c r="Q41" s="7"/>
      <c r="R41" s="7" t="s">
        <v>56</v>
      </c>
      <c r="S41" s="20">
        <f>N33/1000</f>
        <v>15.76</v>
      </c>
      <c r="T41" s="14">
        <f>O33</f>
        <v>2.3590059843311709E-2</v>
      </c>
    </row>
    <row r="42" spans="1:47" ht="15">
      <c r="A42" s="23" t="s">
        <v>57</v>
      </c>
      <c r="B42" s="22"/>
      <c r="C42" s="24">
        <f>C39+C23+C10</f>
        <v>103423</v>
      </c>
      <c r="D42" s="24">
        <f t="shared" ref="D42:L42" si="1">D39+D23+D10</f>
        <v>0</v>
      </c>
      <c r="E42" s="24">
        <f t="shared" si="1"/>
        <v>255850</v>
      </c>
      <c r="F42" s="24">
        <f t="shared" si="1"/>
        <v>8179</v>
      </c>
      <c r="G42" s="24">
        <f t="shared" si="1"/>
        <v>15082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296636.03999999998</v>
      </c>
      <c r="N42" s="25">
        <f>SUM(C42:M42)</f>
        <v>679170.04</v>
      </c>
      <c r="O42" s="7"/>
      <c r="P42" s="7"/>
      <c r="Q42" s="7"/>
      <c r="R42" s="7" t="s">
        <v>37</v>
      </c>
      <c r="S42" s="20">
        <f>N31/1000</f>
        <v>8.8550000000000004</v>
      </c>
      <c r="T42" s="14">
        <f>O31</f>
        <v>1.3254440349779517E-2</v>
      </c>
    </row>
    <row r="43" spans="1:47" ht="15">
      <c r="A43" s="23" t="s">
        <v>58</v>
      </c>
      <c r="B43" s="22"/>
      <c r="C43" s="16">
        <f t="shared" ref="C43:M43" si="2">C42/$N42</f>
        <v>0.15227850745595314</v>
      </c>
      <c r="D43" s="16">
        <f t="shared" si="2"/>
        <v>0</v>
      </c>
      <c r="E43" s="16">
        <f t="shared" si="2"/>
        <v>0.37670978537274696</v>
      </c>
      <c r="F43" s="16">
        <f t="shared" si="2"/>
        <v>1.2042639572263817E-2</v>
      </c>
      <c r="G43" s="16">
        <f t="shared" si="2"/>
        <v>2.2206515469969788E-2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0.43676255212906617</v>
      </c>
      <c r="N43" s="16">
        <f>SUM(C43:M43)</f>
        <v>0.99999999999999978</v>
      </c>
      <c r="O43" s="7"/>
      <c r="P43" s="7"/>
      <c r="Q43" s="7"/>
      <c r="R43" s="7" t="s">
        <v>59</v>
      </c>
      <c r="S43" s="20">
        <f>N32/1000</f>
        <v>428.291</v>
      </c>
      <c r="T43" s="15">
        <f>O32</f>
        <v>0.64107933504770398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95.88</v>
      </c>
      <c r="T44" s="15">
        <f>O34</f>
        <v>0.14351617625486845</v>
      </c>
    </row>
    <row r="45" spans="1:47" ht="15">
      <c r="A45" s="6" t="s">
        <v>61</v>
      </c>
      <c r="B45" s="6">
        <f>B23-B39</f>
        <v>5122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21973.040000000001</v>
      </c>
      <c r="N45" s="25">
        <f>B45+M45</f>
        <v>27095.040000000001</v>
      </c>
      <c r="O45" s="7"/>
      <c r="P45" s="7"/>
      <c r="Q45" s="7"/>
      <c r="R45" s="7" t="s">
        <v>62</v>
      </c>
      <c r="S45" s="20">
        <f>SUM(S39:S44)</f>
        <v>668.07899999999995</v>
      </c>
      <c r="T45" s="14">
        <f>SUM(T39:T44)</f>
        <v>1.0000014968312083</v>
      </c>
    </row>
    <row r="46" spans="1:47" ht="15">
      <c r="A46" s="9" t="s">
        <v>95</v>
      </c>
      <c r="B46" s="42">
        <f>B45/B23</f>
        <v>0.12766063506305766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 enableFormatConditionsCalculation="0"/>
  <dimension ref="A1:AU70"/>
  <sheetViews>
    <sheetView topLeftCell="A14" workbookViewId="0">
      <selection activeCell="B44" sqref="B4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69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183</v>
      </c>
      <c r="C7" s="9">
        <v>811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811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543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21718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22444</v>
      </c>
      <c r="C10" s="9">
        <v>811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811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3">
        <v>0</v>
      </c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3">
        <v>0</v>
      </c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  <c r="J23" s="9"/>
      <c r="K23" s="9"/>
      <c r="L23" s="9"/>
      <c r="M23" s="9"/>
      <c r="N23" s="9">
        <v>0</v>
      </c>
      <c r="O23" s="3"/>
      <c r="P23" s="3"/>
      <c r="Q23" s="3"/>
      <c r="R23" s="3" t="s">
        <v>27</v>
      </c>
      <c r="S23" s="12">
        <f>N42/1000</f>
        <v>469.26511999999997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257.43311999999997</v>
      </c>
      <c r="T26" s="14">
        <f>M43</f>
        <v>0.54858780043144906</v>
      </c>
    </row>
    <row r="27" spans="1:20" ht="18">
      <c r="A27" s="1" t="s">
        <v>30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33</v>
      </c>
      <c r="S27" s="13">
        <f>G42/1000</f>
        <v>14.792</v>
      </c>
      <c r="T27" s="15">
        <f>G43</f>
        <v>3.1521626836445889E-2</v>
      </c>
    </row>
    <row r="28" spans="1:20" ht="15">
      <c r="A28" s="4" t="s">
        <v>69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3">
        <f>F42/1000</f>
        <v>15.781000000000001</v>
      </c>
      <c r="T29" s="14">
        <f>F43</f>
        <v>3.3629177467952444E-2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35</v>
      </c>
      <c r="S30" s="12">
        <f>E42/1000</f>
        <v>2.9860000000000002</v>
      </c>
      <c r="T30" s="14">
        <f>E43</f>
        <v>6.3631407337498254E-3</v>
      </c>
    </row>
    <row r="31" spans="1:20" ht="15">
      <c r="A31" s="5" t="s">
        <v>36</v>
      </c>
      <c r="B31" s="9">
        <v>0</v>
      </c>
      <c r="C31" s="9">
        <v>11769</v>
      </c>
      <c r="D31" s="9">
        <v>0</v>
      </c>
      <c r="E31" s="9">
        <v>0</v>
      </c>
      <c r="F31" s="9">
        <v>1176</v>
      </c>
      <c r="G31" s="9">
        <v>0</v>
      </c>
      <c r="H31" s="9">
        <v>0</v>
      </c>
      <c r="I31" s="9"/>
      <c r="J31" s="9"/>
      <c r="K31" s="9"/>
      <c r="L31" s="9"/>
      <c r="M31" s="9">
        <v>9643</v>
      </c>
      <c r="N31" s="9">
        <v>22589</v>
      </c>
      <c r="O31" s="16">
        <f>N31/N$39</f>
        <v>5.026647529401293E-2</v>
      </c>
      <c r="P31" s="17" t="s">
        <v>37</v>
      </c>
      <c r="Q31" s="3"/>
      <c r="R31" s="3" t="s">
        <v>38</v>
      </c>
      <c r="S31" s="13">
        <f>C42/1000</f>
        <v>178.273</v>
      </c>
      <c r="T31" s="15">
        <f>C43</f>
        <v>0.37989825453040277</v>
      </c>
    </row>
    <row r="32" spans="1:20" ht="15">
      <c r="A32" s="5" t="s">
        <v>39</v>
      </c>
      <c r="B32" s="9">
        <v>0</v>
      </c>
      <c r="C32" s="9">
        <v>2405</v>
      </c>
      <c r="D32" s="9">
        <v>0</v>
      </c>
      <c r="E32" s="9">
        <v>2986</v>
      </c>
      <c r="F32" s="9">
        <v>207</v>
      </c>
      <c r="G32" s="9">
        <v>0</v>
      </c>
      <c r="H32" s="9">
        <v>0</v>
      </c>
      <c r="I32" s="9"/>
      <c r="J32" s="9"/>
      <c r="K32" s="9"/>
      <c r="L32" s="9"/>
      <c r="M32" s="9">
        <v>22052</v>
      </c>
      <c r="N32" s="9">
        <v>27651</v>
      </c>
      <c r="O32" s="16">
        <f>N32/N$39</f>
        <v>6.1530758703561533E-2</v>
      </c>
      <c r="P32" s="17" t="s">
        <v>40</v>
      </c>
      <c r="Q32" s="3"/>
      <c r="R32" s="3" t="s">
        <v>41</v>
      </c>
      <c r="S32" s="13">
        <f>I42/1000</f>
        <v>0</v>
      </c>
      <c r="T32" s="14">
        <f>I43</f>
        <v>0</v>
      </c>
    </row>
    <row r="33" spans="1:47" ht="15">
      <c r="A33" s="5" t="s">
        <v>42</v>
      </c>
      <c r="B33" s="9">
        <v>0</v>
      </c>
      <c r="C33" s="9">
        <v>993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20824</v>
      </c>
      <c r="N33" s="9">
        <v>21816</v>
      </c>
      <c r="O33" s="16">
        <f>N33/N$39</f>
        <v>4.8546346673787509E-2</v>
      </c>
      <c r="P33" s="17" t="s">
        <v>43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44</v>
      </c>
      <c r="B34" s="9">
        <v>0</v>
      </c>
      <c r="C34" s="9">
        <v>160684</v>
      </c>
      <c r="D34" s="9">
        <v>0</v>
      </c>
      <c r="E34" s="9">
        <v>0</v>
      </c>
      <c r="F34" s="9">
        <v>14397</v>
      </c>
      <c r="G34" s="9">
        <v>0</v>
      </c>
      <c r="H34" s="9">
        <v>0</v>
      </c>
      <c r="I34" s="9"/>
      <c r="J34" s="9"/>
      <c r="K34" s="9"/>
      <c r="L34" s="9"/>
      <c r="M34" s="9">
        <v>31</v>
      </c>
      <c r="N34" s="9">
        <v>175112</v>
      </c>
      <c r="O34" s="16">
        <f>N34/N$39</f>
        <v>0.38967032722498524</v>
      </c>
      <c r="P34" s="17" t="s">
        <v>45</v>
      </c>
      <c r="Q34" s="3"/>
      <c r="R34" s="3"/>
      <c r="S34" s="13">
        <f>SUM(S26:S33)</f>
        <v>469.26511999999991</v>
      </c>
      <c r="T34" s="14">
        <f>SUM(T26:T33)</f>
        <v>1</v>
      </c>
    </row>
    <row r="35" spans="1:47" ht="15">
      <c r="A35" s="5" t="s">
        <v>46</v>
      </c>
      <c r="B35" s="9">
        <v>0</v>
      </c>
      <c r="C35" s="9">
        <v>418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47393</v>
      </c>
      <c r="N35" s="9">
        <v>47811</v>
      </c>
      <c r="O35" s="16">
        <f>N35/N$39</f>
        <v>0.10639206916118696</v>
      </c>
      <c r="P35" s="17" t="s">
        <v>47</v>
      </c>
      <c r="Q35" s="17"/>
    </row>
    <row r="36" spans="1:47" ht="15">
      <c r="A36" s="5" t="s">
        <v>48</v>
      </c>
      <c r="B36" s="9">
        <v>0</v>
      </c>
      <c r="C36" s="9">
        <v>739</v>
      </c>
      <c r="D36" s="9">
        <v>0</v>
      </c>
      <c r="E36" s="9">
        <v>0</v>
      </c>
      <c r="F36" s="9">
        <v>0</v>
      </c>
      <c r="G36" s="9">
        <v>14792</v>
      </c>
      <c r="H36" s="9">
        <v>0</v>
      </c>
      <c r="I36" s="9"/>
      <c r="J36" s="9"/>
      <c r="K36" s="9"/>
      <c r="L36" s="9"/>
      <c r="M36" s="9">
        <v>126251</v>
      </c>
      <c r="N36" s="9">
        <v>141782</v>
      </c>
      <c r="O36" s="17"/>
      <c r="P36" s="17"/>
      <c r="Q36" s="3"/>
      <c r="R36" s="7"/>
      <c r="S36" s="7"/>
      <c r="T36" s="7"/>
    </row>
    <row r="37" spans="1:47" ht="15">
      <c r="A37" s="5" t="s">
        <v>49</v>
      </c>
      <c r="B37" s="9">
        <v>0</v>
      </c>
      <c r="C37" s="9">
        <v>454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8895</v>
      </c>
      <c r="N37" s="9">
        <v>9349</v>
      </c>
      <c r="O37" s="17"/>
      <c r="P37" s="17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3275</v>
      </c>
      <c r="N38" s="9">
        <v>3275</v>
      </c>
      <c r="O38" s="17">
        <f>SUM(O31:O35)</f>
        <v>0.65640597705753412</v>
      </c>
      <c r="P38" s="17"/>
      <c r="Q38" s="3"/>
      <c r="R38" s="7" t="s">
        <v>51</v>
      </c>
      <c r="S38" s="19">
        <f>N45/1000</f>
        <v>19.069119999999998</v>
      </c>
      <c r="T38" s="7"/>
    </row>
    <row r="39" spans="1:47" ht="15">
      <c r="A39" s="5" t="s">
        <v>17</v>
      </c>
      <c r="B39" s="9">
        <v>0</v>
      </c>
      <c r="C39" s="9">
        <v>177462</v>
      </c>
      <c r="D39" s="9">
        <v>0</v>
      </c>
      <c r="E39" s="9">
        <v>2986</v>
      </c>
      <c r="F39" s="9">
        <v>15781</v>
      </c>
      <c r="G39" s="9">
        <v>14792</v>
      </c>
      <c r="H39" s="9">
        <v>0</v>
      </c>
      <c r="I39" s="9"/>
      <c r="J39" s="9"/>
      <c r="K39" s="9"/>
      <c r="L39" s="9"/>
      <c r="M39" s="9">
        <v>238364</v>
      </c>
      <c r="N39" s="9">
        <v>449385</v>
      </c>
      <c r="O39" s="3"/>
      <c r="P39" s="3"/>
      <c r="Q39" s="3"/>
      <c r="R39" s="7" t="s">
        <v>52</v>
      </c>
      <c r="S39" s="20">
        <f>N41/1000</f>
        <v>154.40600000000001</v>
      </c>
      <c r="T39" s="14">
        <f>O41</f>
        <v>0.34359402294246583</v>
      </c>
    </row>
    <row r="40" spans="1:47">
      <c r="R40" s="7" t="s">
        <v>53</v>
      </c>
      <c r="S40" s="20">
        <f>N35/1000</f>
        <v>47.811</v>
      </c>
      <c r="T40" s="15">
        <f>O35</f>
        <v>0.10639206916118696</v>
      </c>
    </row>
    <row r="41" spans="1:47" ht="15">
      <c r="A41" s="21" t="s">
        <v>54</v>
      </c>
      <c r="B41" s="22">
        <f>B38+B37+B36</f>
        <v>0</v>
      </c>
      <c r="C41" s="22">
        <f t="shared" ref="C41:N41" si="0">C38+C37+C36</f>
        <v>1193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14792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138421</v>
      </c>
      <c r="N41" s="22">
        <f t="shared" si="0"/>
        <v>154406</v>
      </c>
      <c r="O41" s="16">
        <f>N41/N$39</f>
        <v>0.34359402294246583</v>
      </c>
      <c r="P41" s="16" t="s">
        <v>55</v>
      </c>
      <c r="Q41" s="7"/>
      <c r="R41" s="7" t="s">
        <v>56</v>
      </c>
      <c r="S41" s="20">
        <f>N33/1000</f>
        <v>21.815999999999999</v>
      </c>
      <c r="T41" s="14">
        <f>O33</f>
        <v>4.8546346673787509E-2</v>
      </c>
    </row>
    <row r="42" spans="1:47" ht="15">
      <c r="A42" s="23" t="s">
        <v>57</v>
      </c>
      <c r="B42" s="22"/>
      <c r="C42" s="24">
        <f>C39+C23+C10</f>
        <v>178273</v>
      </c>
      <c r="D42" s="24">
        <f t="shared" ref="D42:L42" si="1">D39+D23+D10</f>
        <v>0</v>
      </c>
      <c r="E42" s="24">
        <f t="shared" si="1"/>
        <v>2986</v>
      </c>
      <c r="F42" s="24">
        <f t="shared" si="1"/>
        <v>15781</v>
      </c>
      <c r="G42" s="24">
        <f t="shared" si="1"/>
        <v>14792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257433.12</v>
      </c>
      <c r="N42" s="25">
        <f>SUM(C42:M42)</f>
        <v>469265.12</v>
      </c>
      <c r="O42" s="7"/>
      <c r="P42" s="7"/>
      <c r="Q42" s="7"/>
      <c r="R42" s="7" t="s">
        <v>37</v>
      </c>
      <c r="S42" s="20">
        <f>N31/1000</f>
        <v>22.588999999999999</v>
      </c>
      <c r="T42" s="14">
        <f>O31</f>
        <v>5.026647529401293E-2</v>
      </c>
    </row>
    <row r="43" spans="1:47" ht="15">
      <c r="A43" s="23" t="s">
        <v>58</v>
      </c>
      <c r="B43" s="22"/>
      <c r="C43" s="16">
        <f t="shared" ref="C43:M43" si="2">C42/$N42</f>
        <v>0.37989825453040277</v>
      </c>
      <c r="D43" s="16">
        <f t="shared" si="2"/>
        <v>0</v>
      </c>
      <c r="E43" s="16">
        <f t="shared" si="2"/>
        <v>6.3631407337498254E-3</v>
      </c>
      <c r="F43" s="16">
        <f t="shared" si="2"/>
        <v>3.3629177467952444E-2</v>
      </c>
      <c r="G43" s="16">
        <f t="shared" si="2"/>
        <v>3.1521626836445889E-2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0.54858780043144906</v>
      </c>
      <c r="N43" s="16">
        <f>SUM(C43:M43)</f>
        <v>1</v>
      </c>
      <c r="O43" s="7"/>
      <c r="P43" s="7"/>
      <c r="Q43" s="7"/>
      <c r="R43" s="7" t="s">
        <v>59</v>
      </c>
      <c r="S43" s="20">
        <f>N32/1000</f>
        <v>27.651</v>
      </c>
      <c r="T43" s="15">
        <f>O32</f>
        <v>6.1530758703561533E-2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175.11199999999999</v>
      </c>
      <c r="T44" s="15">
        <f>O34</f>
        <v>0.38967032722498524</v>
      </c>
    </row>
    <row r="45" spans="1:47" ht="15">
      <c r="A45" s="6" t="s">
        <v>61</v>
      </c>
      <c r="B45" s="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19069.12</v>
      </c>
      <c r="N45" s="25">
        <f>B45+M45</f>
        <v>19069.12</v>
      </c>
      <c r="O45" s="7"/>
      <c r="P45" s="7"/>
      <c r="Q45" s="7"/>
      <c r="R45" s="7" t="s">
        <v>62</v>
      </c>
      <c r="S45" s="20">
        <f>SUM(S39:S44)</f>
        <v>449.38499999999999</v>
      </c>
      <c r="T45" s="14">
        <f>SUM(T39:T44)</f>
        <v>1</v>
      </c>
    </row>
    <row r="46" spans="1:47" ht="15">
      <c r="A46" s="9" t="s">
        <v>95</v>
      </c>
      <c r="B46" s="42" t="e">
        <f>B45/B23</f>
        <v>#DIV/0!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4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4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Props1.xml><?xml version="1.0" encoding="utf-8"?>
<ds:datastoreItem xmlns:ds="http://schemas.openxmlformats.org/officeDocument/2006/customXml" ds:itemID="{DA457A81-2E07-4506-A474-97D8C6B4C7B4}"/>
</file>

<file path=customXml/itemProps2.xml><?xml version="1.0" encoding="utf-8"?>
<ds:datastoreItem xmlns:ds="http://schemas.openxmlformats.org/officeDocument/2006/customXml" ds:itemID="{548F147C-12D7-4DAF-9D1B-7BAAA7FB27D3}"/>
</file>

<file path=customXml/itemProps3.xml><?xml version="1.0" encoding="utf-8"?>
<ds:datastoreItem xmlns:ds="http://schemas.openxmlformats.org/officeDocument/2006/customXml" ds:itemID="{80FE6AE6-1A68-42BD-99A4-AC05E37DDB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Skåne</vt:lpstr>
      <vt:lpstr>Svalöv</vt:lpstr>
      <vt:lpstr>Staffanstorp</vt:lpstr>
      <vt:lpstr>Burlöv</vt:lpstr>
      <vt:lpstr>Vellinge</vt:lpstr>
      <vt:lpstr>Östra Göinge</vt:lpstr>
      <vt:lpstr>Örkelljunga</vt:lpstr>
      <vt:lpstr>Bjuv</vt:lpstr>
      <vt:lpstr>Kävlinge</vt:lpstr>
      <vt:lpstr>Lomma</vt:lpstr>
      <vt:lpstr>Svedala</vt:lpstr>
      <vt:lpstr>Skurup</vt:lpstr>
      <vt:lpstr>Sjöbo</vt:lpstr>
      <vt:lpstr>Hörby</vt:lpstr>
      <vt:lpstr>Höör</vt:lpstr>
      <vt:lpstr>Tomelilla</vt:lpstr>
      <vt:lpstr>Bromölla</vt:lpstr>
      <vt:lpstr>Osby</vt:lpstr>
      <vt:lpstr>Perstorp</vt:lpstr>
      <vt:lpstr>Klippan</vt:lpstr>
      <vt:lpstr>Åstorp</vt:lpstr>
      <vt:lpstr>Båstad</vt:lpstr>
      <vt:lpstr>Malmö</vt:lpstr>
      <vt:lpstr>Lund</vt:lpstr>
      <vt:lpstr>Landskrona</vt:lpstr>
      <vt:lpstr>Helsingborg</vt:lpstr>
      <vt:lpstr>Höganäs</vt:lpstr>
      <vt:lpstr>Eslöv</vt:lpstr>
      <vt:lpstr>Ystad</vt:lpstr>
      <vt:lpstr>Trelleborg</vt:lpstr>
      <vt:lpstr>Kristianstad</vt:lpstr>
      <vt:lpstr>Simrishamn</vt:lpstr>
      <vt:lpstr>Ängelholm</vt:lpstr>
      <vt:lpstr>Hässleholm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lastModifiedBy>Kaj</cp:lastModifiedBy>
  <dcterms:created xsi:type="dcterms:W3CDTF">2016-02-06T11:09:18Z</dcterms:created>
  <dcterms:modified xsi:type="dcterms:W3CDTF">2016-03-30T00:59:13Z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