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comments8.xml" ContentType="application/vnd.openxmlformats-officedocument.spreadsheetml.comments+xml"/>
  <Override PartName="/xl/comments17.xml" ContentType="application/vnd.openxmlformats-officedocument.spreadsheetml.comments+xml"/>
  <Override PartName="/xl/comments19.xml" ContentType="application/vnd.openxmlformats-officedocument.spreadsheetml.comments+xml"/>
  <Override PartName="/xl/comments7.xml" ContentType="application/vnd.openxmlformats-officedocument.spreadsheetml.comments+xml"/>
  <Override PartName="/xl/comments20.xml" ContentType="application/vnd.openxmlformats-officedocument.spreadsheetml.comments+xml"/>
  <Override PartName="/xl/comments18.xml" ContentType="application/vnd.openxmlformats-officedocument.spreadsheetml.comments+xml"/>
  <Override PartName="/xl/comments9.xml" ContentType="application/vnd.openxmlformats-officedocument.spreadsheetml.comments+xml"/>
  <Override PartName="/xl/comments21.xml" ContentType="application/vnd.openxmlformats-officedocument.spreadsheetml.comments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xl/comments10.xml" ContentType="application/vnd.openxmlformats-officedocument.spreadsheetml.comments+xml"/>
  <Override PartName="/xl/comments13.xml" ContentType="application/vnd.openxmlformats-officedocument.spreadsheetml.comments+xml"/>
  <Override PartName="/xl/comments15.xml" ContentType="application/vnd.openxmlformats-officedocument.spreadsheetml.comments+xml"/>
  <Override PartName="/xl/comments14.xml" ContentType="application/vnd.openxmlformats-officedocument.spreadsheetml.comments+xml"/>
  <Override PartName="/xl/comments16.xml" ContentType="application/vnd.openxmlformats-officedocument.spreadsheetml.comments+xml"/>
  <Override PartName="/xl/comments22.xml" ContentType="application/vnd.openxmlformats-officedocument.spreadsheetml.comments+xml"/>
  <Override PartName="/xl/comments25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.xml" ContentType="application/vnd.openxmlformats-officedocument.spreadsheetml.comments+xml"/>
  <Override PartName="/xl/comments28.xml" ContentType="application/vnd.openxmlformats-officedocument.spreadsheetml.comments+xml"/>
  <Override PartName="/xl/comments4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.xml" ContentType="application/vnd.openxmlformats-officedocument.spreadsheetml.comments+xml"/>
  <Override PartName="/xl/comments32.xml" ContentType="application/vnd.openxmlformats-officedocument.spreadsheetml.comments+xml"/>
  <Override PartName="/xl/comments24.xml" ContentType="application/vnd.openxmlformats-officedocument.spreadsheetml.comments+xml"/>
  <Override PartName="/xl/comments5.xml" ContentType="application/vnd.openxmlformats-officedocument.spreadsheetml.comments+xml"/>
  <Override PartName="/xl/comments23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3.xml" ContentType="application/vnd.openxmlformats-officedocument.spreadsheetml.comments+xml"/>
  <Override PartName="/xl/comments1.xml" ContentType="application/vnd.openxmlformats-officedocument.spreadsheetml.comments+xml"/>
  <Override PartName="/xl/comments34.xml" ContentType="application/vnd.openxmlformats-officedocument.spreadsheetml.comments+xml"/>
  <Override PartName="/xl/comments6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31740" yWindow="-760" windowWidth="28800" windowHeight="17460" tabRatio="842" firstSheet="19" activeTab="34"/>
  </bookViews>
  <sheets>
    <sheet name="FV imp-exp" sheetId="40" r:id="rId1"/>
    <sheet name="Skåne" sheetId="37" r:id="rId2"/>
    <sheet name="Svalöv" sheetId="2" r:id="rId3"/>
    <sheet name="Staffanstorp" sheetId="3" r:id="rId4"/>
    <sheet name="Burlöv" sheetId="4" r:id="rId5"/>
    <sheet name="Vellinge" sheetId="5" r:id="rId6"/>
    <sheet name="Östra Göinge" sheetId="6" r:id="rId7"/>
    <sheet name="Örkelljunga" sheetId="7" r:id="rId8"/>
    <sheet name="Bjuv" sheetId="8" r:id="rId9"/>
    <sheet name="Kävlinge" sheetId="9" r:id="rId10"/>
    <sheet name="Lomma" sheetId="10" r:id="rId11"/>
    <sheet name="Svedala" sheetId="11" r:id="rId12"/>
    <sheet name="Skurup" sheetId="12" r:id="rId13"/>
    <sheet name="Sjöbo" sheetId="13" r:id="rId14"/>
    <sheet name="Hörby" sheetId="14" r:id="rId15"/>
    <sheet name="Höör" sheetId="15" r:id="rId16"/>
    <sheet name="Tomelilla" sheetId="16" r:id="rId17"/>
    <sheet name="Bromölla" sheetId="17" r:id="rId18"/>
    <sheet name="Osby" sheetId="18" r:id="rId19"/>
    <sheet name="Perstorp" sheetId="19" r:id="rId20"/>
    <sheet name="Klippan" sheetId="20" r:id="rId21"/>
    <sheet name="Åstorp" sheetId="21" r:id="rId22"/>
    <sheet name="Båstad" sheetId="22" r:id="rId23"/>
    <sheet name="Malmö" sheetId="23" r:id="rId24"/>
    <sheet name="Lund" sheetId="24" r:id="rId25"/>
    <sheet name="Landskrona" sheetId="25" r:id="rId26"/>
    <sheet name="Helsingborg" sheetId="26" r:id="rId27"/>
    <sheet name="Höganäs" sheetId="27" r:id="rId28"/>
    <sheet name="Eslöv" sheetId="28" r:id="rId29"/>
    <sheet name="Ystad" sheetId="29" r:id="rId30"/>
    <sheet name="Trelleborg" sheetId="30" r:id="rId31"/>
    <sheet name="Kristianstad" sheetId="31" r:id="rId32"/>
    <sheet name="Simrishamn" sheetId="32" r:id="rId33"/>
    <sheet name="Ängelholm" sheetId="33" r:id="rId34"/>
    <sheet name="Hässleholm" sheetId="34" r:id="rId35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34" l="1"/>
  <c r="B39" i="34"/>
  <c r="E39" i="34"/>
  <c r="G39" i="34"/>
  <c r="O37" i="34"/>
  <c r="O36" i="34"/>
  <c r="B35" i="34"/>
  <c r="O35" i="34"/>
  <c r="O33" i="34"/>
  <c r="G32" i="34"/>
  <c r="N32" i="34"/>
  <c r="N33" i="34"/>
  <c r="O17" i="34"/>
  <c r="G18" i="34"/>
  <c r="O18" i="34"/>
  <c r="O23" i="34"/>
  <c r="N23" i="34"/>
  <c r="K23" i="34"/>
  <c r="G23" i="34"/>
  <c r="F23" i="34"/>
  <c r="E23" i="34"/>
  <c r="D23" i="34"/>
  <c r="C23" i="34"/>
  <c r="B18" i="34"/>
  <c r="B23" i="34"/>
  <c r="O18" i="10"/>
  <c r="B18" i="10"/>
  <c r="B23" i="10"/>
  <c r="C32" i="29"/>
  <c r="G32" i="29"/>
  <c r="O32" i="29"/>
  <c r="O39" i="29"/>
  <c r="H26" i="27"/>
  <c r="N32" i="26"/>
  <c r="E32" i="26"/>
  <c r="O32" i="26"/>
  <c r="N39" i="26"/>
  <c r="O39" i="26"/>
  <c r="C7" i="37"/>
  <c r="D7" i="37"/>
  <c r="E7" i="37"/>
  <c r="F7" i="37"/>
  <c r="G7" i="37"/>
  <c r="H7" i="37"/>
  <c r="I7" i="37"/>
  <c r="J7" i="37"/>
  <c r="K7" i="37"/>
  <c r="O7" i="37"/>
  <c r="C6" i="37"/>
  <c r="D6" i="37"/>
  <c r="E6" i="37"/>
  <c r="F6" i="37"/>
  <c r="G6" i="37"/>
  <c r="H6" i="37"/>
  <c r="I6" i="37"/>
  <c r="J6" i="37"/>
  <c r="K6" i="37"/>
  <c r="O6" i="37"/>
  <c r="C18" i="23"/>
  <c r="C18" i="26"/>
  <c r="C18" i="37"/>
  <c r="D18" i="37"/>
  <c r="E18" i="37"/>
  <c r="F18" i="37"/>
  <c r="G18" i="37"/>
  <c r="H18" i="37"/>
  <c r="I18" i="37"/>
  <c r="J18" i="37"/>
  <c r="K18" i="37"/>
  <c r="L18" i="37"/>
  <c r="M18" i="37"/>
  <c r="N18" i="20"/>
  <c r="N18" i="37"/>
  <c r="O18" i="37"/>
  <c r="C17" i="23"/>
  <c r="C17" i="26"/>
  <c r="C17" i="37"/>
  <c r="D17" i="37"/>
  <c r="E17" i="37"/>
  <c r="F17" i="37"/>
  <c r="G17" i="24"/>
  <c r="G17" i="28"/>
  <c r="G17" i="33"/>
  <c r="G17" i="37"/>
  <c r="H17" i="37"/>
  <c r="I17" i="37"/>
  <c r="J17" i="37"/>
  <c r="K17" i="37"/>
  <c r="L17" i="37"/>
  <c r="M17" i="37"/>
  <c r="N17" i="37"/>
  <c r="O17" i="37"/>
  <c r="B32" i="37"/>
  <c r="C34" i="3"/>
  <c r="C32" i="3"/>
  <c r="C34" i="17"/>
  <c r="C32" i="17"/>
  <c r="C36" i="20"/>
  <c r="C32" i="20"/>
  <c r="C32" i="23"/>
  <c r="C32" i="25"/>
  <c r="C32" i="28"/>
  <c r="C32" i="30"/>
  <c r="C32" i="37"/>
  <c r="D32" i="27"/>
  <c r="D32" i="37"/>
  <c r="O34" i="2"/>
  <c r="O32" i="2"/>
  <c r="E32" i="2"/>
  <c r="E32" i="14"/>
  <c r="E39" i="16"/>
  <c r="E32" i="16"/>
  <c r="E32" i="17"/>
  <c r="E32" i="32"/>
  <c r="E32" i="37"/>
  <c r="F32" i="37"/>
  <c r="G32" i="6"/>
  <c r="G32" i="16"/>
  <c r="E39" i="20"/>
  <c r="G39" i="20"/>
  <c r="G32" i="20"/>
  <c r="G32" i="37"/>
  <c r="H32" i="37"/>
  <c r="I32" i="37"/>
  <c r="J32" i="37"/>
  <c r="K32" i="37"/>
  <c r="L32" i="37"/>
  <c r="M32" i="37"/>
  <c r="N32" i="6"/>
  <c r="E39" i="11"/>
  <c r="N39" i="11"/>
  <c r="N32" i="11"/>
  <c r="N32" i="16"/>
  <c r="N32" i="17"/>
  <c r="N32" i="19"/>
  <c r="N36" i="21"/>
  <c r="N32" i="21"/>
  <c r="N32" i="32"/>
  <c r="N32" i="37"/>
  <c r="O32" i="37"/>
  <c r="B33" i="12"/>
  <c r="B33" i="13"/>
  <c r="B33" i="14"/>
  <c r="B33" i="15"/>
  <c r="B33" i="37"/>
  <c r="C33" i="37"/>
  <c r="D33" i="37"/>
  <c r="F33" i="37"/>
  <c r="G33" i="37"/>
  <c r="H33" i="37"/>
  <c r="I33" i="37"/>
  <c r="J33" i="37"/>
  <c r="K33" i="37"/>
  <c r="L33" i="37"/>
  <c r="M33" i="37"/>
  <c r="N33" i="14"/>
  <c r="N33" i="16"/>
  <c r="N33" i="22"/>
  <c r="N33" i="32"/>
  <c r="N33" i="37"/>
  <c r="O33" i="37"/>
  <c r="B34" i="37"/>
  <c r="C34" i="16"/>
  <c r="C34" i="32"/>
  <c r="C34" i="37"/>
  <c r="D34" i="37"/>
  <c r="F34" i="37"/>
  <c r="G34" i="37"/>
  <c r="I34" i="37"/>
  <c r="J34" i="37"/>
  <c r="K34" i="37"/>
  <c r="L34" i="37"/>
  <c r="M34" i="37"/>
  <c r="N34" i="37"/>
  <c r="O34" i="37"/>
  <c r="B35" i="4"/>
  <c r="B35" i="37"/>
  <c r="C35" i="15"/>
  <c r="C35" i="28"/>
  <c r="C35" i="37"/>
  <c r="D35" i="37"/>
  <c r="E35" i="37"/>
  <c r="F35" i="37"/>
  <c r="G35" i="37"/>
  <c r="H35" i="37"/>
  <c r="I35" i="37"/>
  <c r="J35" i="37"/>
  <c r="K35" i="37"/>
  <c r="L35" i="37"/>
  <c r="M35" i="37"/>
  <c r="N35" i="3"/>
  <c r="O35" i="28"/>
  <c r="N35" i="28"/>
  <c r="N35" i="32"/>
  <c r="N35" i="37"/>
  <c r="O35" i="37"/>
  <c r="B37" i="25"/>
  <c r="B36" i="25"/>
  <c r="B36" i="37"/>
  <c r="C36" i="16"/>
  <c r="C36" i="27"/>
  <c r="C36" i="29"/>
  <c r="C36" i="32"/>
  <c r="C36" i="37"/>
  <c r="D36" i="37"/>
  <c r="F36" i="37"/>
  <c r="G36" i="18"/>
  <c r="G36" i="37"/>
  <c r="H36" i="37"/>
  <c r="I36" i="37"/>
  <c r="J36" i="37"/>
  <c r="K36" i="37"/>
  <c r="L36" i="37"/>
  <c r="M36" i="37"/>
  <c r="N36" i="6"/>
  <c r="N36" i="14"/>
  <c r="N36" i="16"/>
  <c r="N36" i="32"/>
  <c r="N36" i="37"/>
  <c r="O36" i="37"/>
  <c r="B37" i="37"/>
  <c r="C37" i="37"/>
  <c r="D37" i="37"/>
  <c r="F37" i="37"/>
  <c r="G37" i="37"/>
  <c r="H37" i="37"/>
  <c r="I37" i="37"/>
  <c r="J37" i="37"/>
  <c r="K37" i="37"/>
  <c r="L37" i="37"/>
  <c r="M37" i="37"/>
  <c r="N37" i="22"/>
  <c r="N37" i="37"/>
  <c r="O37" i="37"/>
  <c r="B38" i="37"/>
  <c r="C38" i="37"/>
  <c r="D38" i="37"/>
  <c r="E38" i="37"/>
  <c r="F38" i="37"/>
  <c r="G38" i="37"/>
  <c r="H38" i="37"/>
  <c r="I38" i="37"/>
  <c r="J38" i="37"/>
  <c r="K38" i="37"/>
  <c r="L38" i="37"/>
  <c r="M38" i="37"/>
  <c r="N38" i="13"/>
  <c r="N38" i="15"/>
  <c r="N38" i="37"/>
  <c r="O38" i="37"/>
  <c r="B31" i="37"/>
  <c r="C31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F39" i="37"/>
  <c r="G39" i="37"/>
  <c r="H39" i="37"/>
  <c r="I39" i="37"/>
  <c r="J39" i="37"/>
  <c r="K39" i="37"/>
  <c r="L39" i="37"/>
  <c r="M39" i="37"/>
  <c r="N39" i="37"/>
  <c r="O39" i="37"/>
  <c r="C39" i="37"/>
  <c r="D39" i="37"/>
  <c r="E39" i="37"/>
  <c r="B39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B17" i="24"/>
  <c r="B17" i="26"/>
  <c r="B17" i="31"/>
  <c r="B17" i="37"/>
  <c r="B18" i="3"/>
  <c r="B18" i="7"/>
  <c r="B18" i="8"/>
  <c r="B18" i="18"/>
  <c r="B18" i="19"/>
  <c r="B18" i="20"/>
  <c r="B18" i="21"/>
  <c r="B18" i="26"/>
  <c r="B18" i="29"/>
  <c r="B18" i="30"/>
  <c r="B18" i="37"/>
  <c r="B19" i="37"/>
  <c r="B20" i="37"/>
  <c r="B21" i="37"/>
  <c r="B22" i="37"/>
  <c r="B23" i="37"/>
  <c r="O10" i="37"/>
  <c r="C10" i="37"/>
  <c r="B4" i="37"/>
  <c r="B5" i="37"/>
  <c r="B6" i="26"/>
  <c r="B6" i="37"/>
  <c r="B7" i="37"/>
  <c r="B8" i="37"/>
  <c r="B9" i="37"/>
  <c r="B10" i="37"/>
  <c r="N41" i="37"/>
  <c r="O32" i="17"/>
  <c r="O39" i="17"/>
  <c r="O31" i="4"/>
  <c r="O32" i="4"/>
  <c r="O33" i="4"/>
  <c r="O34" i="4"/>
  <c r="O35" i="4"/>
  <c r="O36" i="4"/>
  <c r="O37" i="4"/>
  <c r="O38" i="4"/>
  <c r="O39" i="4"/>
  <c r="O32" i="28"/>
  <c r="O33" i="28"/>
  <c r="O36" i="28"/>
  <c r="O37" i="28"/>
  <c r="O39" i="28"/>
  <c r="O31" i="14"/>
  <c r="O34" i="14"/>
  <c r="O35" i="14"/>
  <c r="O36" i="14"/>
  <c r="O37" i="14"/>
  <c r="O38" i="14"/>
  <c r="O39" i="14"/>
  <c r="O35" i="15"/>
  <c r="O36" i="15"/>
  <c r="O37" i="15"/>
  <c r="O38" i="15"/>
  <c r="O39" i="15"/>
  <c r="O32" i="25"/>
  <c r="O33" i="25"/>
  <c r="O35" i="25"/>
  <c r="O36" i="25"/>
  <c r="O37" i="25"/>
  <c r="O39" i="25"/>
  <c r="O32" i="10"/>
  <c r="O33" i="10"/>
  <c r="O34" i="10"/>
  <c r="O35" i="10"/>
  <c r="O36" i="10"/>
  <c r="O37" i="10"/>
  <c r="O38" i="10"/>
  <c r="O39" i="10"/>
  <c r="O32" i="23"/>
  <c r="O33" i="23"/>
  <c r="O35" i="23"/>
  <c r="O36" i="23"/>
  <c r="O37" i="23"/>
  <c r="O39" i="23"/>
  <c r="O32" i="19"/>
  <c r="O34" i="19"/>
  <c r="O39" i="19"/>
  <c r="O31" i="13"/>
  <c r="O32" i="13"/>
  <c r="O33" i="13"/>
  <c r="O35" i="13"/>
  <c r="O36" i="13"/>
  <c r="O37" i="13"/>
  <c r="O38" i="13"/>
  <c r="O39" i="13"/>
  <c r="O31" i="12"/>
  <c r="O32" i="12"/>
  <c r="O33" i="12"/>
  <c r="O35" i="12"/>
  <c r="O36" i="12"/>
  <c r="O37" i="12"/>
  <c r="O39" i="12"/>
  <c r="O32" i="21"/>
  <c r="O39" i="21"/>
  <c r="N39" i="17"/>
  <c r="N39" i="4"/>
  <c r="N39" i="22"/>
  <c r="N39" i="28"/>
  <c r="G39" i="26"/>
  <c r="E39" i="26"/>
  <c r="N39" i="19"/>
  <c r="B39" i="4"/>
  <c r="B39" i="28"/>
  <c r="B39" i="25"/>
  <c r="B39" i="23"/>
  <c r="B39" i="12"/>
  <c r="O38" i="6"/>
  <c r="O38" i="32"/>
  <c r="O37" i="16"/>
  <c r="O37" i="32"/>
  <c r="O36" i="3"/>
  <c r="O41" i="37"/>
  <c r="O32" i="3"/>
  <c r="O33" i="3"/>
  <c r="O33" i="6"/>
  <c r="O35" i="16"/>
  <c r="O31" i="6"/>
  <c r="O31" i="16"/>
  <c r="O31" i="32"/>
  <c r="L23" i="28"/>
  <c r="L42" i="28"/>
  <c r="C42" i="28"/>
  <c r="D39" i="28"/>
  <c r="D42" i="28"/>
  <c r="E39" i="28"/>
  <c r="E23" i="28"/>
  <c r="E42" i="28"/>
  <c r="F23" i="28"/>
  <c r="F42" i="28"/>
  <c r="G23" i="28"/>
  <c r="G42" i="28"/>
  <c r="H39" i="28"/>
  <c r="H23" i="28"/>
  <c r="H42" i="28"/>
  <c r="I42" i="28"/>
  <c r="J23" i="28"/>
  <c r="J42" i="28"/>
  <c r="K42" i="28"/>
  <c r="M42" i="28"/>
  <c r="N45" i="28"/>
  <c r="N42" i="28"/>
  <c r="O42" i="28"/>
  <c r="L43" i="28"/>
  <c r="U30" i="28"/>
  <c r="T30" i="28"/>
  <c r="M39" i="25"/>
  <c r="M42" i="25"/>
  <c r="C23" i="25"/>
  <c r="C42" i="25"/>
  <c r="D39" i="25"/>
  <c r="D23" i="25"/>
  <c r="D42" i="25"/>
  <c r="E39" i="25"/>
  <c r="E23" i="25"/>
  <c r="E42" i="25"/>
  <c r="F23" i="25"/>
  <c r="F42" i="25"/>
  <c r="G39" i="25"/>
  <c r="G23" i="25"/>
  <c r="G42" i="25"/>
  <c r="H23" i="25"/>
  <c r="H42" i="25"/>
  <c r="I42" i="25"/>
  <c r="J42" i="25"/>
  <c r="K23" i="25"/>
  <c r="K42" i="25"/>
  <c r="L39" i="25"/>
  <c r="L23" i="25"/>
  <c r="L42" i="25"/>
  <c r="N45" i="25"/>
  <c r="N42" i="25"/>
  <c r="O42" i="25"/>
  <c r="M43" i="25"/>
  <c r="U31" i="25"/>
  <c r="T31" i="25"/>
  <c r="L43" i="25"/>
  <c r="U26" i="25"/>
  <c r="T26" i="25"/>
  <c r="C23" i="14"/>
  <c r="C42" i="14"/>
  <c r="D23" i="14"/>
  <c r="D42" i="14"/>
  <c r="E39" i="14"/>
  <c r="E23" i="14"/>
  <c r="E42" i="14"/>
  <c r="F23" i="14"/>
  <c r="F42" i="14"/>
  <c r="G23" i="14"/>
  <c r="G42" i="14"/>
  <c r="H23" i="14"/>
  <c r="H42" i="14"/>
  <c r="I42" i="14"/>
  <c r="J42" i="14"/>
  <c r="K42" i="14"/>
  <c r="L42" i="14"/>
  <c r="M42" i="14"/>
  <c r="N45" i="14"/>
  <c r="N42" i="14"/>
  <c r="O42" i="14"/>
  <c r="N43" i="14"/>
  <c r="U24" i="14"/>
  <c r="G43" i="14"/>
  <c r="U25" i="14"/>
  <c r="J43" i="14"/>
  <c r="U26" i="14"/>
  <c r="F43" i="14"/>
  <c r="U27" i="14"/>
  <c r="E43" i="14"/>
  <c r="U28" i="14"/>
  <c r="D43" i="14"/>
  <c r="U29" i="14"/>
  <c r="K43" i="14"/>
  <c r="U30" i="14"/>
  <c r="I43" i="14"/>
  <c r="U31" i="14"/>
  <c r="H43" i="14"/>
  <c r="U32" i="14"/>
  <c r="C43" i="14"/>
  <c r="U33" i="14"/>
  <c r="U34" i="14"/>
  <c r="N43" i="25"/>
  <c r="U24" i="25"/>
  <c r="G43" i="25"/>
  <c r="U25" i="25"/>
  <c r="F43" i="25"/>
  <c r="U27" i="25"/>
  <c r="E43" i="25"/>
  <c r="U28" i="25"/>
  <c r="D43" i="25"/>
  <c r="U29" i="25"/>
  <c r="K43" i="25"/>
  <c r="U30" i="25"/>
  <c r="H43" i="25"/>
  <c r="U32" i="25"/>
  <c r="C43" i="25"/>
  <c r="U33" i="25"/>
  <c r="U34" i="25"/>
  <c r="N43" i="28"/>
  <c r="U24" i="28"/>
  <c r="G43" i="28"/>
  <c r="U25" i="28"/>
  <c r="J43" i="28"/>
  <c r="U26" i="28"/>
  <c r="F43" i="28"/>
  <c r="U27" i="28"/>
  <c r="E43" i="28"/>
  <c r="U28" i="28"/>
  <c r="D43" i="28"/>
  <c r="U29" i="28"/>
  <c r="I43" i="28"/>
  <c r="U31" i="28"/>
  <c r="H43" i="28"/>
  <c r="U32" i="28"/>
  <c r="C43" i="28"/>
  <c r="U33" i="28"/>
  <c r="U34" i="28"/>
  <c r="E23" i="10"/>
  <c r="E23" i="11"/>
  <c r="E23" i="13"/>
  <c r="E23" i="15"/>
  <c r="E23" i="16"/>
  <c r="E23" i="20"/>
  <c r="E23" i="23"/>
  <c r="E23" i="24"/>
  <c r="E23" i="26"/>
  <c r="E23" i="31"/>
  <c r="E23" i="32"/>
  <c r="E10" i="17"/>
  <c r="E10" i="23"/>
  <c r="E10" i="37"/>
  <c r="E42" i="37"/>
  <c r="C39" i="4"/>
  <c r="C39" i="5"/>
  <c r="C39" i="7"/>
  <c r="C39" i="17"/>
  <c r="C39" i="23"/>
  <c r="C39" i="27"/>
  <c r="C39" i="29"/>
  <c r="C39" i="30"/>
  <c r="C23" i="10"/>
  <c r="C23" i="11"/>
  <c r="C23" i="13"/>
  <c r="C23" i="15"/>
  <c r="C23" i="16"/>
  <c r="C23" i="23"/>
  <c r="C23" i="26"/>
  <c r="C23" i="31"/>
  <c r="C23" i="32"/>
  <c r="C10" i="17"/>
  <c r="C10" i="23"/>
  <c r="C42" i="37"/>
  <c r="D39" i="19"/>
  <c r="D39" i="27"/>
  <c r="D23" i="11"/>
  <c r="D23" i="13"/>
  <c r="D23" i="15"/>
  <c r="D23" i="16"/>
  <c r="D23" i="23"/>
  <c r="D23" i="26"/>
  <c r="D23" i="31"/>
  <c r="D23" i="32"/>
  <c r="D10" i="17"/>
  <c r="D10" i="23"/>
  <c r="D10" i="37"/>
  <c r="D42" i="37"/>
  <c r="F39" i="2"/>
  <c r="F39" i="17"/>
  <c r="F39" i="19"/>
  <c r="F23" i="11"/>
  <c r="F23" i="13"/>
  <c r="F23" i="15"/>
  <c r="F23" i="16"/>
  <c r="F23" i="20"/>
  <c r="F23" i="23"/>
  <c r="F23" i="24"/>
  <c r="F23" i="31"/>
  <c r="F23" i="32"/>
  <c r="F10" i="17"/>
  <c r="F10" i="23"/>
  <c r="F10" i="37"/>
  <c r="F42" i="37"/>
  <c r="G39" i="7"/>
  <c r="G39" i="17"/>
  <c r="G39" i="19"/>
  <c r="G39" i="21"/>
  <c r="G39" i="27"/>
  <c r="G39" i="31"/>
  <c r="G39" i="32"/>
  <c r="G23" i="10"/>
  <c r="G23" i="11"/>
  <c r="G23" i="13"/>
  <c r="G23" i="15"/>
  <c r="G23" i="16"/>
  <c r="G23" i="19"/>
  <c r="G23" i="20"/>
  <c r="G23" i="23"/>
  <c r="G23" i="26"/>
  <c r="G23" i="31"/>
  <c r="G23" i="32"/>
  <c r="G23" i="33"/>
  <c r="G10" i="17"/>
  <c r="G10" i="23"/>
  <c r="G10" i="37"/>
  <c r="G42" i="37"/>
  <c r="H23" i="11"/>
  <c r="H23" i="13"/>
  <c r="H23" i="15"/>
  <c r="H23" i="16"/>
  <c r="H23" i="20"/>
  <c r="H23" i="23"/>
  <c r="H23" i="31"/>
  <c r="H23" i="32"/>
  <c r="H10" i="17"/>
  <c r="H10" i="23"/>
  <c r="H10" i="37"/>
  <c r="H42" i="37"/>
  <c r="I39" i="17"/>
  <c r="I10" i="37"/>
  <c r="I42" i="37"/>
  <c r="J39" i="19"/>
  <c r="J10" i="37"/>
  <c r="J42" i="37"/>
  <c r="K39" i="19"/>
  <c r="K23" i="23"/>
  <c r="K23" i="26"/>
  <c r="K23" i="33"/>
  <c r="K10" i="37"/>
  <c r="K42" i="37"/>
  <c r="L42" i="37"/>
  <c r="M39" i="19"/>
  <c r="M42" i="37"/>
  <c r="N23" i="11"/>
  <c r="N23" i="20"/>
  <c r="N23" i="23"/>
  <c r="N23" i="24"/>
  <c r="N23" i="26"/>
  <c r="N45" i="37"/>
  <c r="N42" i="37"/>
  <c r="O42" i="37"/>
  <c r="M43" i="37"/>
  <c r="U33" i="37"/>
  <c r="T33" i="37"/>
  <c r="L43" i="37"/>
  <c r="U32" i="37"/>
  <c r="T32" i="37"/>
  <c r="D9" i="40"/>
  <c r="B9" i="40"/>
  <c r="B44" i="37"/>
  <c r="B25" i="37"/>
  <c r="B46" i="37"/>
  <c r="O48" i="34"/>
  <c r="B23" i="25"/>
  <c r="B45" i="25"/>
  <c r="O17" i="25"/>
  <c r="M42" i="19"/>
  <c r="C42" i="19"/>
  <c r="D42" i="19"/>
  <c r="E39" i="19"/>
  <c r="E42" i="19"/>
  <c r="F42" i="19"/>
  <c r="G42" i="19"/>
  <c r="H42" i="19"/>
  <c r="I42" i="19"/>
  <c r="J42" i="19"/>
  <c r="K42" i="19"/>
  <c r="L42" i="19"/>
  <c r="N45" i="19"/>
  <c r="N42" i="19"/>
  <c r="O42" i="19"/>
  <c r="M43" i="19"/>
  <c r="U31" i="19"/>
  <c r="T31" i="19"/>
  <c r="T11" i="17"/>
  <c r="U10" i="17"/>
  <c r="V10" i="17"/>
  <c r="B23" i="19"/>
  <c r="O18" i="19"/>
  <c r="O23" i="19"/>
  <c r="E39" i="2"/>
  <c r="E42" i="2"/>
  <c r="F42" i="2"/>
  <c r="C42" i="2"/>
  <c r="D42" i="2"/>
  <c r="G42" i="2"/>
  <c r="H42" i="2"/>
  <c r="I42" i="2"/>
  <c r="J42" i="2"/>
  <c r="K42" i="2"/>
  <c r="L42" i="2"/>
  <c r="M42" i="2"/>
  <c r="N45" i="2"/>
  <c r="N42" i="2"/>
  <c r="O42" i="2"/>
  <c r="N43" i="2"/>
  <c r="U24" i="2"/>
  <c r="G43" i="2"/>
  <c r="U25" i="2"/>
  <c r="J43" i="2"/>
  <c r="U26" i="2"/>
  <c r="F43" i="2"/>
  <c r="U27" i="2"/>
  <c r="E43" i="2"/>
  <c r="U28" i="2"/>
  <c r="D43" i="2"/>
  <c r="U29" i="2"/>
  <c r="K43" i="2"/>
  <c r="U30" i="2"/>
  <c r="I43" i="2"/>
  <c r="U31" i="2"/>
  <c r="H43" i="2"/>
  <c r="U32" i="2"/>
  <c r="C43" i="2"/>
  <c r="U33" i="2"/>
  <c r="U34" i="2"/>
  <c r="N45" i="3"/>
  <c r="N42" i="3"/>
  <c r="C42" i="3"/>
  <c r="D42" i="3"/>
  <c r="E42" i="3"/>
  <c r="F42" i="3"/>
  <c r="G42" i="3"/>
  <c r="H42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N45" i="4"/>
  <c r="N42" i="4"/>
  <c r="C42" i="4"/>
  <c r="D42" i="4"/>
  <c r="E42" i="4"/>
  <c r="F42" i="4"/>
  <c r="G42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N45" i="5"/>
  <c r="N42" i="5"/>
  <c r="C42" i="5"/>
  <c r="D42" i="5"/>
  <c r="E39" i="5"/>
  <c r="E42" i="5"/>
  <c r="F42" i="5"/>
  <c r="G42" i="5"/>
  <c r="H42" i="5"/>
  <c r="I42" i="5"/>
  <c r="J42" i="5"/>
  <c r="K42" i="5"/>
  <c r="L42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45" i="6"/>
  <c r="N42" i="6"/>
  <c r="C42" i="6"/>
  <c r="D42" i="6"/>
  <c r="E42" i="6"/>
  <c r="F42" i="6"/>
  <c r="G42" i="6"/>
  <c r="H42" i="6"/>
  <c r="I42" i="6"/>
  <c r="J42" i="6"/>
  <c r="K42" i="6"/>
  <c r="L42" i="6"/>
  <c r="M42" i="6"/>
  <c r="O42" i="6"/>
  <c r="N43" i="6"/>
  <c r="U24" i="6"/>
  <c r="G43" i="6"/>
  <c r="U25" i="6"/>
  <c r="J43" i="6"/>
  <c r="U26" i="6"/>
  <c r="F43" i="6"/>
  <c r="U27" i="6"/>
  <c r="E43" i="6"/>
  <c r="U28" i="6"/>
  <c r="D43" i="6"/>
  <c r="U29" i="6"/>
  <c r="K43" i="6"/>
  <c r="U30" i="6"/>
  <c r="I43" i="6"/>
  <c r="U31" i="6"/>
  <c r="H43" i="6"/>
  <c r="U32" i="6"/>
  <c r="C43" i="6"/>
  <c r="U33" i="6"/>
  <c r="U34" i="6"/>
  <c r="N45" i="7"/>
  <c r="N42" i="7"/>
  <c r="C42" i="7"/>
  <c r="D42" i="7"/>
  <c r="E42" i="7"/>
  <c r="F42" i="7"/>
  <c r="G42" i="7"/>
  <c r="H42" i="7"/>
  <c r="I42" i="7"/>
  <c r="J42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N45" i="8"/>
  <c r="N42" i="8"/>
  <c r="C42" i="8"/>
  <c r="D42" i="8"/>
  <c r="E42" i="8"/>
  <c r="F42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N45" i="9"/>
  <c r="N42" i="9"/>
  <c r="C42" i="9"/>
  <c r="D42" i="9"/>
  <c r="E42" i="9"/>
  <c r="F42" i="9"/>
  <c r="G42" i="9"/>
  <c r="H42" i="9"/>
  <c r="I42" i="9"/>
  <c r="J42" i="9"/>
  <c r="K42" i="9"/>
  <c r="L42" i="9"/>
  <c r="M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45" i="10"/>
  <c r="N42" i="10"/>
  <c r="C42" i="10"/>
  <c r="D42" i="10"/>
  <c r="E42" i="10"/>
  <c r="F42" i="10"/>
  <c r="G42" i="10"/>
  <c r="H42" i="10"/>
  <c r="I42" i="10"/>
  <c r="J42" i="10"/>
  <c r="K42" i="10"/>
  <c r="L42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N45" i="11"/>
  <c r="N42" i="11"/>
  <c r="C42" i="11"/>
  <c r="D42" i="11"/>
  <c r="E42" i="11"/>
  <c r="F42" i="11"/>
  <c r="G42" i="11"/>
  <c r="H42" i="11"/>
  <c r="I42" i="11"/>
  <c r="J42" i="11"/>
  <c r="K42" i="11"/>
  <c r="L42" i="11"/>
  <c r="M42" i="11"/>
  <c r="O42" i="11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3" i="11"/>
  <c r="U34" i="11"/>
  <c r="N45" i="12"/>
  <c r="N42" i="12"/>
  <c r="C42" i="12"/>
  <c r="D42" i="12"/>
  <c r="E42" i="12"/>
  <c r="F42" i="12"/>
  <c r="G42" i="12"/>
  <c r="H42" i="12"/>
  <c r="I42" i="12"/>
  <c r="J42" i="12"/>
  <c r="K42" i="12"/>
  <c r="L42" i="12"/>
  <c r="M42" i="12"/>
  <c r="O42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K43" i="12"/>
  <c r="U30" i="12"/>
  <c r="I43" i="12"/>
  <c r="U31" i="12"/>
  <c r="H43" i="12"/>
  <c r="U32" i="12"/>
  <c r="C43" i="12"/>
  <c r="U33" i="12"/>
  <c r="U34" i="12"/>
  <c r="N45" i="13"/>
  <c r="N42" i="13"/>
  <c r="C42" i="13"/>
  <c r="D42" i="13"/>
  <c r="E42" i="13"/>
  <c r="F42" i="13"/>
  <c r="G42" i="13"/>
  <c r="H42" i="13"/>
  <c r="I42" i="13"/>
  <c r="J42" i="13"/>
  <c r="K42" i="13"/>
  <c r="L42" i="13"/>
  <c r="M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N45" i="15"/>
  <c r="N42" i="15"/>
  <c r="C42" i="15"/>
  <c r="D42" i="15"/>
  <c r="E42" i="15"/>
  <c r="F42" i="15"/>
  <c r="G42" i="15"/>
  <c r="H42" i="15"/>
  <c r="I42" i="15"/>
  <c r="J42" i="15"/>
  <c r="K42" i="15"/>
  <c r="L42" i="15"/>
  <c r="M42" i="15"/>
  <c r="O42" i="15"/>
  <c r="N43" i="15"/>
  <c r="U24" i="15"/>
  <c r="G43" i="15"/>
  <c r="U25" i="15"/>
  <c r="J43" i="15"/>
  <c r="U26" i="15"/>
  <c r="F43" i="15"/>
  <c r="U27" i="15"/>
  <c r="E43" i="15"/>
  <c r="U28" i="15"/>
  <c r="D43" i="15"/>
  <c r="U29" i="15"/>
  <c r="K43" i="15"/>
  <c r="U30" i="15"/>
  <c r="I43" i="15"/>
  <c r="U31" i="15"/>
  <c r="H43" i="15"/>
  <c r="U32" i="15"/>
  <c r="C43" i="15"/>
  <c r="U33" i="15"/>
  <c r="U34" i="15"/>
  <c r="N45" i="16"/>
  <c r="N42" i="16"/>
  <c r="C42" i="16"/>
  <c r="D42" i="16"/>
  <c r="E42" i="16"/>
  <c r="F42" i="16"/>
  <c r="G42" i="16"/>
  <c r="H42" i="16"/>
  <c r="I42" i="16"/>
  <c r="J42" i="16"/>
  <c r="K42" i="16"/>
  <c r="L42" i="16"/>
  <c r="M42" i="16"/>
  <c r="O42" i="16"/>
  <c r="N43" i="16"/>
  <c r="U24" i="16"/>
  <c r="G43" i="16"/>
  <c r="U25" i="16"/>
  <c r="J43" i="16"/>
  <c r="U26" i="16"/>
  <c r="F43" i="16"/>
  <c r="U27" i="16"/>
  <c r="E43" i="16"/>
  <c r="U28" i="16"/>
  <c r="D43" i="16"/>
  <c r="U29" i="16"/>
  <c r="K43" i="16"/>
  <c r="U30" i="16"/>
  <c r="I43" i="16"/>
  <c r="U31" i="16"/>
  <c r="H43" i="16"/>
  <c r="U32" i="16"/>
  <c r="C43" i="16"/>
  <c r="U33" i="16"/>
  <c r="U34" i="16"/>
  <c r="F42" i="17"/>
  <c r="G42" i="17"/>
  <c r="E39" i="17"/>
  <c r="E42" i="17"/>
  <c r="C42" i="17"/>
  <c r="D42" i="17"/>
  <c r="H42" i="17"/>
  <c r="I42" i="17"/>
  <c r="J42" i="17"/>
  <c r="K42" i="17"/>
  <c r="L42" i="17"/>
  <c r="M42" i="17"/>
  <c r="N45" i="17"/>
  <c r="N42" i="17"/>
  <c r="O42" i="17"/>
  <c r="N43" i="17"/>
  <c r="U24" i="17"/>
  <c r="G43" i="17"/>
  <c r="U25" i="17"/>
  <c r="J43" i="17"/>
  <c r="U26" i="17"/>
  <c r="F43" i="17"/>
  <c r="U27" i="17"/>
  <c r="E43" i="17"/>
  <c r="U28" i="17"/>
  <c r="D43" i="17"/>
  <c r="U29" i="17"/>
  <c r="K43" i="17"/>
  <c r="U30" i="17"/>
  <c r="I43" i="17"/>
  <c r="U31" i="17"/>
  <c r="H43" i="17"/>
  <c r="U32" i="17"/>
  <c r="C43" i="17"/>
  <c r="U33" i="17"/>
  <c r="U34" i="17"/>
  <c r="N45" i="18"/>
  <c r="N42" i="18"/>
  <c r="C42" i="18"/>
  <c r="D42" i="18"/>
  <c r="E42" i="18"/>
  <c r="F42" i="18"/>
  <c r="G42" i="18"/>
  <c r="H42" i="18"/>
  <c r="I42" i="18"/>
  <c r="J42" i="18"/>
  <c r="K42" i="18"/>
  <c r="L42" i="18"/>
  <c r="M42" i="18"/>
  <c r="O42" i="18"/>
  <c r="N43" i="18"/>
  <c r="U24" i="18"/>
  <c r="G43" i="18"/>
  <c r="U25" i="18"/>
  <c r="J43" i="18"/>
  <c r="U26" i="18"/>
  <c r="F43" i="18"/>
  <c r="U27" i="18"/>
  <c r="E43" i="18"/>
  <c r="U28" i="18"/>
  <c r="D43" i="18"/>
  <c r="U29" i="18"/>
  <c r="K43" i="18"/>
  <c r="U30" i="18"/>
  <c r="I43" i="18"/>
  <c r="U31" i="18"/>
  <c r="H43" i="18"/>
  <c r="U32" i="18"/>
  <c r="C43" i="18"/>
  <c r="U33" i="18"/>
  <c r="U34" i="18"/>
  <c r="N43" i="19"/>
  <c r="U24" i="19"/>
  <c r="G43" i="19"/>
  <c r="U25" i="19"/>
  <c r="J43" i="19"/>
  <c r="U26" i="19"/>
  <c r="F43" i="19"/>
  <c r="U27" i="19"/>
  <c r="E43" i="19"/>
  <c r="U28" i="19"/>
  <c r="D43" i="19"/>
  <c r="U29" i="19"/>
  <c r="K43" i="19"/>
  <c r="U30" i="19"/>
  <c r="I43" i="19"/>
  <c r="H43" i="19"/>
  <c r="U32" i="19"/>
  <c r="C43" i="19"/>
  <c r="U33" i="19"/>
  <c r="U34" i="19"/>
  <c r="N45" i="20"/>
  <c r="N42" i="20"/>
  <c r="C42" i="20"/>
  <c r="D42" i="20"/>
  <c r="E42" i="20"/>
  <c r="F42" i="20"/>
  <c r="G42" i="20"/>
  <c r="H42" i="20"/>
  <c r="I42" i="20"/>
  <c r="J42" i="20"/>
  <c r="K42" i="20"/>
  <c r="L42" i="20"/>
  <c r="M42" i="20"/>
  <c r="O42" i="20"/>
  <c r="N43" i="20"/>
  <c r="U24" i="20"/>
  <c r="G43" i="20"/>
  <c r="U25" i="20"/>
  <c r="J43" i="20"/>
  <c r="U26" i="20"/>
  <c r="F43" i="20"/>
  <c r="U27" i="20"/>
  <c r="E43" i="20"/>
  <c r="U28" i="20"/>
  <c r="D43" i="20"/>
  <c r="U29" i="20"/>
  <c r="K43" i="20"/>
  <c r="U30" i="20"/>
  <c r="I43" i="20"/>
  <c r="U31" i="20"/>
  <c r="H43" i="20"/>
  <c r="U32" i="20"/>
  <c r="C43" i="20"/>
  <c r="U33" i="20"/>
  <c r="U34" i="20"/>
  <c r="G42" i="21"/>
  <c r="C42" i="21"/>
  <c r="D42" i="21"/>
  <c r="E39" i="21"/>
  <c r="E42" i="21"/>
  <c r="F42" i="21"/>
  <c r="H42" i="21"/>
  <c r="I42" i="21"/>
  <c r="J42" i="21"/>
  <c r="K42" i="21"/>
  <c r="L42" i="21"/>
  <c r="M42" i="21"/>
  <c r="N45" i="21"/>
  <c r="N42" i="21"/>
  <c r="O42" i="21"/>
  <c r="N43" i="21"/>
  <c r="U24" i="21"/>
  <c r="G43" i="21"/>
  <c r="U25" i="21"/>
  <c r="J43" i="21"/>
  <c r="U26" i="21"/>
  <c r="F43" i="21"/>
  <c r="U27" i="21"/>
  <c r="E43" i="21"/>
  <c r="U28" i="21"/>
  <c r="D43" i="21"/>
  <c r="U29" i="21"/>
  <c r="K43" i="21"/>
  <c r="U30" i="21"/>
  <c r="I43" i="21"/>
  <c r="U31" i="21"/>
  <c r="H43" i="21"/>
  <c r="U32" i="21"/>
  <c r="C43" i="21"/>
  <c r="U33" i="21"/>
  <c r="U34" i="21"/>
  <c r="N45" i="22"/>
  <c r="N42" i="22"/>
  <c r="C42" i="22"/>
  <c r="D42" i="22"/>
  <c r="E42" i="22"/>
  <c r="F42" i="22"/>
  <c r="G42" i="22"/>
  <c r="H42" i="22"/>
  <c r="I42" i="22"/>
  <c r="J42" i="22"/>
  <c r="K42" i="22"/>
  <c r="L42" i="22"/>
  <c r="M42" i="22"/>
  <c r="O42" i="22"/>
  <c r="N43" i="22"/>
  <c r="U24" i="22"/>
  <c r="G43" i="22"/>
  <c r="U25" i="22"/>
  <c r="J43" i="22"/>
  <c r="U26" i="22"/>
  <c r="F43" i="22"/>
  <c r="U27" i="22"/>
  <c r="E43" i="22"/>
  <c r="U28" i="22"/>
  <c r="D43" i="22"/>
  <c r="U29" i="22"/>
  <c r="K43" i="22"/>
  <c r="U30" i="22"/>
  <c r="I43" i="22"/>
  <c r="U31" i="22"/>
  <c r="H43" i="22"/>
  <c r="U32" i="22"/>
  <c r="C43" i="22"/>
  <c r="U33" i="22"/>
  <c r="U34" i="22"/>
  <c r="N45" i="23"/>
  <c r="N42" i="23"/>
  <c r="C42" i="23"/>
  <c r="D42" i="23"/>
  <c r="E42" i="23"/>
  <c r="F42" i="23"/>
  <c r="G42" i="23"/>
  <c r="H42" i="23"/>
  <c r="I42" i="23"/>
  <c r="J42" i="23"/>
  <c r="K42" i="23"/>
  <c r="L42" i="23"/>
  <c r="M42" i="23"/>
  <c r="O42" i="23"/>
  <c r="N43" i="23"/>
  <c r="U24" i="23"/>
  <c r="G43" i="23"/>
  <c r="U25" i="23"/>
  <c r="J43" i="23"/>
  <c r="U26" i="23"/>
  <c r="F43" i="23"/>
  <c r="U27" i="23"/>
  <c r="E43" i="23"/>
  <c r="U28" i="23"/>
  <c r="D43" i="23"/>
  <c r="U29" i="23"/>
  <c r="K43" i="23"/>
  <c r="U30" i="23"/>
  <c r="I43" i="23"/>
  <c r="U31" i="23"/>
  <c r="H43" i="23"/>
  <c r="U32" i="23"/>
  <c r="C43" i="23"/>
  <c r="U33" i="23"/>
  <c r="U34" i="23"/>
  <c r="N45" i="24"/>
  <c r="N42" i="24"/>
  <c r="C42" i="24"/>
  <c r="D42" i="24"/>
  <c r="E42" i="24"/>
  <c r="F42" i="24"/>
  <c r="G42" i="24"/>
  <c r="H42" i="24"/>
  <c r="I42" i="24"/>
  <c r="J42" i="24"/>
  <c r="K42" i="24"/>
  <c r="L42" i="24"/>
  <c r="M42" i="24"/>
  <c r="O42" i="24"/>
  <c r="N43" i="24"/>
  <c r="U24" i="24"/>
  <c r="G43" i="24"/>
  <c r="U25" i="24"/>
  <c r="J43" i="24"/>
  <c r="U26" i="24"/>
  <c r="F43" i="24"/>
  <c r="U27" i="24"/>
  <c r="E43" i="24"/>
  <c r="U28" i="24"/>
  <c r="D43" i="24"/>
  <c r="U29" i="24"/>
  <c r="K43" i="24"/>
  <c r="U30" i="24"/>
  <c r="I43" i="24"/>
  <c r="U31" i="24"/>
  <c r="H43" i="24"/>
  <c r="U32" i="24"/>
  <c r="C43" i="24"/>
  <c r="U33" i="24"/>
  <c r="U34" i="24"/>
  <c r="N45" i="26"/>
  <c r="N42" i="26"/>
  <c r="C42" i="26"/>
  <c r="D42" i="26"/>
  <c r="E42" i="26"/>
  <c r="F42" i="26"/>
  <c r="G42" i="26"/>
  <c r="H42" i="26"/>
  <c r="I42" i="26"/>
  <c r="J42" i="26"/>
  <c r="K42" i="26"/>
  <c r="L42" i="26"/>
  <c r="M42" i="26"/>
  <c r="O42" i="26"/>
  <c r="N43" i="26"/>
  <c r="U24" i="26"/>
  <c r="G43" i="26"/>
  <c r="U25" i="26"/>
  <c r="J43" i="26"/>
  <c r="U26" i="26"/>
  <c r="F43" i="26"/>
  <c r="U27" i="26"/>
  <c r="E43" i="26"/>
  <c r="U28" i="26"/>
  <c r="D43" i="26"/>
  <c r="U29" i="26"/>
  <c r="K43" i="26"/>
  <c r="U30" i="26"/>
  <c r="I43" i="26"/>
  <c r="U31" i="26"/>
  <c r="H43" i="26"/>
  <c r="U32" i="26"/>
  <c r="C43" i="26"/>
  <c r="U33" i="26"/>
  <c r="U34" i="26"/>
  <c r="J43" i="25"/>
  <c r="I43" i="25"/>
  <c r="G42" i="27"/>
  <c r="C42" i="27"/>
  <c r="D42" i="27"/>
  <c r="E39" i="27"/>
  <c r="E42" i="27"/>
  <c r="F42" i="27"/>
  <c r="H42" i="27"/>
  <c r="I42" i="27"/>
  <c r="J42" i="27"/>
  <c r="K42" i="27"/>
  <c r="L42" i="27"/>
  <c r="M42" i="27"/>
  <c r="N45" i="27"/>
  <c r="N42" i="27"/>
  <c r="O42" i="27"/>
  <c r="N43" i="27"/>
  <c r="U24" i="27"/>
  <c r="G43" i="27"/>
  <c r="U25" i="27"/>
  <c r="J43" i="27"/>
  <c r="U26" i="27"/>
  <c r="F43" i="27"/>
  <c r="U27" i="27"/>
  <c r="E43" i="27"/>
  <c r="U28" i="27"/>
  <c r="D43" i="27"/>
  <c r="U29" i="27"/>
  <c r="K43" i="27"/>
  <c r="U30" i="27"/>
  <c r="I43" i="27"/>
  <c r="U31" i="27"/>
  <c r="H43" i="27"/>
  <c r="U32" i="27"/>
  <c r="C43" i="27"/>
  <c r="U33" i="27"/>
  <c r="U34" i="27"/>
  <c r="K43" i="28"/>
  <c r="N45" i="30"/>
  <c r="N42" i="30"/>
  <c r="C42" i="30"/>
  <c r="D42" i="30"/>
  <c r="E39" i="30"/>
  <c r="E42" i="30"/>
  <c r="F42" i="30"/>
  <c r="G42" i="30"/>
  <c r="H42" i="30"/>
  <c r="I42" i="30"/>
  <c r="J42" i="30"/>
  <c r="K42" i="30"/>
  <c r="L42" i="30"/>
  <c r="M42" i="30"/>
  <c r="O42" i="30"/>
  <c r="N43" i="30"/>
  <c r="U24" i="30"/>
  <c r="G43" i="30"/>
  <c r="U25" i="30"/>
  <c r="J43" i="30"/>
  <c r="U26" i="30"/>
  <c r="F43" i="30"/>
  <c r="U27" i="30"/>
  <c r="E43" i="30"/>
  <c r="U28" i="30"/>
  <c r="D43" i="30"/>
  <c r="U29" i="30"/>
  <c r="K43" i="30"/>
  <c r="U30" i="30"/>
  <c r="I43" i="30"/>
  <c r="U31" i="30"/>
  <c r="H43" i="30"/>
  <c r="U32" i="30"/>
  <c r="C43" i="30"/>
  <c r="U33" i="30"/>
  <c r="U34" i="30"/>
  <c r="N45" i="31"/>
  <c r="N42" i="31"/>
  <c r="C42" i="31"/>
  <c r="D42" i="31"/>
  <c r="E39" i="31"/>
  <c r="E42" i="31"/>
  <c r="F42" i="31"/>
  <c r="G42" i="31"/>
  <c r="H42" i="31"/>
  <c r="I42" i="31"/>
  <c r="J42" i="31"/>
  <c r="K42" i="31"/>
  <c r="L42" i="31"/>
  <c r="M42" i="31"/>
  <c r="O42" i="31"/>
  <c r="N43" i="31"/>
  <c r="U24" i="31"/>
  <c r="G43" i="31"/>
  <c r="U25" i="31"/>
  <c r="J43" i="31"/>
  <c r="U26" i="31"/>
  <c r="F43" i="31"/>
  <c r="U27" i="31"/>
  <c r="E43" i="31"/>
  <c r="U28" i="31"/>
  <c r="D43" i="31"/>
  <c r="U29" i="31"/>
  <c r="K43" i="31"/>
  <c r="U30" i="31"/>
  <c r="I43" i="31"/>
  <c r="U31" i="31"/>
  <c r="H43" i="31"/>
  <c r="U32" i="31"/>
  <c r="C43" i="31"/>
  <c r="U33" i="31"/>
  <c r="U34" i="31"/>
  <c r="E42" i="32"/>
  <c r="C42" i="32"/>
  <c r="G42" i="32"/>
  <c r="D42" i="32"/>
  <c r="F42" i="32"/>
  <c r="H42" i="32"/>
  <c r="I42" i="32"/>
  <c r="J42" i="32"/>
  <c r="K42" i="32"/>
  <c r="L42" i="32"/>
  <c r="M42" i="32"/>
  <c r="N45" i="32"/>
  <c r="N42" i="32"/>
  <c r="O42" i="32"/>
  <c r="N43" i="32"/>
  <c r="U24" i="32"/>
  <c r="G43" i="32"/>
  <c r="U25" i="32"/>
  <c r="J43" i="32"/>
  <c r="U26" i="32"/>
  <c r="F43" i="32"/>
  <c r="U27" i="32"/>
  <c r="E43" i="32"/>
  <c r="U28" i="32"/>
  <c r="D43" i="32"/>
  <c r="U29" i="32"/>
  <c r="K43" i="32"/>
  <c r="U30" i="32"/>
  <c r="I43" i="32"/>
  <c r="U31" i="32"/>
  <c r="H43" i="32"/>
  <c r="U32" i="32"/>
  <c r="C43" i="32"/>
  <c r="U33" i="32"/>
  <c r="U34" i="32"/>
  <c r="N45" i="33"/>
  <c r="N42" i="33"/>
  <c r="C42" i="33"/>
  <c r="D42" i="33"/>
  <c r="E42" i="33"/>
  <c r="F42" i="33"/>
  <c r="G42" i="33"/>
  <c r="H42" i="33"/>
  <c r="I42" i="33"/>
  <c r="J42" i="33"/>
  <c r="K42" i="33"/>
  <c r="L42" i="33"/>
  <c r="M42" i="33"/>
  <c r="O42" i="33"/>
  <c r="N43" i="33"/>
  <c r="U24" i="33"/>
  <c r="G43" i="33"/>
  <c r="U25" i="33"/>
  <c r="J43" i="33"/>
  <c r="U26" i="33"/>
  <c r="F43" i="33"/>
  <c r="U27" i="33"/>
  <c r="E43" i="33"/>
  <c r="U28" i="33"/>
  <c r="D43" i="33"/>
  <c r="U29" i="33"/>
  <c r="K43" i="33"/>
  <c r="U30" i="33"/>
  <c r="I43" i="33"/>
  <c r="U31" i="33"/>
  <c r="H43" i="33"/>
  <c r="U32" i="33"/>
  <c r="C43" i="33"/>
  <c r="U33" i="33"/>
  <c r="U34" i="33"/>
  <c r="N45" i="34"/>
  <c r="N42" i="34"/>
  <c r="C42" i="34"/>
  <c r="D42" i="34"/>
  <c r="E42" i="34"/>
  <c r="F42" i="34"/>
  <c r="G42" i="34"/>
  <c r="H42" i="34"/>
  <c r="I42" i="34"/>
  <c r="J42" i="34"/>
  <c r="K42" i="34"/>
  <c r="L42" i="34"/>
  <c r="M42" i="34"/>
  <c r="O42" i="34"/>
  <c r="N43" i="34"/>
  <c r="U24" i="34"/>
  <c r="G43" i="34"/>
  <c r="U25" i="34"/>
  <c r="J43" i="34"/>
  <c r="U26" i="34"/>
  <c r="F43" i="34"/>
  <c r="U27" i="34"/>
  <c r="E43" i="34"/>
  <c r="U28" i="34"/>
  <c r="D43" i="34"/>
  <c r="U29" i="34"/>
  <c r="K43" i="34"/>
  <c r="U30" i="34"/>
  <c r="I43" i="34"/>
  <c r="U31" i="34"/>
  <c r="H43" i="34"/>
  <c r="U32" i="34"/>
  <c r="C43" i="34"/>
  <c r="U33" i="34"/>
  <c r="U34" i="34"/>
  <c r="T27" i="2"/>
  <c r="T28" i="2"/>
  <c r="T24" i="2"/>
  <c r="T25" i="2"/>
  <c r="T26" i="2"/>
  <c r="T29" i="2"/>
  <c r="T30" i="2"/>
  <c r="T31" i="2"/>
  <c r="T32" i="2"/>
  <c r="T33" i="2"/>
  <c r="T34" i="2"/>
  <c r="T24" i="3"/>
  <c r="T25" i="3"/>
  <c r="T26" i="3"/>
  <c r="T27" i="3"/>
  <c r="T28" i="3"/>
  <c r="T29" i="3"/>
  <c r="T30" i="3"/>
  <c r="T31" i="3"/>
  <c r="T32" i="3"/>
  <c r="T33" i="3"/>
  <c r="T34" i="3"/>
  <c r="T24" i="4"/>
  <c r="T25" i="4"/>
  <c r="T26" i="4"/>
  <c r="T27" i="4"/>
  <c r="T28" i="4"/>
  <c r="T29" i="4"/>
  <c r="T30" i="4"/>
  <c r="T31" i="4"/>
  <c r="T32" i="4"/>
  <c r="T33" i="4"/>
  <c r="T34" i="4"/>
  <c r="T24" i="5"/>
  <c r="T25" i="5"/>
  <c r="T26" i="5"/>
  <c r="T27" i="5"/>
  <c r="T28" i="5"/>
  <c r="T29" i="5"/>
  <c r="T30" i="5"/>
  <c r="T31" i="5"/>
  <c r="T32" i="5"/>
  <c r="T33" i="5"/>
  <c r="T34" i="5"/>
  <c r="T24" i="6"/>
  <c r="T25" i="6"/>
  <c r="T26" i="6"/>
  <c r="T27" i="6"/>
  <c r="T28" i="6"/>
  <c r="T29" i="6"/>
  <c r="T30" i="6"/>
  <c r="T31" i="6"/>
  <c r="T32" i="6"/>
  <c r="T33" i="6"/>
  <c r="T34" i="6"/>
  <c r="T24" i="7"/>
  <c r="T25" i="7"/>
  <c r="T26" i="7"/>
  <c r="T27" i="7"/>
  <c r="T28" i="7"/>
  <c r="T29" i="7"/>
  <c r="T30" i="7"/>
  <c r="T31" i="7"/>
  <c r="T32" i="7"/>
  <c r="T33" i="7"/>
  <c r="T34" i="7"/>
  <c r="T24" i="8"/>
  <c r="T25" i="8"/>
  <c r="T26" i="8"/>
  <c r="T27" i="8"/>
  <c r="T28" i="8"/>
  <c r="T29" i="8"/>
  <c r="T30" i="8"/>
  <c r="T31" i="8"/>
  <c r="T32" i="8"/>
  <c r="T33" i="8"/>
  <c r="T34" i="8"/>
  <c r="T24" i="9"/>
  <c r="T25" i="9"/>
  <c r="T26" i="9"/>
  <c r="T27" i="9"/>
  <c r="T28" i="9"/>
  <c r="T29" i="9"/>
  <c r="T30" i="9"/>
  <c r="T31" i="9"/>
  <c r="T32" i="9"/>
  <c r="T33" i="9"/>
  <c r="T34" i="9"/>
  <c r="T24" i="10"/>
  <c r="T25" i="10"/>
  <c r="T26" i="10"/>
  <c r="T27" i="10"/>
  <c r="T28" i="10"/>
  <c r="T29" i="10"/>
  <c r="T30" i="10"/>
  <c r="T31" i="10"/>
  <c r="T32" i="10"/>
  <c r="T33" i="10"/>
  <c r="T34" i="10"/>
  <c r="T24" i="11"/>
  <c r="T25" i="11"/>
  <c r="T26" i="11"/>
  <c r="T27" i="11"/>
  <c r="T28" i="11"/>
  <c r="T29" i="11"/>
  <c r="T30" i="11"/>
  <c r="T31" i="11"/>
  <c r="T32" i="11"/>
  <c r="T33" i="11"/>
  <c r="T34" i="11"/>
  <c r="T24" i="12"/>
  <c r="T25" i="12"/>
  <c r="T26" i="12"/>
  <c r="T27" i="12"/>
  <c r="T28" i="12"/>
  <c r="T29" i="12"/>
  <c r="T30" i="12"/>
  <c r="T31" i="12"/>
  <c r="T32" i="12"/>
  <c r="T33" i="12"/>
  <c r="T34" i="12"/>
  <c r="T24" i="13"/>
  <c r="T25" i="13"/>
  <c r="T26" i="13"/>
  <c r="T27" i="13"/>
  <c r="T28" i="13"/>
  <c r="T29" i="13"/>
  <c r="T30" i="13"/>
  <c r="T31" i="13"/>
  <c r="T32" i="13"/>
  <c r="T33" i="13"/>
  <c r="T34" i="13"/>
  <c r="T24" i="14"/>
  <c r="T25" i="14"/>
  <c r="T26" i="14"/>
  <c r="T27" i="14"/>
  <c r="T28" i="14"/>
  <c r="T29" i="14"/>
  <c r="T30" i="14"/>
  <c r="T31" i="14"/>
  <c r="T32" i="14"/>
  <c r="T33" i="14"/>
  <c r="T34" i="14"/>
  <c r="T24" i="15"/>
  <c r="T25" i="15"/>
  <c r="T26" i="15"/>
  <c r="T27" i="15"/>
  <c r="T28" i="15"/>
  <c r="T29" i="15"/>
  <c r="T30" i="15"/>
  <c r="T31" i="15"/>
  <c r="T32" i="15"/>
  <c r="T33" i="15"/>
  <c r="T34" i="15"/>
  <c r="T24" i="16"/>
  <c r="T25" i="16"/>
  <c r="T26" i="16"/>
  <c r="T27" i="16"/>
  <c r="T28" i="16"/>
  <c r="T29" i="16"/>
  <c r="T30" i="16"/>
  <c r="T31" i="16"/>
  <c r="T32" i="16"/>
  <c r="T33" i="16"/>
  <c r="T34" i="16"/>
  <c r="T27" i="17"/>
  <c r="T25" i="17"/>
  <c r="T28" i="17"/>
  <c r="T24" i="17"/>
  <c r="T26" i="17"/>
  <c r="T29" i="17"/>
  <c r="T30" i="17"/>
  <c r="T31" i="17"/>
  <c r="T32" i="17"/>
  <c r="T33" i="17"/>
  <c r="T34" i="17"/>
  <c r="T24" i="18"/>
  <c r="T25" i="18"/>
  <c r="T26" i="18"/>
  <c r="T27" i="18"/>
  <c r="T28" i="18"/>
  <c r="T29" i="18"/>
  <c r="T30" i="18"/>
  <c r="T31" i="18"/>
  <c r="T32" i="18"/>
  <c r="T33" i="18"/>
  <c r="T34" i="18"/>
  <c r="T25" i="19"/>
  <c r="T26" i="19"/>
  <c r="T27" i="19"/>
  <c r="T28" i="19"/>
  <c r="T29" i="19"/>
  <c r="T30" i="19"/>
  <c r="T32" i="19"/>
  <c r="T24" i="19"/>
  <c r="T33" i="19"/>
  <c r="T34" i="19"/>
  <c r="T24" i="20"/>
  <c r="T25" i="20"/>
  <c r="T26" i="20"/>
  <c r="T27" i="20"/>
  <c r="T28" i="20"/>
  <c r="T29" i="20"/>
  <c r="T30" i="20"/>
  <c r="T31" i="20"/>
  <c r="T32" i="20"/>
  <c r="T33" i="20"/>
  <c r="T34" i="20"/>
  <c r="T25" i="21"/>
  <c r="T24" i="21"/>
  <c r="T26" i="21"/>
  <c r="T27" i="21"/>
  <c r="T28" i="21"/>
  <c r="T29" i="21"/>
  <c r="T30" i="21"/>
  <c r="T31" i="21"/>
  <c r="T32" i="21"/>
  <c r="T33" i="21"/>
  <c r="T34" i="21"/>
  <c r="T24" i="22"/>
  <c r="T25" i="22"/>
  <c r="T26" i="22"/>
  <c r="T27" i="22"/>
  <c r="T28" i="22"/>
  <c r="T29" i="22"/>
  <c r="T30" i="22"/>
  <c r="T31" i="22"/>
  <c r="T32" i="22"/>
  <c r="T33" i="22"/>
  <c r="T34" i="22"/>
  <c r="T24" i="23"/>
  <c r="T25" i="23"/>
  <c r="T26" i="23"/>
  <c r="T27" i="23"/>
  <c r="T28" i="23"/>
  <c r="T29" i="23"/>
  <c r="T30" i="23"/>
  <c r="T31" i="23"/>
  <c r="T32" i="23"/>
  <c r="T33" i="23"/>
  <c r="T34" i="23"/>
  <c r="T24" i="24"/>
  <c r="T25" i="24"/>
  <c r="T26" i="24"/>
  <c r="T27" i="24"/>
  <c r="T28" i="24"/>
  <c r="T29" i="24"/>
  <c r="T30" i="24"/>
  <c r="T31" i="24"/>
  <c r="T32" i="24"/>
  <c r="T33" i="24"/>
  <c r="T34" i="24"/>
  <c r="T24" i="26"/>
  <c r="T25" i="26"/>
  <c r="T26" i="26"/>
  <c r="T27" i="26"/>
  <c r="T28" i="26"/>
  <c r="T29" i="26"/>
  <c r="T30" i="26"/>
  <c r="T31" i="26"/>
  <c r="T32" i="26"/>
  <c r="T33" i="26"/>
  <c r="T34" i="26"/>
  <c r="T25" i="25"/>
  <c r="T27" i="25"/>
  <c r="T28" i="25"/>
  <c r="T29" i="25"/>
  <c r="T30" i="25"/>
  <c r="T32" i="25"/>
  <c r="T33" i="25"/>
  <c r="T24" i="25"/>
  <c r="T34" i="25"/>
  <c r="T25" i="27"/>
  <c r="T33" i="27"/>
  <c r="T24" i="27"/>
  <c r="T26" i="27"/>
  <c r="T27" i="27"/>
  <c r="T28" i="27"/>
  <c r="T29" i="27"/>
  <c r="T30" i="27"/>
  <c r="T31" i="27"/>
  <c r="T32" i="27"/>
  <c r="T34" i="27"/>
  <c r="T25" i="28"/>
  <c r="T24" i="28"/>
  <c r="T26" i="28"/>
  <c r="T27" i="28"/>
  <c r="T28" i="28"/>
  <c r="T29" i="28"/>
  <c r="T31" i="28"/>
  <c r="T32" i="28"/>
  <c r="T33" i="28"/>
  <c r="T34" i="28"/>
  <c r="T24" i="30"/>
  <c r="T25" i="30"/>
  <c r="T26" i="30"/>
  <c r="T27" i="30"/>
  <c r="T28" i="30"/>
  <c r="T29" i="30"/>
  <c r="T30" i="30"/>
  <c r="T31" i="30"/>
  <c r="T32" i="30"/>
  <c r="T33" i="30"/>
  <c r="T34" i="30"/>
  <c r="T24" i="31"/>
  <c r="T25" i="31"/>
  <c r="T26" i="31"/>
  <c r="T27" i="31"/>
  <c r="T28" i="31"/>
  <c r="T29" i="31"/>
  <c r="T30" i="31"/>
  <c r="T31" i="31"/>
  <c r="T32" i="31"/>
  <c r="T33" i="31"/>
  <c r="T34" i="31"/>
  <c r="T28" i="32"/>
  <c r="T33" i="32"/>
  <c r="T25" i="32"/>
  <c r="T24" i="32"/>
  <c r="T26" i="32"/>
  <c r="T27" i="32"/>
  <c r="T29" i="32"/>
  <c r="T30" i="32"/>
  <c r="T31" i="32"/>
  <c r="T32" i="32"/>
  <c r="T34" i="32"/>
  <c r="T24" i="33"/>
  <c r="T25" i="33"/>
  <c r="T26" i="33"/>
  <c r="T27" i="33"/>
  <c r="T28" i="33"/>
  <c r="T29" i="33"/>
  <c r="T30" i="33"/>
  <c r="T31" i="33"/>
  <c r="T32" i="33"/>
  <c r="T33" i="33"/>
  <c r="T34" i="33"/>
  <c r="T24" i="34"/>
  <c r="T25" i="34"/>
  <c r="T26" i="34"/>
  <c r="T27" i="34"/>
  <c r="T28" i="34"/>
  <c r="T29" i="34"/>
  <c r="T30" i="34"/>
  <c r="T31" i="34"/>
  <c r="T32" i="34"/>
  <c r="T33" i="34"/>
  <c r="T34" i="34"/>
  <c r="T23" i="37"/>
  <c r="T24" i="37"/>
  <c r="T25" i="37"/>
  <c r="T26" i="37"/>
  <c r="T27" i="37"/>
  <c r="T28" i="37"/>
  <c r="T29" i="37"/>
  <c r="T30" i="37"/>
  <c r="T31" i="37"/>
  <c r="I48" i="31"/>
  <c r="B45" i="4"/>
  <c r="B46" i="4"/>
  <c r="B23" i="23"/>
  <c r="B45" i="23"/>
  <c r="B10" i="20"/>
  <c r="B10" i="34"/>
  <c r="B10" i="2"/>
  <c r="B10" i="3"/>
  <c r="B10" i="4"/>
  <c r="B10" i="5"/>
  <c r="B10" i="6"/>
  <c r="B10" i="7"/>
  <c r="B10" i="8"/>
  <c r="B10" i="9"/>
  <c r="B10" i="10"/>
  <c r="B10" i="11"/>
  <c r="B10" i="12"/>
  <c r="B10" i="13"/>
  <c r="B10" i="14"/>
  <c r="B10" i="15"/>
  <c r="B10" i="16"/>
  <c r="B10" i="17"/>
  <c r="B10" i="18"/>
  <c r="B10" i="19"/>
  <c r="B10" i="21"/>
  <c r="B10" i="22"/>
  <c r="B10" i="23"/>
  <c r="B10" i="24"/>
  <c r="B10" i="26"/>
  <c r="B10" i="25"/>
  <c r="B10" i="27"/>
  <c r="B10" i="28"/>
  <c r="B10" i="29"/>
  <c r="B10" i="30"/>
  <c r="B10" i="31"/>
  <c r="B10" i="32"/>
  <c r="B10" i="33"/>
  <c r="O17" i="23"/>
  <c r="O18" i="23"/>
  <c r="O20" i="23"/>
  <c r="O23" i="23"/>
  <c r="O10" i="23"/>
  <c r="O17" i="33"/>
  <c r="O23" i="33"/>
  <c r="O17" i="28"/>
  <c r="O18" i="28"/>
  <c r="O23" i="28"/>
  <c r="O19" i="25"/>
  <c r="O20" i="25"/>
  <c r="O21" i="25"/>
  <c r="O22" i="25"/>
  <c r="O23" i="25"/>
  <c r="O17" i="26"/>
  <c r="O18" i="26"/>
  <c r="O19" i="26"/>
  <c r="O20" i="26"/>
  <c r="O21" i="26"/>
  <c r="O22" i="26"/>
  <c r="O23" i="26"/>
  <c r="O18" i="16"/>
  <c r="O23" i="16"/>
  <c r="O18" i="14"/>
  <c r="O23" i="14"/>
  <c r="O18" i="13"/>
  <c r="O23" i="13"/>
  <c r="O17" i="10"/>
  <c r="O19" i="10"/>
  <c r="O20" i="10"/>
  <c r="O21" i="10"/>
  <c r="O22" i="10"/>
  <c r="O23" i="10"/>
  <c r="O18" i="20"/>
  <c r="O23" i="20"/>
  <c r="B23" i="11"/>
  <c r="O18" i="11"/>
  <c r="O23" i="11"/>
  <c r="B45" i="10"/>
  <c r="Q43" i="6"/>
  <c r="E39" i="29"/>
  <c r="P39" i="32"/>
  <c r="N41" i="3"/>
  <c r="B46" i="10"/>
  <c r="B23" i="24"/>
  <c r="B45" i="24"/>
  <c r="B45" i="26"/>
  <c r="B46" i="26"/>
  <c r="B46" i="25"/>
  <c r="B45" i="17"/>
  <c r="O19" i="28"/>
  <c r="O20" i="28"/>
  <c r="O21" i="28"/>
  <c r="O22" i="28"/>
  <c r="B23" i="28"/>
  <c r="B45" i="28"/>
  <c r="O17" i="24"/>
  <c r="O18" i="24"/>
  <c r="O23" i="24"/>
  <c r="B23" i="32"/>
  <c r="B45" i="32"/>
  <c r="O18" i="32"/>
  <c r="O23" i="32"/>
  <c r="B45" i="11"/>
  <c r="B46" i="11"/>
  <c r="O18" i="15"/>
  <c r="B23" i="16"/>
  <c r="O17" i="15"/>
  <c r="O23" i="15"/>
  <c r="B23" i="15"/>
  <c r="B23" i="14"/>
  <c r="B23" i="13"/>
  <c r="O17" i="31"/>
  <c r="O23" i="31"/>
  <c r="H41" i="37"/>
  <c r="B45" i="2"/>
  <c r="B46" i="2"/>
  <c r="B45" i="3"/>
  <c r="B46" i="3"/>
  <c r="B45" i="5"/>
  <c r="B45" i="6"/>
  <c r="B46" i="6"/>
  <c r="B45" i="7"/>
  <c r="B46" i="7"/>
  <c r="B45" i="8"/>
  <c r="B46" i="8"/>
  <c r="B45" i="9"/>
  <c r="B45" i="12"/>
  <c r="B46" i="12"/>
  <c r="B45" i="14"/>
  <c r="B46" i="14"/>
  <c r="B45" i="15"/>
  <c r="B46" i="15"/>
  <c r="B45" i="16"/>
  <c r="B46" i="16"/>
  <c r="B46" i="17"/>
  <c r="B45" i="18"/>
  <c r="B46" i="18"/>
  <c r="B45" i="19"/>
  <c r="B46" i="19"/>
  <c r="B45" i="20"/>
  <c r="B46" i="20"/>
  <c r="B45" i="21"/>
  <c r="B46" i="21"/>
  <c r="B45" i="22"/>
  <c r="B46" i="23"/>
  <c r="B46" i="24"/>
  <c r="B45" i="27"/>
  <c r="B46" i="27"/>
  <c r="B46" i="28"/>
  <c r="B45" i="29"/>
  <c r="B46" i="29"/>
  <c r="B45" i="30"/>
  <c r="B46" i="30"/>
  <c r="B45" i="31"/>
  <c r="B46" i="31"/>
  <c r="B46" i="32"/>
  <c r="B45" i="33"/>
  <c r="B46" i="33"/>
  <c r="B45" i="34"/>
  <c r="B46" i="34"/>
  <c r="O41" i="2"/>
  <c r="P41" i="2"/>
  <c r="U39" i="2"/>
  <c r="P35" i="2"/>
  <c r="U40" i="2"/>
  <c r="P33" i="2"/>
  <c r="U41" i="2"/>
  <c r="P31" i="2"/>
  <c r="U42" i="2"/>
  <c r="P32" i="2"/>
  <c r="P34" i="2"/>
  <c r="P38" i="2"/>
  <c r="U43" i="2"/>
  <c r="U44" i="2"/>
  <c r="U45" i="2"/>
  <c r="T39" i="2"/>
  <c r="T40" i="2"/>
  <c r="T41" i="2"/>
  <c r="T42" i="2"/>
  <c r="T43" i="2"/>
  <c r="T44" i="2"/>
  <c r="T45" i="2"/>
  <c r="O45" i="2"/>
  <c r="T38" i="2"/>
  <c r="O41" i="3"/>
  <c r="P41" i="3"/>
  <c r="U39" i="3"/>
  <c r="P34" i="3"/>
  <c r="U44" i="3"/>
  <c r="T44" i="3"/>
  <c r="P32" i="3"/>
  <c r="U43" i="3"/>
  <c r="T43" i="3"/>
  <c r="P31" i="3"/>
  <c r="U42" i="3"/>
  <c r="T42" i="3"/>
  <c r="P33" i="3"/>
  <c r="U41" i="3"/>
  <c r="T41" i="3"/>
  <c r="P35" i="3"/>
  <c r="U40" i="3"/>
  <c r="T40" i="3"/>
  <c r="O45" i="3"/>
  <c r="T38" i="3"/>
  <c r="O41" i="4"/>
  <c r="P41" i="4"/>
  <c r="U39" i="4"/>
  <c r="P32" i="4"/>
  <c r="U43" i="4"/>
  <c r="P33" i="4"/>
  <c r="U41" i="4"/>
  <c r="P35" i="4"/>
  <c r="U40" i="4"/>
  <c r="P31" i="4"/>
  <c r="U42" i="4"/>
  <c r="P34" i="4"/>
  <c r="U44" i="4"/>
  <c r="U45" i="4"/>
  <c r="T44" i="4"/>
  <c r="T43" i="4"/>
  <c r="T42" i="4"/>
  <c r="T41" i="4"/>
  <c r="T40" i="4"/>
  <c r="O45" i="4"/>
  <c r="T38" i="4"/>
  <c r="O41" i="5"/>
  <c r="P41" i="5"/>
  <c r="U39" i="5"/>
  <c r="P35" i="5"/>
  <c r="U40" i="5"/>
  <c r="P33" i="5"/>
  <c r="U41" i="5"/>
  <c r="P31" i="5"/>
  <c r="U42" i="5"/>
  <c r="P32" i="5"/>
  <c r="U43" i="5"/>
  <c r="P34" i="5"/>
  <c r="U44" i="5"/>
  <c r="U45" i="5"/>
  <c r="T39" i="5"/>
  <c r="T40" i="5"/>
  <c r="T41" i="5"/>
  <c r="T42" i="5"/>
  <c r="T43" i="5"/>
  <c r="T44" i="5"/>
  <c r="T45" i="5"/>
  <c r="O45" i="5"/>
  <c r="T38" i="5"/>
  <c r="P38" i="5"/>
  <c r="O41" i="6"/>
  <c r="P41" i="6"/>
  <c r="U39" i="6"/>
  <c r="P35" i="6"/>
  <c r="U40" i="6"/>
  <c r="P33" i="6"/>
  <c r="U41" i="6"/>
  <c r="P31" i="6"/>
  <c r="U42" i="6"/>
  <c r="P32" i="6"/>
  <c r="U43" i="6"/>
  <c r="P34" i="6"/>
  <c r="U44" i="6"/>
  <c r="U45" i="6"/>
  <c r="T44" i="6"/>
  <c r="T43" i="6"/>
  <c r="T42" i="6"/>
  <c r="T41" i="6"/>
  <c r="T40" i="6"/>
  <c r="O45" i="6"/>
  <c r="T38" i="6"/>
  <c r="T21" i="6"/>
  <c r="O41" i="7"/>
  <c r="P41" i="7"/>
  <c r="U39" i="7"/>
  <c r="P35" i="7"/>
  <c r="U40" i="7"/>
  <c r="P33" i="7"/>
  <c r="U41" i="7"/>
  <c r="P31" i="7"/>
  <c r="U42" i="7"/>
  <c r="P32" i="7"/>
  <c r="U43" i="7"/>
  <c r="P34" i="7"/>
  <c r="U44" i="7"/>
  <c r="U45" i="7"/>
  <c r="T39" i="7"/>
  <c r="T40" i="7"/>
  <c r="T41" i="7"/>
  <c r="T42" i="7"/>
  <c r="T43" i="7"/>
  <c r="T44" i="7"/>
  <c r="T45" i="7"/>
  <c r="O45" i="7"/>
  <c r="T38" i="7"/>
  <c r="P38" i="7"/>
  <c r="O41" i="8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T39" i="8"/>
  <c r="T40" i="8"/>
  <c r="T41" i="8"/>
  <c r="T42" i="8"/>
  <c r="T43" i="8"/>
  <c r="T44" i="8"/>
  <c r="T45" i="8"/>
  <c r="O45" i="8"/>
  <c r="T38" i="8"/>
  <c r="P38" i="8"/>
  <c r="T21" i="8"/>
  <c r="O41" i="9"/>
  <c r="P41" i="9"/>
  <c r="U39" i="9"/>
  <c r="P35" i="9"/>
  <c r="U40" i="9"/>
  <c r="P33" i="9"/>
  <c r="U41" i="9"/>
  <c r="P31" i="9"/>
  <c r="U42" i="9"/>
  <c r="P32" i="9"/>
  <c r="U43" i="9"/>
  <c r="P34" i="9"/>
  <c r="U44" i="9"/>
  <c r="U45" i="9"/>
  <c r="T39" i="9"/>
  <c r="T40" i="9"/>
  <c r="T41" i="9"/>
  <c r="T42" i="9"/>
  <c r="T43" i="9"/>
  <c r="T44" i="9"/>
  <c r="T45" i="9"/>
  <c r="O45" i="9"/>
  <c r="T38" i="9"/>
  <c r="P38" i="9"/>
  <c r="T21" i="9"/>
  <c r="O41" i="10"/>
  <c r="T39" i="10"/>
  <c r="P41" i="10"/>
  <c r="U39" i="10"/>
  <c r="P35" i="10"/>
  <c r="U40" i="10"/>
  <c r="P33" i="10"/>
  <c r="U41" i="10"/>
  <c r="P31" i="10"/>
  <c r="U42" i="10"/>
  <c r="P32" i="10"/>
  <c r="P34" i="10"/>
  <c r="U44" i="10"/>
  <c r="T40" i="10"/>
  <c r="T41" i="10"/>
  <c r="T42" i="10"/>
  <c r="T43" i="10"/>
  <c r="T44" i="10"/>
  <c r="O45" i="10"/>
  <c r="T38" i="10"/>
  <c r="O41" i="11"/>
  <c r="P41" i="11"/>
  <c r="U39" i="11"/>
  <c r="P35" i="11"/>
  <c r="U40" i="11"/>
  <c r="P33" i="11"/>
  <c r="U41" i="11"/>
  <c r="P31" i="11"/>
  <c r="U42" i="11"/>
  <c r="P32" i="11"/>
  <c r="U43" i="11"/>
  <c r="P34" i="11"/>
  <c r="U44" i="11"/>
  <c r="U45" i="11"/>
  <c r="T39" i="11"/>
  <c r="T40" i="11"/>
  <c r="T41" i="11"/>
  <c r="T42" i="11"/>
  <c r="T43" i="11"/>
  <c r="T44" i="11"/>
  <c r="T45" i="11"/>
  <c r="P38" i="11"/>
  <c r="O41" i="12"/>
  <c r="P41" i="12"/>
  <c r="U39" i="12"/>
  <c r="P34" i="12"/>
  <c r="U44" i="12"/>
  <c r="T44" i="12"/>
  <c r="P32" i="12"/>
  <c r="U43" i="12"/>
  <c r="T43" i="12"/>
  <c r="P31" i="12"/>
  <c r="T42" i="12"/>
  <c r="P33" i="12"/>
  <c r="U41" i="12"/>
  <c r="T41" i="12"/>
  <c r="P35" i="12"/>
  <c r="U40" i="12"/>
  <c r="T40" i="12"/>
  <c r="O45" i="12"/>
  <c r="T38" i="12"/>
  <c r="T21" i="12"/>
  <c r="T44" i="13"/>
  <c r="T42" i="13"/>
  <c r="T41" i="13"/>
  <c r="T40" i="13"/>
  <c r="T44" i="14"/>
  <c r="T42" i="14"/>
  <c r="O41" i="15"/>
  <c r="P41" i="15"/>
  <c r="U39" i="15"/>
  <c r="P35" i="15"/>
  <c r="U40" i="15"/>
  <c r="P33" i="15"/>
  <c r="U41" i="15"/>
  <c r="P31" i="15"/>
  <c r="U42" i="15"/>
  <c r="P32" i="15"/>
  <c r="U43" i="15"/>
  <c r="P34" i="15"/>
  <c r="U44" i="15"/>
  <c r="U45" i="15"/>
  <c r="T39" i="15"/>
  <c r="T40" i="15"/>
  <c r="T41" i="15"/>
  <c r="T42" i="15"/>
  <c r="T43" i="15"/>
  <c r="T44" i="15"/>
  <c r="T45" i="15"/>
  <c r="O45" i="15"/>
  <c r="T38" i="15"/>
  <c r="P38" i="15"/>
  <c r="T21" i="15"/>
  <c r="O41" i="16"/>
  <c r="P41" i="16"/>
  <c r="U39" i="16"/>
  <c r="P34" i="16"/>
  <c r="U44" i="16"/>
  <c r="T44" i="16"/>
  <c r="P32" i="16"/>
  <c r="U43" i="16"/>
  <c r="T43" i="16"/>
  <c r="P31" i="16"/>
  <c r="U42" i="16"/>
  <c r="T42" i="16"/>
  <c r="P33" i="16"/>
  <c r="U41" i="16"/>
  <c r="T41" i="16"/>
  <c r="P35" i="16"/>
  <c r="U40" i="16"/>
  <c r="T40" i="16"/>
  <c r="O41" i="17"/>
  <c r="T39" i="17"/>
  <c r="T40" i="17"/>
  <c r="T41" i="17"/>
  <c r="T42" i="17"/>
  <c r="T44" i="17"/>
  <c r="O45" i="17"/>
  <c r="T38" i="17"/>
  <c r="O41" i="18"/>
  <c r="P41" i="18"/>
  <c r="U39" i="18"/>
  <c r="P35" i="18"/>
  <c r="U40" i="18"/>
  <c r="P33" i="18"/>
  <c r="U41" i="18"/>
  <c r="P31" i="18"/>
  <c r="U42" i="18"/>
  <c r="P32" i="18"/>
  <c r="U43" i="18"/>
  <c r="P34" i="18"/>
  <c r="U44" i="18"/>
  <c r="U45" i="18"/>
  <c r="T39" i="18"/>
  <c r="T40" i="18"/>
  <c r="T41" i="18"/>
  <c r="T42" i="18"/>
  <c r="T43" i="18"/>
  <c r="T44" i="18"/>
  <c r="T45" i="18"/>
  <c r="O45" i="18"/>
  <c r="T38" i="18"/>
  <c r="P38" i="18"/>
  <c r="T21" i="18"/>
  <c r="O41" i="19"/>
  <c r="T39" i="19"/>
  <c r="T40" i="19"/>
  <c r="T41" i="19"/>
  <c r="T42" i="19"/>
  <c r="T44" i="19"/>
  <c r="O41" i="20"/>
  <c r="P41" i="20"/>
  <c r="U39" i="20"/>
  <c r="P35" i="20"/>
  <c r="U40" i="20"/>
  <c r="P33" i="20"/>
  <c r="U41" i="20"/>
  <c r="P31" i="20"/>
  <c r="U42" i="20"/>
  <c r="P32" i="20"/>
  <c r="U43" i="20"/>
  <c r="P34" i="20"/>
  <c r="U44" i="20"/>
  <c r="U45" i="20"/>
  <c r="T39" i="20"/>
  <c r="T40" i="20"/>
  <c r="T41" i="20"/>
  <c r="T42" i="20"/>
  <c r="T43" i="20"/>
  <c r="T44" i="20"/>
  <c r="T45" i="20"/>
  <c r="O45" i="20"/>
  <c r="T38" i="20"/>
  <c r="P38" i="20"/>
  <c r="O41" i="21"/>
  <c r="P41" i="21"/>
  <c r="U39" i="21"/>
  <c r="P35" i="21"/>
  <c r="U40" i="21"/>
  <c r="P33" i="21"/>
  <c r="U41" i="21"/>
  <c r="P31" i="21"/>
  <c r="U42" i="21"/>
  <c r="P32" i="21"/>
  <c r="U43" i="21"/>
  <c r="P34" i="21"/>
  <c r="U44" i="21"/>
  <c r="U45" i="21"/>
  <c r="T39" i="21"/>
  <c r="T40" i="21"/>
  <c r="T41" i="21"/>
  <c r="T42" i="21"/>
  <c r="T43" i="21"/>
  <c r="T44" i="21"/>
  <c r="T45" i="21"/>
  <c r="O45" i="21"/>
  <c r="T38" i="21"/>
  <c r="P38" i="21"/>
  <c r="O41" i="22"/>
  <c r="P41" i="22"/>
  <c r="U39" i="22"/>
  <c r="P35" i="22"/>
  <c r="U40" i="22"/>
  <c r="P33" i="22"/>
  <c r="U41" i="22"/>
  <c r="P31" i="22"/>
  <c r="U42" i="22"/>
  <c r="P32" i="22"/>
  <c r="U43" i="22"/>
  <c r="P34" i="22"/>
  <c r="U44" i="22"/>
  <c r="U45" i="22"/>
  <c r="T39" i="22"/>
  <c r="T40" i="22"/>
  <c r="T41" i="22"/>
  <c r="T42" i="22"/>
  <c r="T43" i="22"/>
  <c r="T44" i="22"/>
  <c r="T45" i="22"/>
  <c r="O45" i="22"/>
  <c r="T38" i="22"/>
  <c r="P38" i="22"/>
  <c r="T21" i="22"/>
  <c r="O41" i="23"/>
  <c r="P41" i="23"/>
  <c r="U39" i="23"/>
  <c r="P35" i="23"/>
  <c r="U40" i="23"/>
  <c r="P33" i="23"/>
  <c r="U41" i="23"/>
  <c r="P31" i="23"/>
  <c r="U42" i="23"/>
  <c r="P32" i="23"/>
  <c r="P34" i="23"/>
  <c r="P38" i="23"/>
  <c r="U44" i="23"/>
  <c r="T39" i="23"/>
  <c r="T40" i="23"/>
  <c r="T41" i="23"/>
  <c r="T42" i="23"/>
  <c r="T43" i="23"/>
  <c r="T44" i="23"/>
  <c r="T45" i="23"/>
  <c r="O45" i="23"/>
  <c r="T38" i="23"/>
  <c r="O41" i="24"/>
  <c r="P41" i="24"/>
  <c r="U39" i="24"/>
  <c r="P35" i="24"/>
  <c r="U40" i="24"/>
  <c r="P33" i="24"/>
  <c r="U41" i="24"/>
  <c r="P31" i="24"/>
  <c r="U42" i="24"/>
  <c r="P32" i="24"/>
  <c r="U43" i="24"/>
  <c r="P34" i="24"/>
  <c r="U44" i="24"/>
  <c r="U45" i="24"/>
  <c r="T39" i="24"/>
  <c r="T40" i="24"/>
  <c r="T41" i="24"/>
  <c r="T42" i="24"/>
  <c r="T43" i="24"/>
  <c r="T44" i="24"/>
  <c r="T45" i="24"/>
  <c r="O45" i="24"/>
  <c r="T38" i="24"/>
  <c r="P38" i="24"/>
  <c r="O41" i="25"/>
  <c r="P41" i="25"/>
  <c r="U39" i="25"/>
  <c r="P35" i="25"/>
  <c r="U40" i="25"/>
  <c r="P33" i="25"/>
  <c r="U41" i="25"/>
  <c r="P31" i="25"/>
  <c r="U42" i="25"/>
  <c r="P32" i="25"/>
  <c r="P34" i="25"/>
  <c r="U44" i="25"/>
  <c r="T40" i="25"/>
  <c r="T41" i="25"/>
  <c r="T42" i="25"/>
  <c r="T43" i="25"/>
  <c r="T44" i="25"/>
  <c r="O45" i="25"/>
  <c r="T38" i="25"/>
  <c r="O41" i="26"/>
  <c r="P41" i="26"/>
  <c r="U39" i="26"/>
  <c r="P35" i="26"/>
  <c r="U40" i="26"/>
  <c r="P33" i="26"/>
  <c r="U41" i="26"/>
  <c r="P31" i="26"/>
  <c r="U42" i="26"/>
  <c r="P32" i="26"/>
  <c r="U43" i="26"/>
  <c r="P34" i="26"/>
  <c r="U44" i="26"/>
  <c r="T40" i="26"/>
  <c r="T41" i="26"/>
  <c r="T42" i="26"/>
  <c r="T43" i="26"/>
  <c r="T44" i="26"/>
  <c r="P38" i="26"/>
  <c r="O41" i="27"/>
  <c r="P41" i="27"/>
  <c r="U39" i="27"/>
  <c r="P35" i="27"/>
  <c r="U40" i="27"/>
  <c r="P33" i="27"/>
  <c r="U41" i="27"/>
  <c r="P31" i="27"/>
  <c r="U42" i="27"/>
  <c r="P32" i="27"/>
  <c r="U43" i="27"/>
  <c r="P34" i="27"/>
  <c r="U44" i="27"/>
  <c r="U45" i="27"/>
  <c r="T39" i="27"/>
  <c r="T40" i="27"/>
  <c r="T41" i="27"/>
  <c r="T42" i="27"/>
  <c r="T43" i="27"/>
  <c r="T44" i="27"/>
  <c r="T45" i="27"/>
  <c r="O45" i="27"/>
  <c r="T38" i="27"/>
  <c r="P38" i="27"/>
  <c r="T40" i="28"/>
  <c r="T41" i="28"/>
  <c r="T42" i="28"/>
  <c r="T43" i="28"/>
  <c r="T44" i="28"/>
  <c r="O41" i="29"/>
  <c r="P41" i="29"/>
  <c r="U39" i="29"/>
  <c r="P35" i="29"/>
  <c r="U40" i="29"/>
  <c r="P33" i="29"/>
  <c r="U41" i="29"/>
  <c r="P31" i="29"/>
  <c r="U42" i="29"/>
  <c r="P32" i="29"/>
  <c r="U43" i="29"/>
  <c r="P34" i="29"/>
  <c r="U44" i="29"/>
  <c r="U45" i="29"/>
  <c r="T39" i="29"/>
  <c r="T40" i="29"/>
  <c r="T41" i="29"/>
  <c r="T42" i="29"/>
  <c r="T43" i="29"/>
  <c r="T44" i="29"/>
  <c r="T45" i="29"/>
  <c r="N45" i="29"/>
  <c r="O45" i="29"/>
  <c r="T38" i="29"/>
  <c r="P38" i="29"/>
  <c r="N42" i="29"/>
  <c r="T24" i="29"/>
  <c r="G42" i="29"/>
  <c r="T25" i="29"/>
  <c r="J42" i="29"/>
  <c r="T26" i="29"/>
  <c r="F42" i="29"/>
  <c r="T27" i="29"/>
  <c r="E42" i="29"/>
  <c r="D42" i="29"/>
  <c r="T29" i="29"/>
  <c r="K42" i="29"/>
  <c r="T30" i="29"/>
  <c r="I42" i="29"/>
  <c r="T31" i="29"/>
  <c r="H42" i="29"/>
  <c r="T32" i="29"/>
  <c r="O41" i="30"/>
  <c r="P41" i="30"/>
  <c r="U39" i="30"/>
  <c r="P35" i="30"/>
  <c r="U40" i="30"/>
  <c r="P33" i="30"/>
  <c r="U41" i="30"/>
  <c r="P31" i="30"/>
  <c r="U42" i="30"/>
  <c r="P32" i="30"/>
  <c r="U43" i="30"/>
  <c r="P34" i="30"/>
  <c r="U44" i="30"/>
  <c r="U45" i="30"/>
  <c r="T39" i="30"/>
  <c r="T40" i="30"/>
  <c r="T41" i="30"/>
  <c r="T42" i="30"/>
  <c r="T43" i="30"/>
  <c r="T44" i="30"/>
  <c r="T45" i="30"/>
  <c r="O45" i="30"/>
  <c r="T38" i="30"/>
  <c r="P38" i="30"/>
  <c r="O41" i="31"/>
  <c r="P41" i="31"/>
  <c r="U39" i="31"/>
  <c r="P35" i="31"/>
  <c r="U40" i="31"/>
  <c r="P33" i="31"/>
  <c r="U41" i="31"/>
  <c r="P31" i="31"/>
  <c r="U42" i="31"/>
  <c r="P32" i="31"/>
  <c r="U43" i="31"/>
  <c r="P34" i="31"/>
  <c r="U44" i="31"/>
  <c r="U45" i="31"/>
  <c r="T39" i="31"/>
  <c r="T40" i="31"/>
  <c r="T41" i="31"/>
  <c r="T42" i="31"/>
  <c r="T43" i="31"/>
  <c r="T44" i="31"/>
  <c r="T45" i="31"/>
  <c r="O45" i="31"/>
  <c r="T38" i="31"/>
  <c r="P38" i="31"/>
  <c r="P34" i="32"/>
  <c r="U44" i="32"/>
  <c r="T44" i="32"/>
  <c r="P32" i="32"/>
  <c r="U43" i="32"/>
  <c r="T43" i="32"/>
  <c r="P31" i="32"/>
  <c r="U42" i="32"/>
  <c r="T42" i="32"/>
  <c r="P33" i="32"/>
  <c r="U41" i="32"/>
  <c r="T41" i="32"/>
  <c r="P35" i="32"/>
  <c r="U40" i="32"/>
  <c r="T40" i="32"/>
  <c r="O45" i="32"/>
  <c r="T38" i="32"/>
  <c r="O41" i="33"/>
  <c r="P41" i="33"/>
  <c r="U39" i="33"/>
  <c r="P35" i="33"/>
  <c r="U40" i="33"/>
  <c r="P33" i="33"/>
  <c r="U41" i="33"/>
  <c r="P31" i="33"/>
  <c r="U42" i="33"/>
  <c r="P32" i="33"/>
  <c r="U43" i="33"/>
  <c r="P34" i="33"/>
  <c r="U44" i="33"/>
  <c r="U45" i="33"/>
  <c r="T39" i="33"/>
  <c r="T40" i="33"/>
  <c r="T41" i="33"/>
  <c r="T42" i="33"/>
  <c r="T43" i="33"/>
  <c r="T44" i="33"/>
  <c r="T45" i="33"/>
  <c r="O45" i="33"/>
  <c r="T38" i="33"/>
  <c r="P38" i="33"/>
  <c r="T21" i="33"/>
  <c r="O41" i="34"/>
  <c r="P41" i="34"/>
  <c r="U39" i="34"/>
  <c r="P35" i="34"/>
  <c r="U40" i="34"/>
  <c r="T40" i="34"/>
  <c r="P34" i="34"/>
  <c r="U44" i="34"/>
  <c r="T44" i="34"/>
  <c r="P32" i="34"/>
  <c r="U43" i="34"/>
  <c r="T43" i="34"/>
  <c r="P31" i="34"/>
  <c r="U42" i="34"/>
  <c r="T42" i="34"/>
  <c r="P33" i="34"/>
  <c r="T41" i="34"/>
  <c r="O45" i="34"/>
  <c r="T38" i="34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M41" i="3"/>
  <c r="L41" i="3"/>
  <c r="K41" i="3"/>
  <c r="J41" i="3"/>
  <c r="I41" i="3"/>
  <c r="H41" i="3"/>
  <c r="G41" i="3"/>
  <c r="F41" i="3"/>
  <c r="E41" i="3"/>
  <c r="D41" i="3"/>
  <c r="C41" i="3"/>
  <c r="B41" i="3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L43" i="6"/>
  <c r="M43" i="6"/>
  <c r="O43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L43" i="8"/>
  <c r="M43" i="8"/>
  <c r="O43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L43" i="9"/>
  <c r="M43" i="9"/>
  <c r="O43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L43" i="12"/>
  <c r="M43" i="12"/>
  <c r="O43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L41" i="14"/>
  <c r="K41" i="14"/>
  <c r="I41" i="14"/>
  <c r="H41" i="14"/>
  <c r="G41" i="14"/>
  <c r="F41" i="14"/>
  <c r="E41" i="14"/>
  <c r="D41" i="14"/>
  <c r="C41" i="14"/>
  <c r="B41" i="14"/>
  <c r="L43" i="15"/>
  <c r="M43" i="15"/>
  <c r="O43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L43" i="18"/>
  <c r="M43" i="18"/>
  <c r="O43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L43" i="22"/>
  <c r="M43" i="22"/>
  <c r="O43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L43" i="24"/>
  <c r="M43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1" i="25"/>
  <c r="M41" i="25"/>
  <c r="L41" i="25"/>
  <c r="K41" i="25"/>
  <c r="J41" i="25"/>
  <c r="I41" i="25"/>
  <c r="H41" i="25"/>
  <c r="G41" i="25"/>
  <c r="F41" i="25"/>
  <c r="E41" i="25"/>
  <c r="D41" i="25"/>
  <c r="C41" i="25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M41" i="28"/>
  <c r="L41" i="28"/>
  <c r="K41" i="28"/>
  <c r="J41" i="28"/>
  <c r="I41" i="28"/>
  <c r="H41" i="28"/>
  <c r="G41" i="28"/>
  <c r="F41" i="28"/>
  <c r="E41" i="28"/>
  <c r="D41" i="28"/>
  <c r="C41" i="28"/>
  <c r="B41" i="28"/>
  <c r="M42" i="29"/>
  <c r="L42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N41" i="30"/>
  <c r="M41" i="30"/>
  <c r="L41" i="30"/>
  <c r="K41" i="30"/>
  <c r="J41" i="30"/>
  <c r="I41" i="30"/>
  <c r="H41" i="30"/>
  <c r="G41" i="30"/>
  <c r="F41" i="30"/>
  <c r="E41" i="30"/>
  <c r="D41" i="30"/>
  <c r="C41" i="30"/>
  <c r="B41" i="30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M41" i="32"/>
  <c r="L41" i="32"/>
  <c r="K41" i="32"/>
  <c r="J41" i="32"/>
  <c r="I41" i="32"/>
  <c r="H41" i="32"/>
  <c r="G41" i="32"/>
  <c r="F41" i="32"/>
  <c r="E41" i="32"/>
  <c r="D41" i="32"/>
  <c r="B41" i="32"/>
  <c r="L43" i="33"/>
  <c r="M43" i="33"/>
  <c r="O43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B41" i="33"/>
  <c r="N41" i="34"/>
  <c r="M41" i="34"/>
  <c r="L41" i="34"/>
  <c r="K41" i="34"/>
  <c r="J41" i="34"/>
  <c r="I41" i="34"/>
  <c r="H41" i="34"/>
  <c r="G41" i="34"/>
  <c r="F41" i="34"/>
  <c r="E41" i="34"/>
  <c r="D41" i="34"/>
  <c r="C41" i="34"/>
  <c r="M41" i="14"/>
  <c r="J41" i="14"/>
  <c r="T40" i="14"/>
  <c r="O45" i="14"/>
  <c r="T38" i="14"/>
  <c r="B45" i="13"/>
  <c r="T43" i="13"/>
  <c r="B46" i="13"/>
  <c r="P35" i="13"/>
  <c r="U40" i="13"/>
  <c r="P33" i="13"/>
  <c r="U41" i="13"/>
  <c r="P31" i="13"/>
  <c r="U42" i="13"/>
  <c r="P32" i="13"/>
  <c r="U43" i="13"/>
  <c r="P34" i="13"/>
  <c r="U44" i="13"/>
  <c r="O41" i="13"/>
  <c r="P41" i="13"/>
  <c r="U39" i="13"/>
  <c r="U45" i="13"/>
  <c r="T39" i="13"/>
  <c r="T45" i="13"/>
  <c r="O45" i="13"/>
  <c r="T38" i="13"/>
  <c r="P38" i="13"/>
  <c r="T21" i="13"/>
  <c r="L43" i="13"/>
  <c r="M43" i="13"/>
  <c r="O43" i="13"/>
  <c r="N41" i="13"/>
  <c r="T41" i="37"/>
  <c r="O41" i="14"/>
  <c r="T39" i="14"/>
  <c r="T41" i="14"/>
  <c r="N41" i="14"/>
  <c r="T21" i="14"/>
  <c r="P31" i="14"/>
  <c r="U42" i="14"/>
  <c r="P32" i="14"/>
  <c r="U43" i="14"/>
  <c r="P33" i="14"/>
  <c r="U41" i="14"/>
  <c r="P34" i="14"/>
  <c r="U44" i="14"/>
  <c r="P35" i="14"/>
  <c r="U40" i="14"/>
  <c r="T43" i="14"/>
  <c r="T45" i="14"/>
  <c r="P41" i="14"/>
  <c r="U39" i="14"/>
  <c r="T21" i="24"/>
  <c r="T39" i="4"/>
  <c r="T45" i="4"/>
  <c r="P38" i="4"/>
  <c r="O45" i="11"/>
  <c r="T38" i="11"/>
  <c r="P38" i="10"/>
  <c r="T45" i="10"/>
  <c r="U43" i="10"/>
  <c r="U45" i="10"/>
  <c r="U43" i="23"/>
  <c r="U45" i="23"/>
  <c r="T39" i="25"/>
  <c r="T45" i="25"/>
  <c r="T39" i="6"/>
  <c r="T45" i="6"/>
  <c r="P38" i="6"/>
  <c r="P38" i="34"/>
  <c r="T39" i="34"/>
  <c r="U41" i="34"/>
  <c r="U45" i="34"/>
  <c r="T45" i="34"/>
  <c r="M43" i="30"/>
  <c r="L43" i="30"/>
  <c r="T21" i="30"/>
  <c r="D41" i="37"/>
  <c r="F41" i="37"/>
  <c r="O45" i="19"/>
  <c r="T38" i="19"/>
  <c r="L43" i="3"/>
  <c r="M43" i="3"/>
  <c r="T21" i="3"/>
  <c r="T28" i="29"/>
  <c r="T44" i="37"/>
  <c r="T21" i="2"/>
  <c r="L43" i="32"/>
  <c r="P38" i="32"/>
  <c r="M43" i="31"/>
  <c r="L43" i="31"/>
  <c r="T21" i="21"/>
  <c r="M43" i="21"/>
  <c r="U45" i="3"/>
  <c r="P38" i="3"/>
  <c r="T39" i="3"/>
  <c r="T45" i="3"/>
  <c r="L43" i="16"/>
  <c r="M43" i="16"/>
  <c r="T39" i="16"/>
  <c r="T45" i="16"/>
  <c r="O45" i="16"/>
  <c r="T38" i="16"/>
  <c r="U45" i="16"/>
  <c r="K41" i="37"/>
  <c r="P38" i="16"/>
  <c r="T39" i="12"/>
  <c r="T45" i="12"/>
  <c r="P38" i="12"/>
  <c r="U42" i="12"/>
  <c r="U45" i="12"/>
  <c r="T42" i="37"/>
  <c r="L43" i="7"/>
  <c r="M43" i="7"/>
  <c r="T21" i="7"/>
  <c r="T39" i="26"/>
  <c r="T45" i="26"/>
  <c r="U45" i="26"/>
  <c r="G41" i="37"/>
  <c r="O45" i="26"/>
  <c r="T38" i="26"/>
  <c r="T21" i="26"/>
  <c r="M43" i="26"/>
  <c r="L43" i="26"/>
  <c r="T21" i="25"/>
  <c r="P38" i="25"/>
  <c r="U43" i="25"/>
  <c r="U45" i="25"/>
  <c r="E41" i="37"/>
  <c r="I41" i="37"/>
  <c r="T40" i="37"/>
  <c r="L41" i="37"/>
  <c r="B41" i="37"/>
  <c r="B45" i="37"/>
  <c r="M41" i="37"/>
  <c r="J41" i="37"/>
  <c r="M43" i="14"/>
  <c r="L43" i="14"/>
  <c r="U45" i="14"/>
  <c r="P38" i="14"/>
  <c r="T21" i="34"/>
  <c r="O43" i="24"/>
  <c r="M43" i="4"/>
  <c r="L43" i="4"/>
  <c r="T21" i="4"/>
  <c r="T21" i="17"/>
  <c r="L43" i="17"/>
  <c r="M43" i="17"/>
  <c r="T21" i="23"/>
  <c r="L43" i="23"/>
  <c r="M43" i="23"/>
  <c r="M43" i="34"/>
  <c r="L43" i="34"/>
  <c r="O43" i="34"/>
  <c r="O43" i="30"/>
  <c r="T21" i="27"/>
  <c r="M43" i="27"/>
  <c r="L43" i="27"/>
  <c r="M43" i="20"/>
  <c r="L43" i="20"/>
  <c r="T21" i="20"/>
  <c r="O43" i="3"/>
  <c r="M43" i="32"/>
  <c r="T21" i="32"/>
  <c r="M43" i="2"/>
  <c r="L43" i="2"/>
  <c r="T21" i="31"/>
  <c r="O43" i="31"/>
  <c r="L43" i="21"/>
  <c r="O43" i="21"/>
  <c r="T21" i="16"/>
  <c r="O43" i="7"/>
  <c r="M43" i="5"/>
  <c r="L43" i="5"/>
  <c r="T21" i="5"/>
  <c r="O43" i="26"/>
  <c r="L43" i="10"/>
  <c r="T21" i="10"/>
  <c r="M43" i="10"/>
  <c r="O43" i="14"/>
  <c r="M43" i="11"/>
  <c r="L43" i="11"/>
  <c r="T21" i="11"/>
  <c r="O43" i="4"/>
  <c r="O43" i="17"/>
  <c r="O43" i="23"/>
  <c r="O43" i="25"/>
  <c r="O43" i="27"/>
  <c r="O43" i="20"/>
  <c r="O43" i="32"/>
  <c r="O43" i="2"/>
  <c r="O43" i="16"/>
  <c r="O43" i="5"/>
  <c r="O43" i="10"/>
  <c r="O43" i="11"/>
  <c r="O41" i="32"/>
  <c r="P41" i="32"/>
  <c r="U39" i="32"/>
  <c r="U45" i="32"/>
  <c r="T39" i="32"/>
  <c r="T45" i="32"/>
  <c r="T43" i="19"/>
  <c r="T45" i="19"/>
  <c r="P33" i="19"/>
  <c r="U41" i="19"/>
  <c r="P34" i="19"/>
  <c r="U44" i="19"/>
  <c r="P31" i="19"/>
  <c r="P41" i="19"/>
  <c r="U39" i="19"/>
  <c r="P35" i="19"/>
  <c r="U40" i="19"/>
  <c r="P32" i="19"/>
  <c r="U43" i="19"/>
  <c r="P38" i="19"/>
  <c r="U42" i="19"/>
  <c r="U45" i="19"/>
  <c r="T21" i="19"/>
  <c r="L43" i="19"/>
  <c r="O43" i="19"/>
  <c r="T43" i="17"/>
  <c r="T45" i="17"/>
  <c r="T43" i="37"/>
  <c r="P31" i="17"/>
  <c r="P35" i="17"/>
  <c r="U40" i="17"/>
  <c r="U42" i="17"/>
  <c r="P41" i="17"/>
  <c r="U39" i="17"/>
  <c r="P33" i="17"/>
  <c r="U41" i="17"/>
  <c r="P34" i="17"/>
  <c r="U44" i="17"/>
  <c r="P32" i="17"/>
  <c r="U43" i="17"/>
  <c r="U45" i="17"/>
  <c r="P38" i="17"/>
  <c r="P35" i="28"/>
  <c r="U40" i="28"/>
  <c r="P33" i="28"/>
  <c r="U41" i="28"/>
  <c r="P31" i="28"/>
  <c r="U42" i="28"/>
  <c r="P32" i="28"/>
  <c r="U43" i="28"/>
  <c r="P34" i="28"/>
  <c r="U44" i="28"/>
  <c r="O41" i="28"/>
  <c r="T39" i="28"/>
  <c r="T45" i="28"/>
  <c r="O45" i="28"/>
  <c r="T38" i="28"/>
  <c r="N41" i="28"/>
  <c r="P41" i="28"/>
  <c r="U39" i="28"/>
  <c r="U45" i="28"/>
  <c r="P38" i="28"/>
  <c r="M43" i="28"/>
  <c r="T21" i="28"/>
  <c r="O45" i="37"/>
  <c r="O43" i="28"/>
  <c r="T38" i="37"/>
  <c r="T39" i="37"/>
  <c r="T45" i="37"/>
  <c r="P33" i="37"/>
  <c r="U41" i="37"/>
  <c r="P31" i="37"/>
  <c r="U42" i="37"/>
  <c r="P32" i="37"/>
  <c r="P34" i="37"/>
  <c r="P35" i="37"/>
  <c r="P38" i="37"/>
  <c r="U44" i="37"/>
  <c r="U43" i="37"/>
  <c r="U40" i="37"/>
  <c r="P41" i="37"/>
  <c r="U39" i="37"/>
  <c r="U45" i="37"/>
  <c r="C42" i="29"/>
  <c r="O42" i="29"/>
  <c r="G43" i="29"/>
  <c r="U25" i="29"/>
  <c r="J43" i="29"/>
  <c r="U26" i="29"/>
  <c r="F43" i="29"/>
  <c r="U27" i="29"/>
  <c r="E43" i="29"/>
  <c r="U28" i="29"/>
  <c r="D43" i="29"/>
  <c r="U29" i="29"/>
  <c r="K43" i="29"/>
  <c r="U30" i="29"/>
  <c r="I43" i="29"/>
  <c r="U31" i="29"/>
  <c r="H43" i="29"/>
  <c r="U32" i="29"/>
  <c r="C43" i="29"/>
  <c r="U33" i="29"/>
  <c r="N43" i="29"/>
  <c r="U24" i="29"/>
  <c r="U34" i="29"/>
  <c r="G43" i="37"/>
  <c r="U24" i="37"/>
  <c r="J43" i="37"/>
  <c r="U25" i="37"/>
  <c r="F43" i="37"/>
  <c r="U26" i="37"/>
  <c r="E43" i="37"/>
  <c r="U27" i="37"/>
  <c r="D43" i="37"/>
  <c r="U28" i="37"/>
  <c r="K43" i="37"/>
  <c r="U29" i="37"/>
  <c r="I43" i="37"/>
  <c r="U30" i="37"/>
  <c r="H43" i="37"/>
  <c r="U31" i="37"/>
  <c r="C43" i="37"/>
  <c r="U34" i="37"/>
  <c r="N43" i="37"/>
  <c r="U23" i="37"/>
  <c r="U35" i="37"/>
  <c r="T33" i="29"/>
  <c r="T34" i="29"/>
  <c r="T34" i="37"/>
  <c r="T35" i="37"/>
  <c r="T21" i="29"/>
  <c r="M43" i="29"/>
  <c r="L43" i="29"/>
  <c r="O43" i="29"/>
  <c r="T20" i="37"/>
  <c r="O43" i="37"/>
  <c r="C41" i="37"/>
  <c r="C41" i="32"/>
  <c r="N41" i="32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9" authorId="0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ABP i Perstorp och gummi/plast i Landskrona.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9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Animaliska biprodukter.</t>
        </r>
      </text>
    </comment>
    <comment ref="F32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Metanol.</t>
        </r>
      </text>
    </comment>
    <comment ref="G32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Flis/pellets + returträ.</t>
        </r>
      </text>
    </comment>
    <comment ref="K32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Fast och flytande.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9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Gummigranuler och plast.</t>
        </r>
      </text>
    </comment>
  </commentList>
</comments>
</file>

<file path=xl/comments26.xml><?xml version="1.0" encoding="utf-8"?>
<comments xmlns="http://schemas.openxmlformats.org/spreadsheetml/2006/main">
  <authors>
    <author>Kaj</author>
    <author>www.statistikdatabasen.scb.se</author>
  </authors>
  <commentList>
    <comment ref="B18" authorId="0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Främst värmepumpar.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<sst xmlns="http://schemas.openxmlformats.org/spreadsheetml/2006/main" count="3460" uniqueCount="116">
  <si>
    <t>Elproduktion och bränsleanvändning (MWh) efter tid, region, produktionssätt och bränsletyp</t>
  </si>
  <si>
    <t>1214 Svalöv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</si>
  <si>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</si>
  <si>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</si>
  <si>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</si>
  <si>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</si>
  <si>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</si>
  <si>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</si>
  <si>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</si>
  <si>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</si>
  <si>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</si>
  <si>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</si>
  <si>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</si>
  <si>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</si>
  <si>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</si>
  <si>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</si>
  <si>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</si>
  <si>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</si>
  <si>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</si>
  <si>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</si>
  <si>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</si>
  <si>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</si>
  <si>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</si>
  <si>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</si>
  <si>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</si>
  <si>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</si>
  <si>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</si>
  <si>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</si>
  <si>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</si>
  <si>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</si>
  <si>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</si>
  <si>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</si>
  <si>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</si>
  <si>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</si>
  <si>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</si>
  <si>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</si>
  <si>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</si>
  <si>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</si>
  <si>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</si>
  <si>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</si>
  <si>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</si>
  <si>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</si>
  <si>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</si>
  <si>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</si>
  <si>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</si>
  <si>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</si>
  <si>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</si>
  <si>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</si>
  <si>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</si>
  <si>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</si>
  <si>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</si>
  <si>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</si>
  <si>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</si>
  <si>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</si>
  <si>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</si>
  <si>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</si>
  <si>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</si>
  <si>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</si>
  <si>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</si>
  <si>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</si>
  <si>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</si>
  <si>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</si>
  <si>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</si>
  <si>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</si>
  <si>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</si>
  <si>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</si>
  <si>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</si>
  <si>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</si>
  <si>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</si>
  <si>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</si>
  <si>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</si>
  <si>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</si>
  <si>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</si>
  <si>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</si>
  <si>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</si>
  <si>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</si>
  <si>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</si>
  <si>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</si>
  <si>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</si>
  <si>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</si>
  <si>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</si>
  <si>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</si>
  <si>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</si>
  <si>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</si>
  <si>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</si>
  <si>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</si>
  <si>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</si>
  <si>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</si>
  <si>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</si>
  <si>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</si>
  <si>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</si>
  <si>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Förluster i %</t>
  </si>
  <si>
    <t>EXPORT</t>
  </si>
  <si>
    <t>Export</t>
  </si>
  <si>
    <t>IMPORT</t>
  </si>
  <si>
    <t>Skåne län</t>
  </si>
  <si>
    <t>Biobränslen</t>
  </si>
  <si>
    <t>RT-flis</t>
  </si>
  <si>
    <t>Import</t>
  </si>
  <si>
    <t>Solceller</t>
  </si>
  <si>
    <t>174 Gwh sekr</t>
  </si>
  <si>
    <t>Landskrona</t>
  </si>
  <si>
    <t>ABP</t>
  </si>
  <si>
    <t>industriellt mottryck</t>
  </si>
  <si>
    <t>Import-export</t>
  </si>
  <si>
    <t>Fjärrvärme mellan kommuner</t>
  </si>
  <si>
    <t>Importkommuner</t>
  </si>
  <si>
    <t>Mängd MWh</t>
  </si>
  <si>
    <t>Exportkommuner</t>
  </si>
  <si>
    <t>Burlöv</t>
  </si>
  <si>
    <t>Malmö</t>
  </si>
  <si>
    <t>Lomma</t>
  </si>
  <si>
    <t>Helsingborg</t>
  </si>
  <si>
    <t>Lund</t>
  </si>
  <si>
    <t>Eslöv</t>
  </si>
  <si>
    <t>Bromölla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</si>
</sst>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%"/>
    <numFmt numFmtId="166" formatCode="0.0"/>
    <numFmt numFmtId="167" formatCode="#,##0.00000"/>
    <numFmt numFmtId="168" formatCode="_(* #,##0.00_);_(* \(#,##0.00\);_(* &quot;-&quot;??_);_(@_)"/>
    <numFmt numFmtId="169" formatCode="#,##0.0000"/>
  </numFmts>
  <fonts count="5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8"/>
      <color rgb="FF000000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rgb="FF000000"/>
      <name val="Calibri"/>
      <family val="2"/>
    </font>
    <font>
      <u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</font>
    <font>
      <sz val="1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i/>
      <u/>
      <sz val="12"/>
      <color indexed="8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u/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u/>
      <sz val="11"/>
      <name val="Calibri"/>
      <family val="2"/>
    </font>
    <font>
      <sz val="8"/>
      <color rgb="FF000000"/>
      <name val="Trebuchet MS"/>
      <family val="2"/>
    </font>
    <font>
      <u/>
      <sz val="11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i/>
      <u/>
      <sz val="12"/>
      <color theme="1"/>
      <name val="Calibri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45">
    <xf numFmtId="0" fontId="0" fillId="0" borderId="0"/>
    <xf numFmtId="0" fontId="7" fillId="0" borderId="0" applyNumberFormat="0" applyBorder="0" applyAlignment="0"/>
    <xf numFmtId="9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5">
    <xf numFmtId="0" fontId="0" fillId="0" borderId="0" xfId="0"/>
    <xf numFmtId="0" fontId="8" fillId="0" borderId="0" xfId="1" applyFont="1" applyFill="1" applyProtection="1"/>
    <xf numFmtId="0" fontId="7" fillId="0" borderId="0" xfId="1" applyFill="1" applyProtection="1"/>
    <xf numFmtId="0" fontId="9" fillId="0" borderId="0" xfId="1" applyFont="1"/>
    <xf numFmtId="0" fontId="10" fillId="0" borderId="0" xfId="0" applyFont="1"/>
    <xf numFmtId="0" fontId="11" fillId="0" borderId="0" xfId="1" applyFont="1" applyFill="1" applyProtection="1"/>
    <xf numFmtId="3" fontId="7" fillId="0" borderId="0" xfId="1" applyNumberFormat="1"/>
    <xf numFmtId="0" fontId="7" fillId="0" borderId="0" xfId="1"/>
    <xf numFmtId="0" fontId="11" fillId="0" borderId="0" xfId="0" applyFont="1" applyFill="1" applyProtection="1"/>
    <xf numFmtId="3" fontId="12" fillId="0" borderId="0" xfId="0" applyNumberFormat="1" applyFont="1"/>
    <xf numFmtId="3" fontId="7" fillId="0" borderId="0" xfId="1" applyNumberFormat="1" applyFill="1" applyProtection="1"/>
    <xf numFmtId="3" fontId="13" fillId="0" borderId="0" xfId="1" applyNumberFormat="1" applyFont="1" applyFill="1" applyProtection="1"/>
    <xf numFmtId="164" fontId="7" fillId="0" borderId="0" xfId="1" applyNumberFormat="1"/>
    <xf numFmtId="4" fontId="7" fillId="0" borderId="0" xfId="1" applyNumberFormat="1"/>
    <xf numFmtId="165" fontId="7" fillId="0" borderId="0" xfId="1" applyNumberFormat="1"/>
    <xf numFmtId="10" fontId="7" fillId="0" borderId="0" xfId="1" applyNumberFormat="1"/>
    <xf numFmtId="165" fontId="14" fillId="0" borderId="0" xfId="1" applyNumberFormat="1" applyFont="1"/>
    <xf numFmtId="165" fontId="9" fillId="0" borderId="0" xfId="1" applyNumberFormat="1" applyFont="1"/>
    <xf numFmtId="3" fontId="12" fillId="0" borderId="0" xfId="0" applyNumberFormat="1" applyFont="1" applyAlignment="1">
      <alignment horizontal="right"/>
    </xf>
    <xf numFmtId="166" fontId="7" fillId="0" borderId="0" xfId="1" applyNumberFormat="1"/>
    <xf numFmtId="2" fontId="7" fillId="0" borderId="0" xfId="1" applyNumberFormat="1"/>
    <xf numFmtId="0" fontId="15" fillId="0" borderId="0" xfId="1" applyFont="1"/>
    <xf numFmtId="3" fontId="15" fillId="0" borderId="0" xfId="1" applyNumberFormat="1" applyFont="1"/>
    <xf numFmtId="3" fontId="14" fillId="0" borderId="0" xfId="1" applyNumberFormat="1" applyFont="1"/>
    <xf numFmtId="3" fontId="14" fillId="2" borderId="0" xfId="1" applyNumberFormat="1" applyFont="1" applyFill="1"/>
    <xf numFmtId="3" fontId="16" fillId="2" borderId="0" xfId="1" applyNumberFormat="1" applyFont="1" applyFill="1"/>
    <xf numFmtId="3" fontId="7" fillId="2" borderId="0" xfId="1" applyNumberFormat="1" applyFill="1"/>
    <xf numFmtId="0" fontId="12" fillId="0" borderId="0" xfId="0" applyFont="1"/>
    <xf numFmtId="0" fontId="12" fillId="0" borderId="0" xfId="0" applyFont="1" applyAlignment="1">
      <alignment horizontal="right"/>
    </xf>
    <xf numFmtId="1" fontId="7" fillId="0" borderId="0" xfId="1" applyNumberFormat="1"/>
    <xf numFmtId="165" fontId="14" fillId="0" borderId="0" xfId="2" applyNumberFormat="1" applyFont="1"/>
    <xf numFmtId="165" fontId="6" fillId="0" borderId="0" xfId="2" applyNumberFormat="1" applyFont="1"/>
    <xf numFmtId="3" fontId="16" fillId="0" borderId="0" xfId="1" applyNumberFormat="1" applyFont="1"/>
    <xf numFmtId="9" fontId="16" fillId="0" borderId="0" xfId="2" applyFont="1"/>
    <xf numFmtId="0" fontId="7" fillId="0" borderId="0" xfId="1" applyAlignment="1">
      <alignment horizontal="right"/>
    </xf>
    <xf numFmtId="3" fontId="7" fillId="0" borderId="0" xfId="1" applyNumberFormat="1" applyAlignment="1">
      <alignment horizontal="right"/>
    </xf>
    <xf numFmtId="9" fontId="16" fillId="0" borderId="0" xfId="2" applyNumberFormat="1" applyFont="1"/>
    <xf numFmtId="9" fontId="6" fillId="0" borderId="0" xfId="2" applyFont="1"/>
    <xf numFmtId="165" fontId="5" fillId="0" borderId="0" xfId="2" applyNumberFormat="1" applyFont="1"/>
    <xf numFmtId="9" fontId="5" fillId="0" borderId="0" xfId="2" applyFont="1"/>
    <xf numFmtId="1" fontId="12" fillId="0" borderId="0" xfId="0" applyNumberFormat="1" applyFont="1"/>
    <xf numFmtId="3" fontId="21" fillId="0" borderId="0" xfId="0" applyNumberFormat="1" applyFont="1"/>
    <xf numFmtId="0" fontId="22" fillId="0" borderId="0" xfId="1" applyFont="1" applyFill="1" applyProtection="1"/>
    <xf numFmtId="3" fontId="22" fillId="0" borderId="0" xfId="1" applyNumberFormat="1" applyFont="1" applyFill="1" applyProtection="1"/>
    <xf numFmtId="9" fontId="7" fillId="0" borderId="0" xfId="33" applyFont="1" applyFill="1" applyProtection="1"/>
    <xf numFmtId="0" fontId="0" fillId="0" borderId="0" xfId="0" applyFill="1" applyProtection="1"/>
    <xf numFmtId="3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0" fontId="23" fillId="0" borderId="0" xfId="1" applyFont="1" applyFill="1"/>
    <xf numFmtId="0" fontId="21" fillId="0" borderId="0" xfId="0" applyFont="1" applyFill="1"/>
    <xf numFmtId="166" fontId="12" fillId="0" borderId="0" xfId="0" applyNumberFormat="1" applyFont="1" applyAlignment="1">
      <alignment horizontal="right"/>
    </xf>
    <xf numFmtId="3" fontId="0" fillId="0" borderId="0" xfId="0" applyNumberFormat="1" applyFill="1" applyAlignment="1" applyProtection="1">
      <alignment horizontal="right"/>
    </xf>
    <xf numFmtId="165" fontId="7" fillId="0" borderId="0" xfId="1" applyNumberFormat="1" applyFill="1" applyProtection="1"/>
    <xf numFmtId="0" fontId="21" fillId="0" borderId="0" xfId="0" applyFont="1"/>
    <xf numFmtId="165" fontId="2" fillId="0" borderId="0" xfId="2" applyNumberFormat="1" applyFont="1"/>
    <xf numFmtId="3" fontId="0" fillId="0" borderId="0" xfId="1" applyNumberFormat="1" applyFont="1"/>
    <xf numFmtId="0" fontId="12" fillId="0" borderId="0" xfId="233" applyFont="1"/>
    <xf numFmtId="9" fontId="2" fillId="0" borderId="0" xfId="2" applyFont="1"/>
    <xf numFmtId="0" fontId="7" fillId="0" borderId="0" xfId="1" applyFont="1" applyFill="1" applyProtection="1"/>
    <xf numFmtId="3" fontId="27" fillId="0" borderId="0" xfId="0" applyNumberFormat="1" applyFont="1" applyFill="1" applyProtection="1"/>
    <xf numFmtId="3" fontId="28" fillId="0" borderId="0" xfId="0" applyNumberFormat="1" applyFont="1" applyFill="1" applyAlignment="1" applyProtection="1">
      <alignment horizontal="right"/>
    </xf>
    <xf numFmtId="3" fontId="29" fillId="0" borderId="0" xfId="0" applyNumberFormat="1" applyFont="1" applyFill="1" applyProtection="1"/>
    <xf numFmtId="3" fontId="29" fillId="0" borderId="0" xfId="0" applyNumberFormat="1" applyFont="1" applyFill="1" applyAlignment="1" applyProtection="1">
      <alignment horizontal="right"/>
    </xf>
    <xf numFmtId="3" fontId="30" fillId="0" borderId="0" xfId="1" applyNumberFormat="1" applyFont="1" applyFill="1" applyProtection="1"/>
    <xf numFmtId="3" fontId="29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Protection="1"/>
    <xf numFmtId="3" fontId="31" fillId="0" borderId="0" xfId="0" applyNumberFormat="1" applyFont="1" applyFill="1" applyAlignment="1" applyProtection="1">
      <alignment horizontal="right"/>
    </xf>
    <xf numFmtId="3" fontId="9" fillId="0" borderId="0" xfId="1" applyNumberFormat="1" applyFont="1"/>
    <xf numFmtId="3" fontId="28" fillId="0" borderId="0" xfId="0" applyNumberFormat="1" applyFont="1" applyFill="1" applyProtection="1"/>
    <xf numFmtId="3" fontId="29" fillId="0" borderId="0" xfId="0" applyNumberFormat="1" applyFont="1" applyFill="1" applyBorder="1" applyProtection="1"/>
    <xf numFmtId="9" fontId="32" fillId="3" borderId="0" xfId="234" applyNumberFormat="1"/>
    <xf numFmtId="9" fontId="33" fillId="4" borderId="0" xfId="235" applyNumberFormat="1"/>
    <xf numFmtId="3" fontId="34" fillId="0" borderId="0" xfId="1" applyNumberFormat="1" applyFont="1" applyFill="1" applyProtection="1"/>
    <xf numFmtId="165" fontId="32" fillId="3" borderId="0" xfId="234" applyNumberFormat="1"/>
    <xf numFmtId="3" fontId="36" fillId="0" borderId="0" xfId="0" applyNumberFormat="1" applyFont="1" applyFill="1" applyAlignment="1" applyProtection="1">
      <alignment horizontal="right"/>
    </xf>
    <xf numFmtId="3" fontId="35" fillId="0" borderId="0" xfId="0" applyNumberFormat="1" applyFont="1" applyFill="1" applyProtection="1"/>
    <xf numFmtId="3" fontId="28" fillId="0" borderId="0" xfId="0" applyNumberFormat="1" applyFont="1"/>
    <xf numFmtId="3" fontId="36" fillId="0" borderId="0" xfId="0" applyNumberFormat="1" applyFont="1" applyFill="1" applyProtection="1"/>
    <xf numFmtId="0" fontId="37" fillId="0" borderId="0" xfId="1" applyFont="1" applyFill="1" applyProtection="1"/>
    <xf numFmtId="3" fontId="31" fillId="0" borderId="0" xfId="0" applyNumberFormat="1" applyFont="1" applyFill="1" applyProtection="1"/>
    <xf numFmtId="3" fontId="38" fillId="0" borderId="0" xfId="1" applyNumberFormat="1" applyFont="1"/>
    <xf numFmtId="1" fontId="32" fillId="3" borderId="0" xfId="234" applyNumberFormat="1"/>
    <xf numFmtId="3" fontId="0" fillId="0" borderId="0" xfId="0" applyNumberFormat="1"/>
    <xf numFmtId="3" fontId="29" fillId="0" borderId="0" xfId="0" applyNumberFormat="1" applyFont="1"/>
    <xf numFmtId="0" fontId="0" fillId="0" borderId="0" xfId="0" applyNumberFormat="1" applyFill="1" applyProtection="1"/>
    <xf numFmtId="3" fontId="39" fillId="0" borderId="0" xfId="0" applyNumberFormat="1" applyFont="1" applyFill="1" applyAlignment="1" applyProtection="1">
      <alignment horizontal="right"/>
    </xf>
    <xf numFmtId="3" fontId="39" fillId="0" borderId="0" xfId="0" applyNumberFormat="1" applyFont="1" applyFill="1" applyProtection="1"/>
    <xf numFmtId="0" fontId="29" fillId="0" borderId="0" xfId="0" applyNumberFormat="1" applyFont="1" applyFill="1" applyProtection="1"/>
    <xf numFmtId="0" fontId="22" fillId="0" borderId="0" xfId="1" applyNumberFormat="1" applyFont="1" applyFill="1" applyProtection="1"/>
    <xf numFmtId="3" fontId="40" fillId="0" borderId="0" xfId="0" applyNumberFormat="1" applyFont="1" applyFill="1" applyAlignment="1" applyProtection="1">
      <alignment horizontal="right"/>
    </xf>
    <xf numFmtId="3" fontId="40" fillId="0" borderId="0" xfId="0" applyNumberFormat="1" applyFont="1" applyFill="1" applyProtection="1"/>
    <xf numFmtId="0" fontId="7" fillId="0" borderId="0" xfId="1" applyNumberFormat="1" applyFill="1" applyProtection="1"/>
    <xf numFmtId="0" fontId="7" fillId="0" borderId="0" xfId="1" applyNumberFormat="1"/>
    <xf numFmtId="0" fontId="15" fillId="0" borderId="0" xfId="1" applyNumberFormat="1" applyFont="1"/>
    <xf numFmtId="0" fontId="14" fillId="2" borderId="0" xfId="1" applyNumberFormat="1" applyFont="1" applyFill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42" fillId="0" borderId="0" xfId="1" applyNumberFormat="1" applyFont="1"/>
    <xf numFmtId="3" fontId="36" fillId="0" borderId="0" xfId="0" applyNumberFormat="1" applyFont="1" applyFill="1" applyBorder="1" applyAlignment="1" applyProtection="1">
      <alignment horizontal="right"/>
    </xf>
    <xf numFmtId="1" fontId="9" fillId="0" borderId="0" xfId="1" applyNumberFormat="1" applyFont="1"/>
    <xf numFmtId="1" fontId="7" fillId="0" borderId="0" xfId="1" applyNumberFormat="1" applyFill="1" applyProtection="1"/>
    <xf numFmtId="0" fontId="28" fillId="0" borderId="0" xfId="0" applyFont="1"/>
    <xf numFmtId="3" fontId="41" fillId="0" borderId="0" xfId="0" applyNumberFormat="1" applyFont="1" applyFill="1" applyProtection="1"/>
    <xf numFmtId="3" fontId="35" fillId="0" borderId="0" xfId="0" applyNumberFormat="1" applyFont="1" applyFill="1" applyAlignment="1" applyProtection="1">
      <alignment horizontal="right"/>
    </xf>
    <xf numFmtId="0" fontId="30" fillId="0" borderId="0" xfId="1" applyFont="1" applyFill="1" applyProtection="1"/>
    <xf numFmtId="0" fontId="44" fillId="0" borderId="0" xfId="0" applyFont="1"/>
    <xf numFmtId="0" fontId="43" fillId="0" borderId="0" xfId="1" applyFont="1" applyFill="1" applyProtection="1"/>
    <xf numFmtId="3" fontId="45" fillId="0" borderId="0" xfId="0" applyNumberFormat="1" applyFont="1" applyAlignment="1">
      <alignment horizontal="right"/>
    </xf>
    <xf numFmtId="3" fontId="46" fillId="0" borderId="0" xfId="0" applyNumberFormat="1" applyFont="1" applyFill="1" applyAlignment="1" applyProtection="1">
      <alignment horizontal="right"/>
    </xf>
    <xf numFmtId="3" fontId="10" fillId="0" borderId="0" xfId="0" applyNumberFormat="1" applyFont="1"/>
    <xf numFmtId="167" fontId="0" fillId="0" borderId="0" xfId="0" applyNumberFormat="1" applyFill="1" applyProtection="1"/>
    <xf numFmtId="3" fontId="50" fillId="0" borderId="0" xfId="0" applyNumberFormat="1" applyFont="1" applyFill="1" applyAlignment="1" applyProtection="1">
      <alignment horizontal="right"/>
    </xf>
    <xf numFmtId="0" fontId="47" fillId="0" borderId="0" xfId="0" applyFont="1"/>
    <xf numFmtId="169" fontId="12" fillId="0" borderId="0" xfId="0" applyNumberFormat="1" applyFont="1"/>
    <xf numFmtId="3" fontId="0" fillId="0" borderId="0" xfId="0" applyNumberFormat="1" applyFont="1" applyFill="1" applyAlignment="1" applyProtection="1">
      <alignment horizontal="right"/>
    </xf>
  </cellXfs>
  <cellStyles count="245">
    <cellStyle name="Bra" xfId="234" builtinId="26"/>
    <cellStyle name="Comma 2" xfId="238"/>
    <cellStyle name="Dålig" xfId="235" builtinId="27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42" builtinId="9" hidden="1"/>
    <cellStyle name="Följd hyperlänk" xfId="244" builtinId="9" hidden="1"/>
    <cellStyle name="Hyperlink 2" xfId="239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41" builtinId="8" hidden="1"/>
    <cellStyle name="Hyperlänk" xfId="243" builtinId="8" hidden="1"/>
    <cellStyle name="Komma 2" xfId="236"/>
    <cellStyle name="Normal" xfId="0" builtinId="0"/>
    <cellStyle name="Normal 2" xfId="1"/>
    <cellStyle name="Normal 3" xfId="233"/>
    <cellStyle name="Normal 4" xfId="240"/>
    <cellStyle name="Percent 2" xfId="2"/>
    <cellStyle name="Percent 3" xfId="232"/>
    <cellStyle name="Procent" xfId="33" builtinId="5"/>
    <cellStyle name="Procent 2" xfId="23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41" Type="http://schemas.openxmlformats.org/officeDocument/2006/relationships/customXml" Target="../customXml/item2.xml"/><Relationship Id="rId24" Type="http://schemas.openxmlformats.org/officeDocument/2006/relationships/worksheet" Target="worksheets/sheet24.xml"/><Relationship Id="rId1" Type="http://schemas.openxmlformats.org/officeDocument/2006/relationships/worksheet" Target="worksheets/sheet1.xml"/><Relationship Id="rId32" Type="http://schemas.openxmlformats.org/officeDocument/2006/relationships/worksheet" Target="worksheets/sheet32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5" Type="http://schemas.openxmlformats.org/officeDocument/2006/relationships/worksheet" Target="worksheets/sheet5.xml"/><Relationship Id="rId36" Type="http://schemas.openxmlformats.org/officeDocument/2006/relationships/theme" Target="theme/theme1.xml"/><Relationship Id="rId15" Type="http://schemas.openxmlformats.org/officeDocument/2006/relationships/worksheet" Target="worksheets/sheet15.xml"/><Relationship Id="rId31" Type="http://schemas.openxmlformats.org/officeDocument/2006/relationships/worksheet" Target="worksheets/sheet3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" Type="http://schemas.openxmlformats.org/officeDocument/2006/relationships/worksheet" Target="worksheets/sheet4.xml"/><Relationship Id="rId30" Type="http://schemas.openxmlformats.org/officeDocument/2006/relationships/worksheet" Target="worksheets/sheet30.xml"/><Relationship Id="rId9" Type="http://schemas.openxmlformats.org/officeDocument/2006/relationships/worksheet" Target="worksheets/sheet9.xml"/><Relationship Id="rId35" Type="http://schemas.openxmlformats.org/officeDocument/2006/relationships/worksheet" Target="worksheets/sheet35.xml"/><Relationship Id="rId14" Type="http://schemas.openxmlformats.org/officeDocument/2006/relationships/worksheet" Target="worksheets/sheet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12.vml"/><Relationship Id="rId3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13.vml"/><Relationship Id="rId3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14.vml"/><Relationship Id="rId3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vmlDrawing" Target="../drawings/vmlDrawing15.vml"/><Relationship Id="rId3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vmlDrawing" Target="../drawings/vmlDrawing17.vml"/><Relationship Id="rId3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vmlDrawing" Target="../drawings/vmlDrawing18.vml"/><Relationship Id="rId3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Relationship Id="rId2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vmlDrawing" Target="../drawings/vmlDrawing20.vml"/><Relationship Id="rId3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Relationship Id="rId2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2.vml"/><Relationship Id="rId2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vmlDrawing" Target="../drawings/vmlDrawing23.vml"/><Relationship Id="rId3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vmlDrawing" Target="../drawings/vmlDrawing24.vml"/><Relationship Id="rId3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vmlDrawing" Target="../drawings/vmlDrawing25.vml"/><Relationship Id="rId3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vmlDrawing" Target="../drawings/vmlDrawing26.vml"/><Relationship Id="rId3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7.vml"/><Relationship Id="rId2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vmlDrawing" Target="../drawings/vmlDrawing28.vml"/><Relationship Id="rId3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9.vml"/><Relationship Id="rId2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0.vml"/><Relationship Id="rId2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1.vml"/><Relationship Id="rId2" Type="http://schemas.openxmlformats.org/officeDocument/2006/relationships/comments" Target="../comments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2.vml"/><Relationship Id="rId2" Type="http://schemas.openxmlformats.org/officeDocument/2006/relationships/comments" Target="../comments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3.vml"/><Relationship Id="rId2" Type="http://schemas.openxmlformats.org/officeDocument/2006/relationships/comments" Target="../comments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vmlDrawing" Target="../drawings/vmlDrawing34.vml"/><Relationship Id="rId3" Type="http://schemas.openxmlformats.org/officeDocument/2006/relationships/comments" Target="../comments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baseColWidth="10" defaultRowHeight="16" x14ac:dyDescent="0.2"/>
  <cols>
    <col min="1" max="1" width="17.1640625" customWidth="1"/>
    <col min="2" max="2" width="11.83203125" bestFit="1" customWidth="1"/>
    <col min="3" max="3" width="15.33203125" bestFit="1" customWidth="1"/>
  </cols>
  <sheetData>
    <row r="1" spans="1:9" x14ac:dyDescent="0.2">
      <c r="A1" s="112" t="s">
        <v>105</v>
      </c>
    </row>
    <row r="3" spans="1:9" x14ac:dyDescent="0.2">
      <c r="A3" t="s">
        <v>106</v>
      </c>
      <c r="B3" t="s">
        <v>107</v>
      </c>
      <c r="C3" t="s">
        <v>108</v>
      </c>
      <c r="D3" t="s">
        <v>107</v>
      </c>
    </row>
    <row r="4" spans="1:9" x14ac:dyDescent="0.2">
      <c r="A4" t="s">
        <v>109</v>
      </c>
      <c r="B4" s="82">
        <v>68413</v>
      </c>
      <c r="C4" s="82" t="s">
        <v>110</v>
      </c>
      <c r="D4" s="82">
        <v>68413</v>
      </c>
    </row>
    <row r="5" spans="1:9" x14ac:dyDescent="0.2">
      <c r="B5" s="82"/>
      <c r="H5" s="82"/>
      <c r="I5" s="82"/>
    </row>
    <row r="6" spans="1:9" x14ac:dyDescent="0.2">
      <c r="A6" t="s">
        <v>111</v>
      </c>
      <c r="B6" s="82">
        <v>18395</v>
      </c>
      <c r="C6" s="82" t="s">
        <v>112</v>
      </c>
      <c r="D6" s="82">
        <v>32669</v>
      </c>
    </row>
    <row r="7" spans="1:9" x14ac:dyDescent="0.2">
      <c r="A7" t="s">
        <v>113</v>
      </c>
      <c r="B7" s="82">
        <v>442455</v>
      </c>
      <c r="C7" s="82" t="s">
        <v>114</v>
      </c>
      <c r="D7" s="82">
        <v>462301</v>
      </c>
    </row>
    <row r="8" spans="1:9" x14ac:dyDescent="0.2">
      <c r="A8" t="s">
        <v>101</v>
      </c>
      <c r="B8" s="82">
        <v>34120</v>
      </c>
    </row>
    <row r="9" spans="1:9" x14ac:dyDescent="0.2">
      <c r="B9" s="82">
        <f>SUM(B6:B8)</f>
        <v>494970</v>
      </c>
      <c r="D9" s="82">
        <f>SUM(D6:D8)</f>
        <v>494970</v>
      </c>
    </row>
    <row r="10" spans="1:9" x14ac:dyDescent="0.2">
      <c r="B10" s="82"/>
      <c r="C10" s="82"/>
      <c r="D10" s="82"/>
    </row>
    <row r="11" spans="1:9" x14ac:dyDescent="0.2">
      <c r="B11" s="82"/>
      <c r="C11" s="82" t="s">
        <v>115</v>
      </c>
      <c r="D11" s="82">
        <v>46000</v>
      </c>
    </row>
    <row r="13" spans="1:9" x14ac:dyDescent="0.2">
      <c r="B13" s="8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65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402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205</v>
      </c>
      <c r="C7" s="46">
        <v>1187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1187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331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25696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26634</v>
      </c>
      <c r="C10" s="46">
        <v>1187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1187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467.22667999999999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46">
        <v>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254.63267999999999</v>
      </c>
      <c r="U24" s="14">
        <f>N43</f>
        <v>0.5449874566238383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13.832000000000001</v>
      </c>
      <c r="U25" s="15">
        <f>G43</f>
        <v>2.9604473785615155E-2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13.404999999999999</v>
      </c>
      <c r="U27" s="14">
        <f>F43</f>
        <v>2.8690570495674604E-2</v>
      </c>
    </row>
    <row r="28" spans="1:21" ht="16" x14ac:dyDescent="0.2">
      <c r="A28" s="4" t="s">
        <v>65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4.8780000000000001</v>
      </c>
      <c r="U28" s="14">
        <f>E43</f>
        <v>1.0440328450421539E-2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11053</v>
      </c>
      <c r="D31" s="46">
        <v>0</v>
      </c>
      <c r="E31" s="46">
        <v>0</v>
      </c>
      <c r="F31" s="46">
        <v>1108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10738</v>
      </c>
      <c r="O31" s="46">
        <v>22898</v>
      </c>
      <c r="P31" s="16">
        <f>O31/O$39</f>
        <v>5.1205674710461405E-2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0</v>
      </c>
      <c r="C32" s="46">
        <v>228</v>
      </c>
      <c r="D32" s="46">
        <v>0</v>
      </c>
      <c r="E32" s="46">
        <v>4878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22280</v>
      </c>
      <c r="O32" s="46">
        <v>27387</v>
      </c>
      <c r="P32" s="16">
        <f>O32/O$39</f>
        <v>6.1244205314674054E-2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0</v>
      </c>
      <c r="C33" s="46">
        <v>306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14904</v>
      </c>
      <c r="O33" s="46">
        <v>15210</v>
      </c>
      <c r="P33" s="16">
        <f>O33/O$39</f>
        <v>3.4013377253302383E-2</v>
      </c>
      <c r="Q33" s="17" t="s">
        <v>39</v>
      </c>
      <c r="R33" s="67"/>
      <c r="S33" s="3" t="s">
        <v>35</v>
      </c>
      <c r="T33" s="13">
        <f>C42/1000</f>
        <v>180.47900000000001</v>
      </c>
      <c r="U33" s="15">
        <f>C43</f>
        <v>0.38627717064445038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166583</v>
      </c>
      <c r="D34" s="46">
        <v>0</v>
      </c>
      <c r="E34" s="46">
        <v>0</v>
      </c>
      <c r="F34" s="46">
        <v>12297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106</v>
      </c>
      <c r="O34" s="46">
        <v>178986</v>
      </c>
      <c r="P34" s="16">
        <f>O34/O$39</f>
        <v>0.40025761611174099</v>
      </c>
      <c r="Q34" s="17" t="s">
        <v>41</v>
      </c>
      <c r="R34" s="67"/>
      <c r="S34" s="3"/>
      <c r="T34" s="13">
        <f>SUM(T24:T33)</f>
        <v>467.22667999999999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589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56064</v>
      </c>
      <c r="O35" s="46">
        <v>56653</v>
      </c>
      <c r="P35" s="16">
        <f>O35/O$39</f>
        <v>0.12669032620192899</v>
      </c>
      <c r="Q35" s="17" t="s">
        <v>43</v>
      </c>
      <c r="R35" s="67"/>
    </row>
    <row r="36" spans="1:48" ht="16" x14ac:dyDescent="0.2">
      <c r="A36" s="8" t="s">
        <v>44</v>
      </c>
      <c r="B36" s="46">
        <v>0</v>
      </c>
      <c r="C36" s="46">
        <v>507</v>
      </c>
      <c r="D36" s="46">
        <v>0</v>
      </c>
      <c r="E36" s="46">
        <v>0</v>
      </c>
      <c r="F36" s="46">
        <v>0</v>
      </c>
      <c r="G36" s="46">
        <v>13832</v>
      </c>
      <c r="H36" s="46">
        <v>0</v>
      </c>
      <c r="I36" s="46"/>
      <c r="J36" s="46"/>
      <c r="K36" s="46"/>
      <c r="L36" s="46"/>
      <c r="M36" s="45"/>
      <c r="N36" s="46">
        <v>100418</v>
      </c>
      <c r="O36" s="46">
        <v>114757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0</v>
      </c>
      <c r="C37" s="46">
        <v>26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28097</v>
      </c>
      <c r="O37" s="46">
        <v>28123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3164</v>
      </c>
      <c r="O38" s="46">
        <v>3164</v>
      </c>
      <c r="P38" s="17">
        <f>SUM(P31:P35)</f>
        <v>0.67341119959210782</v>
      </c>
      <c r="Q38" s="17"/>
      <c r="R38" s="67"/>
      <c r="S38" s="7" t="s">
        <v>47</v>
      </c>
      <c r="T38" s="19">
        <f>O45/1000</f>
        <v>18.86168</v>
      </c>
      <c r="U38" s="7"/>
    </row>
    <row r="39" spans="1:48" ht="16" x14ac:dyDescent="0.2">
      <c r="A39" s="8" t="s">
        <v>16</v>
      </c>
      <c r="B39" s="46">
        <v>0</v>
      </c>
      <c r="C39" s="46">
        <v>179292</v>
      </c>
      <c r="D39" s="46">
        <v>0</v>
      </c>
      <c r="E39" s="46">
        <v>4878</v>
      </c>
      <c r="F39" s="46">
        <v>13405</v>
      </c>
      <c r="G39" s="46">
        <v>13832</v>
      </c>
      <c r="H39" s="46">
        <v>0</v>
      </c>
      <c r="I39" s="46"/>
      <c r="J39" s="46"/>
      <c r="K39" s="46"/>
      <c r="L39" s="46"/>
      <c r="M39" s="45"/>
      <c r="N39" s="46">
        <v>235771</v>
      </c>
      <c r="O39" s="46">
        <v>447177</v>
      </c>
      <c r="P39" s="3"/>
      <c r="Q39" s="3"/>
      <c r="R39" s="67"/>
      <c r="S39" s="7" t="s">
        <v>48</v>
      </c>
      <c r="T39" s="20">
        <f>O41/1000</f>
        <v>146.04400000000001</v>
      </c>
      <c r="U39" s="14">
        <f>P41</f>
        <v>0.32659103665886213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56.652999999999999</v>
      </c>
      <c r="U40" s="15">
        <f>P35</f>
        <v>0.12669032620192899</v>
      </c>
    </row>
    <row r="41" spans="1:48" ht="16" x14ac:dyDescent="0.2">
      <c r="A41" s="21" t="s">
        <v>50</v>
      </c>
      <c r="B41" s="22">
        <f>B38+B37+B36</f>
        <v>0</v>
      </c>
      <c r="C41" s="22">
        <f t="shared" ref="C41:O41" si="0">C38+C37+C36</f>
        <v>533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13832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131679</v>
      </c>
      <c r="O41" s="22">
        <f t="shared" si="0"/>
        <v>146044</v>
      </c>
      <c r="P41" s="16">
        <f>O41/O$39</f>
        <v>0.32659103665886213</v>
      </c>
      <c r="Q41" s="16" t="s">
        <v>51</v>
      </c>
      <c r="R41" s="7"/>
      <c r="S41" s="7" t="s">
        <v>52</v>
      </c>
      <c r="T41" s="20">
        <f>O33/1000</f>
        <v>15.21</v>
      </c>
      <c r="U41" s="14">
        <f>P33</f>
        <v>3.4013377253302383E-2</v>
      </c>
    </row>
    <row r="42" spans="1:48" ht="16" x14ac:dyDescent="0.2">
      <c r="A42" s="23" t="s">
        <v>53</v>
      </c>
      <c r="B42" s="22"/>
      <c r="C42" s="24">
        <f>C39+C23+C10</f>
        <v>180479</v>
      </c>
      <c r="D42" s="24">
        <f t="shared" ref="D42:M42" si="1">D39+D23+D10</f>
        <v>0</v>
      </c>
      <c r="E42" s="24">
        <f t="shared" si="1"/>
        <v>4878</v>
      </c>
      <c r="F42" s="24">
        <f t="shared" si="1"/>
        <v>13405</v>
      </c>
      <c r="G42" s="24">
        <f t="shared" si="1"/>
        <v>13832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254632.68</v>
      </c>
      <c r="O42" s="25">
        <f>SUM(C42:N42)</f>
        <v>467226.68</v>
      </c>
      <c r="P42" s="7"/>
      <c r="Q42" s="7"/>
      <c r="R42" s="7"/>
      <c r="S42" s="7" t="s">
        <v>34</v>
      </c>
      <c r="T42" s="20">
        <f>O31/1000</f>
        <v>22.898</v>
      </c>
      <c r="U42" s="14">
        <f>P31</f>
        <v>5.1205674710461405E-2</v>
      </c>
    </row>
    <row r="43" spans="1:48" ht="16" x14ac:dyDescent="0.2">
      <c r="A43" s="23" t="s">
        <v>54</v>
      </c>
      <c r="B43" s="22"/>
      <c r="C43" s="16">
        <f t="shared" ref="C43:N43" si="2">C42/$O42</f>
        <v>0.38627717064445038</v>
      </c>
      <c r="D43" s="16">
        <f t="shared" si="2"/>
        <v>0</v>
      </c>
      <c r="E43" s="16">
        <f t="shared" si="2"/>
        <v>1.0440328450421539E-2</v>
      </c>
      <c r="F43" s="16">
        <f t="shared" si="2"/>
        <v>2.8690570495674604E-2</v>
      </c>
      <c r="G43" s="16">
        <f t="shared" si="2"/>
        <v>2.9604473785615155E-2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0.5449874566238383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27.387</v>
      </c>
      <c r="U43" s="15">
        <f>P32</f>
        <v>6.1244205314674054E-2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178.98599999999999</v>
      </c>
      <c r="U44" s="15">
        <f>P34</f>
        <v>0.40025761611174099</v>
      </c>
    </row>
    <row r="45" spans="1:48" ht="16" x14ac:dyDescent="0.2">
      <c r="A45" s="6" t="s">
        <v>57</v>
      </c>
      <c r="B45" s="2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18861.68</v>
      </c>
      <c r="O45" s="25">
        <f>B45+N45</f>
        <v>18861.68</v>
      </c>
      <c r="P45" s="7"/>
      <c r="Q45" s="7"/>
      <c r="R45" s="7"/>
      <c r="S45" s="7" t="s">
        <v>58</v>
      </c>
      <c r="T45" s="20">
        <f>SUM(T39:T44)</f>
        <v>447.178</v>
      </c>
      <c r="U45" s="14">
        <f>SUM(U39:U44)</f>
        <v>1.00000223625097</v>
      </c>
    </row>
    <row r="46" spans="1:48" ht="16" x14ac:dyDescent="0.2">
      <c r="A46" s="9" t="s">
        <v>91</v>
      </c>
      <c r="B46" s="70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 enableFormatConditionsCalculation="0"/>
  <dimension ref="A1:AV70"/>
  <sheetViews>
    <sheetView workbookViewId="0">
      <selection activeCell="B23" sqref="B23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66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117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9761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9878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59" t="s">
        <v>20</v>
      </c>
      <c r="B17" s="46">
        <v>59218</v>
      </c>
      <c r="C17" s="46">
        <v>0</v>
      </c>
      <c r="D17" s="46">
        <v>0</v>
      </c>
      <c r="E17" s="46">
        <v>0</v>
      </c>
      <c r="F17" s="46">
        <v>0</v>
      </c>
      <c r="G17" s="61">
        <v>76979</v>
      </c>
      <c r="H17" s="46">
        <v>0</v>
      </c>
      <c r="I17" s="46"/>
      <c r="J17" s="46"/>
      <c r="K17" s="46"/>
      <c r="L17" s="46"/>
      <c r="M17" s="46"/>
      <c r="N17" s="46"/>
      <c r="O17" s="61">
        <f>SUM(C17:N17)</f>
        <v>76979</v>
      </c>
      <c r="P17" s="3"/>
      <c r="Q17" s="3"/>
      <c r="R17" s="48"/>
      <c r="S17" s="48"/>
      <c r="T17" s="3"/>
      <c r="U17" s="3"/>
    </row>
    <row r="18" spans="1:21" ht="16" x14ac:dyDescent="0.2">
      <c r="A18" s="8" t="s">
        <v>21</v>
      </c>
      <c r="B18" s="61">
        <f>O18*0.85</f>
        <v>251.6</v>
      </c>
      <c r="C18" s="61">
        <v>59</v>
      </c>
      <c r="D18" s="46">
        <v>0</v>
      </c>
      <c r="E18" s="61">
        <v>237</v>
      </c>
      <c r="F18" s="46">
        <v>0</v>
      </c>
      <c r="G18" s="61">
        <v>0</v>
      </c>
      <c r="H18" s="46">
        <v>0</v>
      </c>
      <c r="I18" s="46"/>
      <c r="J18" s="61"/>
      <c r="K18" s="46"/>
      <c r="L18" s="61"/>
      <c r="M18" s="46"/>
      <c r="N18" s="46"/>
      <c r="O18" s="61">
        <f>SUM(C18:N18)</f>
        <v>296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f t="shared" ref="O19:O22" si="0">SUM(C19:N19)</f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f t="shared" si="0"/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f t="shared" si="0"/>
        <v>0</v>
      </c>
      <c r="P21" s="3"/>
      <c r="Q21" s="3"/>
      <c r="R21" s="3"/>
      <c r="S21" s="3" t="s">
        <v>26</v>
      </c>
      <c r="T21" s="12">
        <f>O42/1000</f>
        <v>376.85792000000004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f t="shared" si="0"/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1">
        <f>SUM(B17:B22)</f>
        <v>59469.599999999999</v>
      </c>
      <c r="C23" s="61">
        <f>C18</f>
        <v>59</v>
      </c>
      <c r="D23" s="46">
        <v>0</v>
      </c>
      <c r="E23" s="61">
        <f>E18</f>
        <v>237</v>
      </c>
      <c r="F23" s="46">
        <v>0</v>
      </c>
      <c r="G23" s="61">
        <f>SUM(G17:G22)</f>
        <v>76979</v>
      </c>
      <c r="H23" s="46">
        <v>0</v>
      </c>
      <c r="I23" s="46"/>
      <c r="J23" s="61"/>
      <c r="K23" s="46"/>
      <c r="L23" s="61"/>
      <c r="M23" s="46"/>
      <c r="N23" s="46"/>
      <c r="O23" s="61">
        <f>SUM(O17:O22)</f>
        <v>77275</v>
      </c>
      <c r="P23" s="67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157.71892000000003</v>
      </c>
      <c r="U24" s="14">
        <f>N43</f>
        <v>0.4185102969310025</v>
      </c>
    </row>
    <row r="25" spans="1:21" ht="16" x14ac:dyDescent="0.2">
      <c r="A25" s="2" t="s">
        <v>98</v>
      </c>
      <c r="B25" s="61">
        <v>18395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83.328000000000003</v>
      </c>
      <c r="U25" s="15">
        <f>G43</f>
        <v>0.22111250839573701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9.3450000000000006</v>
      </c>
      <c r="U27" s="14">
        <f>F43</f>
        <v>2.4797143708695304E-2</v>
      </c>
    </row>
    <row r="28" spans="1:21" ht="16" x14ac:dyDescent="0.2">
      <c r="A28" s="4" t="s">
        <v>66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0.23699999999999999</v>
      </c>
      <c r="U28" s="14">
        <f>E43</f>
        <v>6.2888422246771397E-4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2808</v>
      </c>
      <c r="D31" s="46">
        <v>0</v>
      </c>
      <c r="E31" s="46">
        <v>0</v>
      </c>
      <c r="F31" s="46">
        <v>258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5511</v>
      </c>
      <c r="O31" s="46">
        <v>8578</v>
      </c>
      <c r="P31" s="16">
        <f>O31/O$39</f>
        <v>2.3687625990666334E-2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61">
        <v>3818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10973</v>
      </c>
      <c r="O32" s="61">
        <f>SUM(B32:N32)</f>
        <v>14791</v>
      </c>
      <c r="P32" s="16">
        <f>O32/O$39</f>
        <v>4.084444812636346E-2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61">
        <v>15339</v>
      </c>
      <c r="C33" s="46">
        <v>99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13171</v>
      </c>
      <c r="O33" s="61">
        <f>SUM(B33:N33)</f>
        <v>28609</v>
      </c>
      <c r="P33" s="16">
        <f>O33/O$39</f>
        <v>7.900201585066137E-2</v>
      </c>
      <c r="Q33" s="17" t="s">
        <v>39</v>
      </c>
      <c r="R33" s="67"/>
      <c r="S33" s="3" t="s">
        <v>35</v>
      </c>
      <c r="T33" s="13">
        <f>C42/1000</f>
        <v>126.229</v>
      </c>
      <c r="U33" s="15">
        <f>C43</f>
        <v>0.33495116674209735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122498</v>
      </c>
      <c r="D34" s="46">
        <v>0</v>
      </c>
      <c r="E34" s="46">
        <v>0</v>
      </c>
      <c r="F34" s="46">
        <v>9087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9</v>
      </c>
      <c r="O34" s="65">
        <f t="shared" ref="O34:O38" si="1">SUM(B34:N34)</f>
        <v>131594</v>
      </c>
      <c r="P34" s="16">
        <f>O34/O$39</f>
        <v>0.3633888382625024</v>
      </c>
      <c r="Q34" s="17" t="s">
        <v>41</v>
      </c>
      <c r="R34" s="67"/>
      <c r="S34" s="3"/>
      <c r="T34" s="13">
        <f>SUM(T24:T33)</f>
        <v>376.85792000000004</v>
      </c>
      <c r="U34" s="14">
        <f>SUM(U24:U33)</f>
        <v>1</v>
      </c>
    </row>
    <row r="35" spans="1:48" ht="16" x14ac:dyDescent="0.2">
      <c r="A35" s="8" t="s">
        <v>42</v>
      </c>
      <c r="B35" s="61">
        <v>16543</v>
      </c>
      <c r="C35" s="46">
        <v>219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33042</v>
      </c>
      <c r="O35" s="61">
        <f t="shared" si="1"/>
        <v>49804</v>
      </c>
      <c r="P35" s="16">
        <f>O35/O$39</f>
        <v>0.13753072101179134</v>
      </c>
      <c r="Q35" s="17" t="s">
        <v>43</v>
      </c>
      <c r="R35" s="67"/>
    </row>
    <row r="36" spans="1:48" ht="16" x14ac:dyDescent="0.2">
      <c r="A36" s="8" t="s">
        <v>44</v>
      </c>
      <c r="B36" s="61">
        <v>17704</v>
      </c>
      <c r="C36" s="46">
        <v>489</v>
      </c>
      <c r="D36" s="46">
        <v>0</v>
      </c>
      <c r="E36" s="46">
        <v>0</v>
      </c>
      <c r="F36" s="46">
        <v>0</v>
      </c>
      <c r="G36" s="46">
        <v>6349</v>
      </c>
      <c r="H36" s="46">
        <v>0</v>
      </c>
      <c r="I36" s="46"/>
      <c r="J36" s="46"/>
      <c r="K36" s="46"/>
      <c r="L36" s="46"/>
      <c r="M36" s="45"/>
      <c r="N36" s="46">
        <v>82179</v>
      </c>
      <c r="O36" s="61">
        <f t="shared" si="1"/>
        <v>106721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1">
        <v>11786</v>
      </c>
      <c r="C37" s="46">
        <v>58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9672</v>
      </c>
      <c r="O37" s="61">
        <f t="shared" si="1"/>
        <v>21516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517</v>
      </c>
      <c r="O38" s="65">
        <f t="shared" si="1"/>
        <v>517</v>
      </c>
      <c r="P38" s="17">
        <f>SUM(P31:P35)</f>
        <v>0.64445364924198489</v>
      </c>
      <c r="Q38" s="17"/>
      <c r="R38" s="67"/>
      <c r="S38" s="7" t="s">
        <v>47</v>
      </c>
      <c r="T38" s="19">
        <f>O45/1000</f>
        <v>25.080520000000003</v>
      </c>
      <c r="U38" s="7"/>
    </row>
    <row r="39" spans="1:48" ht="16" x14ac:dyDescent="0.2">
      <c r="A39" s="8" t="s">
        <v>16</v>
      </c>
      <c r="B39" s="61">
        <v>65190</v>
      </c>
      <c r="C39" s="46">
        <v>126170</v>
      </c>
      <c r="D39" s="46">
        <v>0</v>
      </c>
      <c r="E39" s="46">
        <v>0</v>
      </c>
      <c r="F39" s="46">
        <v>9345</v>
      </c>
      <c r="G39" s="46">
        <v>6349</v>
      </c>
      <c r="H39" s="46">
        <v>0</v>
      </c>
      <c r="I39" s="46"/>
      <c r="J39" s="46"/>
      <c r="K39" s="46"/>
      <c r="L39" s="46"/>
      <c r="M39" s="45"/>
      <c r="N39" s="46">
        <v>155074</v>
      </c>
      <c r="O39" s="61">
        <f>SUM(O31:O38)</f>
        <v>362130</v>
      </c>
      <c r="P39" s="3"/>
      <c r="Q39" s="3"/>
      <c r="R39" s="67"/>
      <c r="S39" s="7" t="s">
        <v>48</v>
      </c>
      <c r="T39" s="20">
        <f>O41/1000</f>
        <v>128.75399999999999</v>
      </c>
      <c r="U39" s="14">
        <f>P41</f>
        <v>0.35554635075801505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49.804000000000002</v>
      </c>
      <c r="U40" s="15">
        <f>P35</f>
        <v>0.13753072101179134</v>
      </c>
    </row>
    <row r="41" spans="1:48" ht="16" x14ac:dyDescent="0.2">
      <c r="A41" s="21" t="s">
        <v>50</v>
      </c>
      <c r="B41" s="22">
        <f>B38+B37+B36</f>
        <v>29490</v>
      </c>
      <c r="C41" s="22">
        <f t="shared" ref="C41:O41" si="2">C38+C37+C36</f>
        <v>547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6349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92368</v>
      </c>
      <c r="O41" s="22">
        <f t="shared" si="2"/>
        <v>128754</v>
      </c>
      <c r="P41" s="16">
        <f>O41/O$39</f>
        <v>0.35554635075801505</v>
      </c>
      <c r="Q41" s="16" t="s">
        <v>51</v>
      </c>
      <c r="R41" s="7"/>
      <c r="S41" s="7" t="s">
        <v>52</v>
      </c>
      <c r="T41" s="20">
        <f>O33/1000</f>
        <v>28.609000000000002</v>
      </c>
      <c r="U41" s="14">
        <f>P33</f>
        <v>7.900201585066137E-2</v>
      </c>
    </row>
    <row r="42" spans="1:48" ht="16" x14ac:dyDescent="0.2">
      <c r="A42" s="23" t="s">
        <v>53</v>
      </c>
      <c r="B42" s="22"/>
      <c r="C42" s="24">
        <f>C39+C23+C10</f>
        <v>126229</v>
      </c>
      <c r="D42" s="24">
        <f t="shared" ref="D42:M42" si="3">D39+D23+D10</f>
        <v>0</v>
      </c>
      <c r="E42" s="24">
        <f t="shared" si="3"/>
        <v>237</v>
      </c>
      <c r="F42" s="24">
        <f t="shared" si="3"/>
        <v>9345</v>
      </c>
      <c r="G42" s="24">
        <f t="shared" si="3"/>
        <v>83328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>N39+N23-B6+N45</f>
        <v>157718.92000000001</v>
      </c>
      <c r="O42" s="25">
        <f>SUM(C42:N42)</f>
        <v>376857.92000000004</v>
      </c>
      <c r="P42" s="7"/>
      <c r="Q42" s="7"/>
      <c r="R42" s="7"/>
      <c r="S42" s="7" t="s">
        <v>34</v>
      </c>
      <c r="T42" s="20">
        <f>O31/1000</f>
        <v>8.5779999999999994</v>
      </c>
      <c r="U42" s="14">
        <f>P31</f>
        <v>2.3687625990666334E-2</v>
      </c>
    </row>
    <row r="43" spans="1:48" ht="16" x14ac:dyDescent="0.2">
      <c r="A43" s="23" t="s">
        <v>54</v>
      </c>
      <c r="B43" s="22"/>
      <c r="C43" s="16">
        <f t="shared" ref="C43:N43" si="4">C42/$O42</f>
        <v>0.33495116674209735</v>
      </c>
      <c r="D43" s="16">
        <f t="shared" si="4"/>
        <v>0</v>
      </c>
      <c r="E43" s="16">
        <f t="shared" si="4"/>
        <v>6.2888422246771397E-4</v>
      </c>
      <c r="F43" s="16">
        <f t="shared" si="4"/>
        <v>2.4797143708695304E-2</v>
      </c>
      <c r="G43" s="16">
        <f t="shared" si="4"/>
        <v>0.22111250839573701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0.4185102969310025</v>
      </c>
      <c r="O43" s="16">
        <f>SUM(C43:N43)</f>
        <v>0.99999999999999989</v>
      </c>
      <c r="P43" s="7"/>
      <c r="Q43" s="7"/>
      <c r="R43" s="7"/>
      <c r="S43" s="7" t="s">
        <v>55</v>
      </c>
      <c r="T43" s="20">
        <f>O32/1000</f>
        <v>14.791</v>
      </c>
      <c r="U43" s="15">
        <f>P32</f>
        <v>4.084444812636346E-2</v>
      </c>
    </row>
    <row r="44" spans="1:48" ht="16" x14ac:dyDescent="0.2">
      <c r="A44" s="6"/>
      <c r="B44" s="6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131.59399999999999</v>
      </c>
      <c r="U44" s="15">
        <f>P34</f>
        <v>0.3633888382625024</v>
      </c>
    </row>
    <row r="45" spans="1:48" ht="16" x14ac:dyDescent="0.2">
      <c r="A45" s="6" t="s">
        <v>57</v>
      </c>
      <c r="B45" s="26">
        <f>B23+B25-B39</f>
        <v>12674.600000000006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12405.92</v>
      </c>
      <c r="O45" s="25">
        <f>B45+N45</f>
        <v>25080.520000000004</v>
      </c>
      <c r="P45" s="7"/>
      <c r="Q45" s="7"/>
      <c r="R45" s="7"/>
      <c r="S45" s="7" t="s">
        <v>58</v>
      </c>
      <c r="T45" s="20">
        <f>SUM(T39:T44)</f>
        <v>362.13</v>
      </c>
      <c r="U45" s="14">
        <f>SUM(U39:U44)</f>
        <v>1</v>
      </c>
    </row>
    <row r="46" spans="1:48" ht="16" x14ac:dyDescent="0.2">
      <c r="A46" s="9" t="s">
        <v>91</v>
      </c>
      <c r="B46" s="71">
        <f>B45/B23</f>
        <v>0.21312737936693715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8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8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67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274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78692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51"/>
      <c r="V9" s="46"/>
      <c r="W9" s="46"/>
      <c r="X9" s="46"/>
      <c r="Y9" s="51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78966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51"/>
      <c r="V10" s="46"/>
      <c r="W10" s="46"/>
      <c r="X10" s="46"/>
      <c r="Y10" s="51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7657</v>
      </c>
      <c r="C18" s="62">
        <v>0</v>
      </c>
      <c r="D18" s="46">
        <v>0</v>
      </c>
      <c r="E18" s="61">
        <v>1353</v>
      </c>
      <c r="F18" s="46">
        <v>0</v>
      </c>
      <c r="G18" s="62">
        <v>7330</v>
      </c>
      <c r="H18" s="46">
        <v>0</v>
      </c>
      <c r="I18" s="46"/>
      <c r="J18" s="46"/>
      <c r="K18" s="46"/>
      <c r="L18" s="46"/>
      <c r="M18" s="46"/>
      <c r="N18" s="61">
        <v>126</v>
      </c>
      <c r="O18" s="62">
        <f>SUM(C18:N18)</f>
        <v>8809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365.04671999999999</v>
      </c>
      <c r="U21" s="3"/>
    </row>
    <row r="22" spans="1:21" ht="16" x14ac:dyDescent="0.2">
      <c r="A22" s="8" t="s">
        <v>25</v>
      </c>
      <c r="B22" s="51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1">
        <f>SUM(B17:B22)</f>
        <v>7657</v>
      </c>
      <c r="C23" s="46">
        <f t="shared" ref="C23:O23" si="0">SUM(C17:C22)</f>
        <v>0</v>
      </c>
      <c r="D23" s="46">
        <f t="shared" si="0"/>
        <v>0</v>
      </c>
      <c r="E23" s="61">
        <f t="shared" si="0"/>
        <v>1353</v>
      </c>
      <c r="F23" s="46">
        <f t="shared" si="0"/>
        <v>0</v>
      </c>
      <c r="G23" s="61">
        <f t="shared" si="0"/>
        <v>7330</v>
      </c>
      <c r="H23" s="46">
        <f t="shared" si="0"/>
        <v>0</v>
      </c>
      <c r="I23" s="46"/>
      <c r="J23" s="46"/>
      <c r="K23" s="46"/>
      <c r="L23" s="46"/>
      <c r="M23" s="46"/>
      <c r="N23" s="61">
        <f t="shared" si="0"/>
        <v>126</v>
      </c>
      <c r="O23" s="61">
        <f t="shared" si="0"/>
        <v>8809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177.47172</v>
      </c>
      <c r="U24" s="14">
        <f>N43</f>
        <v>0.48616166171825903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17.044</v>
      </c>
      <c r="U25" s="15">
        <f>G43</f>
        <v>4.6689914101953861E-2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11.132999999999999</v>
      </c>
      <c r="U27" s="14">
        <f>F43</f>
        <v>3.0497466187341723E-2</v>
      </c>
    </row>
    <row r="28" spans="1:21" ht="16" x14ac:dyDescent="0.2">
      <c r="A28" s="4" t="s">
        <v>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12.353</v>
      </c>
      <c r="U28" s="14">
        <f>E43</f>
        <v>3.3839504159905893E-2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10762</v>
      </c>
      <c r="D31" s="46">
        <v>0</v>
      </c>
      <c r="E31" s="46">
        <v>0</v>
      </c>
      <c r="F31" s="46">
        <v>1060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7762</v>
      </c>
      <c r="O31" s="46">
        <v>19585</v>
      </c>
      <c r="P31" s="16">
        <f>O31/O$39</f>
        <v>5.5884493016221767E-2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0</v>
      </c>
      <c r="C32" s="46">
        <v>478</v>
      </c>
      <c r="D32" s="46">
        <v>0</v>
      </c>
      <c r="E32" s="85">
        <v>11000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89">
        <f>N39-N38-N37-N36-N35-N34-N33-N31</f>
        <v>27480</v>
      </c>
      <c r="O32" s="46">
        <v>38958</v>
      </c>
      <c r="P32" s="16">
        <f>O32/O$39</f>
        <v>0.11116405815297256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795</v>
      </c>
      <c r="C33" s="46">
        <v>1098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12385</v>
      </c>
      <c r="O33" s="46">
        <v>14278</v>
      </c>
      <c r="P33" s="16">
        <f>O33/O$39</f>
        <v>4.0741321995691318E-2</v>
      </c>
      <c r="Q33" s="17" t="s">
        <v>39</v>
      </c>
      <c r="R33" s="67"/>
      <c r="S33" s="3" t="s">
        <v>35</v>
      </c>
      <c r="T33" s="13">
        <f>C42/1000</f>
        <v>147.04499999999999</v>
      </c>
      <c r="U33" s="15">
        <f>C43</f>
        <v>0.40281145383253958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132941</v>
      </c>
      <c r="D34" s="46">
        <v>0</v>
      </c>
      <c r="E34" s="46">
        <v>0</v>
      </c>
      <c r="F34" s="46">
        <v>10072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55</v>
      </c>
      <c r="O34" s="46">
        <v>143068</v>
      </c>
      <c r="P34" s="16">
        <f>O34/O$39</f>
        <v>0.40823500877430768</v>
      </c>
      <c r="Q34" s="17" t="s">
        <v>41</v>
      </c>
      <c r="R34" s="67"/>
      <c r="S34" s="3"/>
      <c r="T34" s="13">
        <f>SUM(T24:T33)</f>
        <v>365.04672000000005</v>
      </c>
      <c r="U34" s="14">
        <f>SUM(U24:U33)</f>
        <v>1</v>
      </c>
    </row>
    <row r="35" spans="1:48" ht="16" x14ac:dyDescent="0.2">
      <c r="A35" s="8" t="s">
        <v>42</v>
      </c>
      <c r="B35" s="46">
        <v>4993</v>
      </c>
      <c r="C35" s="46">
        <v>1090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38511</v>
      </c>
      <c r="O35" s="46">
        <v>44593</v>
      </c>
      <c r="P35" s="16">
        <f>O35/O$39</f>
        <v>0.12724315532664679</v>
      </c>
      <c r="Q35" s="17" t="s">
        <v>43</v>
      </c>
      <c r="R35" s="67"/>
    </row>
    <row r="36" spans="1:48" ht="16" x14ac:dyDescent="0.2">
      <c r="A36" s="8" t="s">
        <v>44</v>
      </c>
      <c r="B36" s="46">
        <v>1250</v>
      </c>
      <c r="C36" s="46">
        <v>504</v>
      </c>
      <c r="D36" s="46">
        <v>0</v>
      </c>
      <c r="E36" s="46">
        <v>0</v>
      </c>
      <c r="F36" s="46">
        <v>0</v>
      </c>
      <c r="G36" s="46">
        <v>9714</v>
      </c>
      <c r="H36" s="46">
        <v>0</v>
      </c>
      <c r="I36" s="46"/>
      <c r="J36" s="46"/>
      <c r="K36" s="46"/>
      <c r="L36" s="46"/>
      <c r="M36" s="45"/>
      <c r="N36" s="46">
        <v>71039</v>
      </c>
      <c r="O36" s="46">
        <v>82508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317</v>
      </c>
      <c r="C37" s="46">
        <v>172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5243</v>
      </c>
      <c r="O37" s="46">
        <v>5731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1734</v>
      </c>
      <c r="O38" s="46">
        <v>1734</v>
      </c>
      <c r="P38" s="17">
        <f>SUM(P31:P35)</f>
        <v>0.74326803726584012</v>
      </c>
      <c r="Q38" s="17"/>
      <c r="R38" s="67"/>
      <c r="S38" s="7" t="s">
        <v>47</v>
      </c>
      <c r="T38" s="19">
        <f>O45/1000</f>
        <v>13.439720000000001</v>
      </c>
      <c r="U38" s="7"/>
    </row>
    <row r="39" spans="1:48" ht="16" x14ac:dyDescent="0.2">
      <c r="A39" s="8" t="s">
        <v>16</v>
      </c>
      <c r="B39" s="46">
        <v>7354</v>
      </c>
      <c r="C39" s="46">
        <v>147045</v>
      </c>
      <c r="D39" s="46">
        <v>0</v>
      </c>
      <c r="E39" s="85">
        <f>E32</f>
        <v>11000</v>
      </c>
      <c r="F39" s="46">
        <v>11133</v>
      </c>
      <c r="G39" s="46">
        <v>9714</v>
      </c>
      <c r="H39" s="46">
        <v>0</v>
      </c>
      <c r="I39" s="46"/>
      <c r="J39" s="46"/>
      <c r="K39" s="46"/>
      <c r="L39" s="46"/>
      <c r="M39" s="45"/>
      <c r="N39" s="89">
        <f>O39-G39-F39-E39-C39-B39</f>
        <v>164209</v>
      </c>
      <c r="O39" s="46">
        <v>350455</v>
      </c>
      <c r="P39" s="3"/>
      <c r="Q39" s="3"/>
      <c r="R39" s="67"/>
      <c r="S39" s="7" t="s">
        <v>48</v>
      </c>
      <c r="T39" s="20">
        <f>O41/1000</f>
        <v>89.972999999999999</v>
      </c>
      <c r="U39" s="14">
        <f>P41</f>
        <v>0.25673196273415988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44.593000000000004</v>
      </c>
      <c r="U40" s="15">
        <f>P35</f>
        <v>0.12724315532664679</v>
      </c>
    </row>
    <row r="41" spans="1:48" ht="16" x14ac:dyDescent="0.2">
      <c r="A41" s="21" t="s">
        <v>50</v>
      </c>
      <c r="B41" s="22">
        <f>B38+B37+B36</f>
        <v>1567</v>
      </c>
      <c r="C41" s="22">
        <f t="shared" ref="C41:O41" si="1">C38+C37+C36</f>
        <v>676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9714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78016</v>
      </c>
      <c r="O41" s="22">
        <f t="shared" si="1"/>
        <v>89973</v>
      </c>
      <c r="P41" s="16">
        <f>O41/O$39</f>
        <v>0.25673196273415988</v>
      </c>
      <c r="Q41" s="16" t="s">
        <v>51</v>
      </c>
      <c r="R41" s="7"/>
      <c r="S41" s="7" t="s">
        <v>52</v>
      </c>
      <c r="T41" s="20">
        <f>O33/1000</f>
        <v>14.278</v>
      </c>
      <c r="U41" s="14">
        <f>P33</f>
        <v>4.0741321995691318E-2</v>
      </c>
    </row>
    <row r="42" spans="1:48" ht="16" x14ac:dyDescent="0.2">
      <c r="A42" s="23" t="s">
        <v>53</v>
      </c>
      <c r="B42" s="22"/>
      <c r="C42" s="24">
        <f>C39+C23+C10</f>
        <v>147045</v>
      </c>
      <c r="D42" s="24">
        <f t="shared" ref="D42:M42" si="2">D39+D23+D10</f>
        <v>0</v>
      </c>
      <c r="E42" s="24">
        <f t="shared" si="2"/>
        <v>12353</v>
      </c>
      <c r="F42" s="24">
        <f t="shared" si="2"/>
        <v>11133</v>
      </c>
      <c r="G42" s="24">
        <f t="shared" si="2"/>
        <v>17044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177471.72</v>
      </c>
      <c r="O42" s="25">
        <f>SUM(C42:N42)</f>
        <v>365046.72</v>
      </c>
      <c r="P42" s="7"/>
      <c r="Q42" s="7"/>
      <c r="R42" s="7"/>
      <c r="S42" s="7" t="s">
        <v>34</v>
      </c>
      <c r="T42" s="20">
        <f>O31/1000</f>
        <v>19.585000000000001</v>
      </c>
      <c r="U42" s="14">
        <f>P31</f>
        <v>5.5884493016221767E-2</v>
      </c>
    </row>
    <row r="43" spans="1:48" ht="16" x14ac:dyDescent="0.2">
      <c r="A43" s="23" t="s">
        <v>54</v>
      </c>
      <c r="B43" s="22"/>
      <c r="C43" s="16">
        <f t="shared" ref="C43:N43" si="3">C42/$O42</f>
        <v>0.40281145383253958</v>
      </c>
      <c r="D43" s="16">
        <f t="shared" si="3"/>
        <v>0</v>
      </c>
      <c r="E43" s="16">
        <f t="shared" si="3"/>
        <v>3.3839504159905893E-2</v>
      </c>
      <c r="F43" s="16">
        <f t="shared" si="3"/>
        <v>3.0497466187341723E-2</v>
      </c>
      <c r="G43" s="16">
        <f t="shared" si="3"/>
        <v>4.6689914101953861E-2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0.48616166171825903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38.957999999999998</v>
      </c>
      <c r="U43" s="15">
        <f>P32</f>
        <v>0.11116405815297256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143.06800000000001</v>
      </c>
      <c r="U44" s="15">
        <f>P34</f>
        <v>0.40823500877430768</v>
      </c>
    </row>
    <row r="45" spans="1:48" ht="16" x14ac:dyDescent="0.2">
      <c r="A45" s="6" t="s">
        <v>57</v>
      </c>
      <c r="B45" s="26">
        <f>B23-B39</f>
        <v>303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13136.720000000001</v>
      </c>
      <c r="O45" s="25">
        <f>B45+N45</f>
        <v>13439.720000000001</v>
      </c>
      <c r="P45" s="7"/>
      <c r="Q45" s="7"/>
      <c r="R45" s="7"/>
      <c r="S45" s="7" t="s">
        <v>58</v>
      </c>
      <c r="T45" s="20">
        <f>SUM(T39:T44)</f>
        <v>350.45500000000004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3.9571633799138042E-2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9" width="8.6640625" style="2"/>
    <col min="10" max="10" width="10.1640625" style="2" bestFit="1" customWidth="1"/>
    <col min="11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68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188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3184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2">
        <f>SUM(B4:B9)</f>
        <v>3372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29949</v>
      </c>
      <c r="C18" s="46">
        <v>199</v>
      </c>
      <c r="D18" s="46">
        <v>0</v>
      </c>
      <c r="E18" s="46">
        <v>0</v>
      </c>
      <c r="F18" s="46">
        <v>0</v>
      </c>
      <c r="G18" s="46">
        <v>32736</v>
      </c>
      <c r="H18" s="46">
        <v>0</v>
      </c>
      <c r="I18" s="46"/>
      <c r="J18" s="46"/>
      <c r="K18" s="46"/>
      <c r="L18" s="46"/>
      <c r="M18" s="46"/>
      <c r="N18" s="46"/>
      <c r="O18" s="46">
        <v>32935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376.04816000000005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29949</v>
      </c>
      <c r="C23" s="46">
        <v>199</v>
      </c>
      <c r="D23" s="46">
        <v>0</v>
      </c>
      <c r="E23" s="46">
        <v>0</v>
      </c>
      <c r="F23" s="46">
        <v>0</v>
      </c>
      <c r="G23" s="46">
        <v>32736</v>
      </c>
      <c r="H23" s="46">
        <v>0</v>
      </c>
      <c r="I23" s="46"/>
      <c r="J23" s="46"/>
      <c r="K23" s="46"/>
      <c r="L23" s="46"/>
      <c r="M23" s="46"/>
      <c r="N23" s="46"/>
      <c r="O23" s="46">
        <v>32935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141.94116</v>
      </c>
      <c r="U24" s="14">
        <f>N43</f>
        <v>0.37745473877601204</v>
      </c>
    </row>
    <row r="25" spans="1:21" ht="16" x14ac:dyDescent="0.2">
      <c r="B25" s="6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53.109000000000002</v>
      </c>
      <c r="U25" s="15">
        <f>G43</f>
        <v>0.14122925106188525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11.923</v>
      </c>
      <c r="U27" s="14">
        <f>F43</f>
        <v>3.1706045310792103E-2</v>
      </c>
    </row>
    <row r="28" spans="1:21" ht="15.75" x14ac:dyDescent="0.25">
      <c r="A28" s="4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12668</v>
      </c>
      <c r="D31" s="46">
        <v>0</v>
      </c>
      <c r="E31" s="46">
        <v>0</v>
      </c>
      <c r="F31" s="46">
        <v>1287</v>
      </c>
      <c r="G31" s="46">
        <v>0</v>
      </c>
      <c r="H31" s="46">
        <v>0</v>
      </c>
      <c r="I31" s="46"/>
      <c r="J31" s="46"/>
      <c r="K31" s="46"/>
      <c r="L31" s="46"/>
      <c r="M31" s="45"/>
      <c r="N31" s="60">
        <v>12755</v>
      </c>
      <c r="O31" s="60">
        <f>SUM(B31:N31)</f>
        <v>26710</v>
      </c>
      <c r="P31" s="16">
        <f>O31/O$39</f>
        <v>7.4297842274943737E-2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78">
        <v>530</v>
      </c>
      <c r="C32" s="46">
        <v>6873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60">
        <v>14756</v>
      </c>
      <c r="O32" s="74">
        <f t="shared" ref="O32:O33" si="0">SUM(B32:N32)</f>
        <v>22159</v>
      </c>
      <c r="P32" s="16">
        <f>O32/O$39</f>
        <v>6.1638558104473169E-2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77">
        <f>11000-B32</f>
        <v>10470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v>10405</v>
      </c>
      <c r="O33" s="74">
        <f t="shared" si="0"/>
        <v>20875</v>
      </c>
      <c r="P33" s="16">
        <f>O33/O$39</f>
        <v>5.8066920909376658E-2</v>
      </c>
      <c r="Q33" s="17" t="s">
        <v>39</v>
      </c>
      <c r="R33" s="67"/>
      <c r="S33" s="3" t="s">
        <v>35</v>
      </c>
      <c r="T33" s="13">
        <f>C42/1000</f>
        <v>169.07499999999999</v>
      </c>
      <c r="U33" s="15">
        <f>C43</f>
        <v>0.4496099648513105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142859</v>
      </c>
      <c r="D34" s="46">
        <v>0</v>
      </c>
      <c r="E34" s="46">
        <v>0</v>
      </c>
      <c r="F34" s="46">
        <v>10636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99</v>
      </c>
      <c r="O34" s="46">
        <v>153593</v>
      </c>
      <c r="P34" s="16">
        <f>O34/O$39</f>
        <v>0.42724180039443782</v>
      </c>
      <c r="Q34" s="17" t="s">
        <v>41</v>
      </c>
      <c r="R34" s="67"/>
      <c r="S34" s="3"/>
      <c r="T34" s="13">
        <f>SUM(T24:T33)</f>
        <v>376.04816</v>
      </c>
      <c r="U34" s="14">
        <f>SUM(U24:U33)</f>
        <v>1</v>
      </c>
    </row>
    <row r="35" spans="1:48" ht="16" x14ac:dyDescent="0.2">
      <c r="A35" s="8" t="s">
        <v>42</v>
      </c>
      <c r="B35" s="61">
        <v>1800</v>
      </c>
      <c r="C35" s="46">
        <v>6034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60">
        <v>18714</v>
      </c>
      <c r="O35" s="74">
        <f>SUM(B35:N35)</f>
        <v>26548</v>
      </c>
      <c r="P35" s="16">
        <f>O35/O$39</f>
        <v>7.3847215152197915E-2</v>
      </c>
      <c r="Q35" s="17" t="s">
        <v>43</v>
      </c>
      <c r="R35" s="67"/>
    </row>
    <row r="36" spans="1:48" ht="16" x14ac:dyDescent="0.2">
      <c r="A36" s="8" t="s">
        <v>44</v>
      </c>
      <c r="B36" s="61">
        <v>1100</v>
      </c>
      <c r="C36" s="46">
        <v>314</v>
      </c>
      <c r="D36" s="46">
        <v>0</v>
      </c>
      <c r="E36" s="46">
        <v>0</v>
      </c>
      <c r="F36" s="46">
        <v>0</v>
      </c>
      <c r="G36" s="46">
        <v>20373</v>
      </c>
      <c r="H36" s="46">
        <v>0</v>
      </c>
      <c r="I36" s="46"/>
      <c r="J36" s="46"/>
      <c r="K36" s="46"/>
      <c r="L36" s="46"/>
      <c r="M36" s="45"/>
      <c r="N36" s="60">
        <v>64082</v>
      </c>
      <c r="O36" s="74">
        <f t="shared" ref="O36:O37" si="1">SUM(B36:N36)</f>
        <v>85869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9">
        <v>13000</v>
      </c>
      <c r="C37" s="46">
        <v>129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60">
        <v>6090</v>
      </c>
      <c r="O37" s="98">
        <f t="shared" si="1"/>
        <v>19219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4526</v>
      </c>
      <c r="O38" s="46">
        <v>4526</v>
      </c>
      <c r="P38" s="17">
        <f>SUM(P31:P35)</f>
        <v>0.69509233683542926</v>
      </c>
      <c r="Q38" s="17"/>
      <c r="R38" s="67"/>
      <c r="S38" s="7" t="s">
        <v>47</v>
      </c>
      <c r="T38" s="19">
        <f>O45/1000</f>
        <v>13.56316</v>
      </c>
      <c r="U38" s="7"/>
    </row>
    <row r="39" spans="1:48" ht="16" x14ac:dyDescent="0.2">
      <c r="A39" s="8" t="s">
        <v>16</v>
      </c>
      <c r="B39" s="61">
        <f>SUM(B31:B38)</f>
        <v>26900</v>
      </c>
      <c r="C39" s="46">
        <v>168876</v>
      </c>
      <c r="D39" s="46">
        <v>0</v>
      </c>
      <c r="E39" s="46">
        <v>0</v>
      </c>
      <c r="F39" s="46">
        <v>11923</v>
      </c>
      <c r="G39" s="46">
        <v>20373</v>
      </c>
      <c r="H39" s="46">
        <v>0</v>
      </c>
      <c r="I39" s="46"/>
      <c r="J39" s="46"/>
      <c r="K39" s="46"/>
      <c r="L39" s="46"/>
      <c r="M39" s="45"/>
      <c r="N39" s="46">
        <v>131427</v>
      </c>
      <c r="O39" s="77">
        <f>SUM(O31:O38)</f>
        <v>359499</v>
      </c>
      <c r="P39" s="3"/>
      <c r="Q39" s="3"/>
      <c r="R39" s="67"/>
      <c r="S39" s="7" t="s">
        <v>48</v>
      </c>
      <c r="T39" s="20">
        <f>O41/1000</f>
        <v>109.614</v>
      </c>
      <c r="U39" s="14">
        <f>P41</f>
        <v>0.30490766316457069</v>
      </c>
    </row>
    <row r="40" spans="1:48" ht="16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R40" s="67"/>
      <c r="S40" s="7" t="s">
        <v>49</v>
      </c>
      <c r="T40" s="20">
        <f>O35/1000</f>
        <v>26.547999999999998</v>
      </c>
      <c r="U40" s="15">
        <f>P35</f>
        <v>7.3847215152197915E-2</v>
      </c>
    </row>
    <row r="41" spans="1:48" ht="16" x14ac:dyDescent="0.2">
      <c r="A41" s="21" t="s">
        <v>50</v>
      </c>
      <c r="B41" s="22">
        <f>B38+B37+B36</f>
        <v>14100</v>
      </c>
      <c r="C41" s="22">
        <f t="shared" ref="C41:O41" si="2">C38+C37+C36</f>
        <v>443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20373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74698</v>
      </c>
      <c r="O41" s="22">
        <f t="shared" si="2"/>
        <v>109614</v>
      </c>
      <c r="P41" s="16">
        <f>O41/O$39</f>
        <v>0.30490766316457069</v>
      </c>
      <c r="Q41" s="16" t="s">
        <v>51</v>
      </c>
      <c r="R41" s="7"/>
      <c r="S41" s="7" t="s">
        <v>52</v>
      </c>
      <c r="T41" s="20">
        <f>O33/1000</f>
        <v>20.875</v>
      </c>
      <c r="U41" s="14">
        <f>P33</f>
        <v>5.8066920909376658E-2</v>
      </c>
    </row>
    <row r="42" spans="1:48" ht="16" x14ac:dyDescent="0.2">
      <c r="A42" s="23" t="s">
        <v>53</v>
      </c>
      <c r="B42" s="22"/>
      <c r="C42" s="24">
        <f>C39+C23+C10</f>
        <v>169075</v>
      </c>
      <c r="D42" s="24">
        <f t="shared" ref="D42:M42" si="3">D39+D23+D10</f>
        <v>0</v>
      </c>
      <c r="E42" s="24">
        <f t="shared" si="3"/>
        <v>0</v>
      </c>
      <c r="F42" s="24">
        <f t="shared" si="3"/>
        <v>11923</v>
      </c>
      <c r="G42" s="24">
        <f t="shared" si="3"/>
        <v>53109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>N39+N23-B6+N45</f>
        <v>141941.16</v>
      </c>
      <c r="O42" s="25">
        <f>SUM(C42:N42)</f>
        <v>376048.16000000003</v>
      </c>
      <c r="P42" s="7"/>
      <c r="Q42" s="7"/>
      <c r="R42" s="7"/>
      <c r="S42" s="7" t="s">
        <v>34</v>
      </c>
      <c r="T42" s="20">
        <f>O31/1000</f>
        <v>26.71</v>
      </c>
      <c r="U42" s="14">
        <f>P31</f>
        <v>7.4297842274943737E-2</v>
      </c>
    </row>
    <row r="43" spans="1:48" ht="16" x14ac:dyDescent="0.2">
      <c r="A43" s="23" t="s">
        <v>54</v>
      </c>
      <c r="B43" s="22"/>
      <c r="C43" s="16">
        <f t="shared" ref="C43:N43" si="4">C42/$O42</f>
        <v>0.4496099648513105</v>
      </c>
      <c r="D43" s="16">
        <f t="shared" si="4"/>
        <v>0</v>
      </c>
      <c r="E43" s="16">
        <f t="shared" si="4"/>
        <v>0</v>
      </c>
      <c r="F43" s="16">
        <f t="shared" si="4"/>
        <v>3.1706045310792103E-2</v>
      </c>
      <c r="G43" s="16">
        <f t="shared" si="4"/>
        <v>0.14122925106188525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0.37745473877601204</v>
      </c>
      <c r="O43" s="16">
        <f>SUM(C43:N43)</f>
        <v>0.99999999999999978</v>
      </c>
      <c r="P43" s="7"/>
      <c r="Q43" s="7"/>
      <c r="R43" s="7"/>
      <c r="S43" s="7" t="s">
        <v>55</v>
      </c>
      <c r="T43" s="20">
        <f>O32/1000</f>
        <v>22.158999999999999</v>
      </c>
      <c r="U43" s="15">
        <f>P32</f>
        <v>6.1638558104473169E-2</v>
      </c>
    </row>
    <row r="44" spans="1:48" ht="16" x14ac:dyDescent="0.2">
      <c r="A44" s="6"/>
      <c r="B44" s="6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153.59299999999999</v>
      </c>
      <c r="U44" s="15">
        <f>P34</f>
        <v>0.42724180039443782</v>
      </c>
    </row>
    <row r="45" spans="1:48" ht="16" x14ac:dyDescent="0.2">
      <c r="A45" s="6" t="s">
        <v>57</v>
      </c>
      <c r="B45" s="26">
        <f>B23-B39</f>
        <v>3049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10514.16</v>
      </c>
      <c r="O45" s="25">
        <f>B45+N45</f>
        <v>13563.16</v>
      </c>
      <c r="P45" s="7"/>
      <c r="Q45" s="7"/>
      <c r="R45" s="7"/>
      <c r="S45" s="7" t="s">
        <v>58</v>
      </c>
      <c r="T45" s="20">
        <f>SUM(T39:T44)</f>
        <v>359.49900000000002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0.1018064042205082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7"/>
      <c r="H48" s="1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AV70"/>
  <sheetViews>
    <sheetView workbookViewId="0">
      <selection activeCell="C42" sqref="C42:O42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69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325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65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61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17133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2">
        <f>SUM(B4:B9)</f>
        <v>17458</v>
      </c>
      <c r="C10" s="65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61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1">
        <v>29200</v>
      </c>
      <c r="C18" s="61">
        <v>500</v>
      </c>
      <c r="D18" s="46">
        <v>0</v>
      </c>
      <c r="E18" s="46">
        <v>0</v>
      </c>
      <c r="F18" s="46">
        <v>0</v>
      </c>
      <c r="G18" s="61">
        <v>29900</v>
      </c>
      <c r="H18" s="46">
        <v>0</v>
      </c>
      <c r="I18" s="46"/>
      <c r="J18" s="46"/>
      <c r="K18" s="46"/>
      <c r="L18" s="46"/>
      <c r="M18" s="46"/>
      <c r="N18" s="46"/>
      <c r="O18" s="61">
        <f>SUM(C18:N18)</f>
        <v>30400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366.87124</v>
      </c>
      <c r="U21" s="3"/>
    </row>
    <row r="22" spans="1:21" ht="16" x14ac:dyDescent="0.2">
      <c r="A22" s="8" t="s">
        <v>25</v>
      </c>
      <c r="B22" s="61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1">
        <f>SUM(B17:B22)</f>
        <v>29200</v>
      </c>
      <c r="C23" s="61">
        <f t="shared" ref="C23:H23" si="0">SUM(C17:C22)</f>
        <v>500</v>
      </c>
      <c r="D23" s="65">
        <f t="shared" si="0"/>
        <v>0</v>
      </c>
      <c r="E23" s="65">
        <f t="shared" si="0"/>
        <v>0</v>
      </c>
      <c r="F23" s="65">
        <f t="shared" si="0"/>
        <v>0</v>
      </c>
      <c r="G23" s="61">
        <f t="shared" si="0"/>
        <v>29900</v>
      </c>
      <c r="H23" s="65">
        <f t="shared" si="0"/>
        <v>0</v>
      </c>
      <c r="I23" s="46"/>
      <c r="J23" s="46"/>
      <c r="K23" s="46"/>
      <c r="L23" s="46"/>
      <c r="M23" s="46"/>
      <c r="N23" s="46"/>
      <c r="O23" s="61">
        <f>SUM(O18:O22)</f>
        <v>30400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185.00724</v>
      </c>
      <c r="U24" s="14">
        <f>N43</f>
        <v>0.50428384628895961</v>
      </c>
    </row>
    <row r="25" spans="1:21" ht="16" x14ac:dyDescent="0.2">
      <c r="B25" s="6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48.353000000000002</v>
      </c>
      <c r="U25" s="15">
        <f>G43</f>
        <v>0.13179828432449489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9.359</v>
      </c>
      <c r="U27" s="14">
        <f>F43</f>
        <v>2.551031255543498E-2</v>
      </c>
    </row>
    <row r="28" spans="1:21" ht="16" x14ac:dyDescent="0.2">
      <c r="A28" s="4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26611</v>
      </c>
      <c r="D31" s="46">
        <v>0</v>
      </c>
      <c r="E31" s="46">
        <v>0</v>
      </c>
      <c r="F31" s="46">
        <v>2703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34315</v>
      </c>
      <c r="O31" s="75">
        <f>SUM(B31:N31)</f>
        <v>63629</v>
      </c>
      <c r="P31" s="16">
        <f>O31/O$39</f>
        <v>0.18343971447187099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74">
        <v>613</v>
      </c>
      <c r="C32" s="60">
        <v>1169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11628</v>
      </c>
      <c r="O32" s="75">
        <f>SUM(B32:N32)</f>
        <v>13410</v>
      </c>
      <c r="P32" s="16">
        <f>O32/O$39</f>
        <v>3.8660462541730813E-2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74">
        <f>7700-613</f>
        <v>7087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v>15876</v>
      </c>
      <c r="O33" s="46">
        <f>SUM(B33:N33)</f>
        <v>22963</v>
      </c>
      <c r="P33" s="16">
        <f>O33/O$39</f>
        <v>6.6201357296477609E-2</v>
      </c>
      <c r="Q33" s="17" t="s">
        <v>39</v>
      </c>
      <c r="R33" s="67"/>
      <c r="S33" s="3" t="s">
        <v>35</v>
      </c>
      <c r="T33" s="13">
        <f>C42/1000</f>
        <v>124.152</v>
      </c>
      <c r="U33" s="15">
        <f>C43</f>
        <v>0.33840755683111057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90004</v>
      </c>
      <c r="D34" s="46">
        <v>0</v>
      </c>
      <c r="E34" s="46">
        <v>0</v>
      </c>
      <c r="F34" s="46">
        <v>6656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3</v>
      </c>
      <c r="O34" s="46">
        <v>96662</v>
      </c>
      <c r="P34" s="16">
        <f>O34/O$39</f>
        <v>0.27867245564569604</v>
      </c>
      <c r="Q34" s="17" t="s">
        <v>41</v>
      </c>
      <c r="R34" s="67"/>
      <c r="S34" s="3"/>
      <c r="T34" s="13">
        <f>SUM(T24:T33)</f>
        <v>366.87124</v>
      </c>
      <c r="U34" s="14">
        <f>SUM(U24:U33)</f>
        <v>1</v>
      </c>
    </row>
    <row r="35" spans="1:48" ht="16" x14ac:dyDescent="0.2">
      <c r="A35" s="8" t="s">
        <v>42</v>
      </c>
      <c r="B35" s="62">
        <v>600</v>
      </c>
      <c r="C35" s="46">
        <v>5002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20323</v>
      </c>
      <c r="O35" s="60">
        <f>SUM(B35:N35)</f>
        <v>25925</v>
      </c>
      <c r="P35" s="16">
        <f>O35/O$39</f>
        <v>7.4740677956328952E-2</v>
      </c>
      <c r="Q35" s="17" t="s">
        <v>43</v>
      </c>
      <c r="R35" s="67"/>
    </row>
    <row r="36" spans="1:48" ht="16" x14ac:dyDescent="0.2">
      <c r="A36" s="8" t="s">
        <v>44</v>
      </c>
      <c r="B36" s="66">
        <v>4100</v>
      </c>
      <c r="C36" s="60">
        <v>701</v>
      </c>
      <c r="D36" s="46">
        <v>0</v>
      </c>
      <c r="E36" s="46">
        <v>0</v>
      </c>
      <c r="F36" s="46">
        <v>0</v>
      </c>
      <c r="G36" s="46">
        <v>18453</v>
      </c>
      <c r="H36" s="46">
        <v>0</v>
      </c>
      <c r="I36" s="46"/>
      <c r="J36" s="46"/>
      <c r="K36" s="46"/>
      <c r="L36" s="46"/>
      <c r="M36" s="45"/>
      <c r="N36" s="46">
        <v>69448</v>
      </c>
      <c r="O36" s="68">
        <f>SUM(B36:N36)</f>
        <v>92702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4">
        <v>11700</v>
      </c>
      <c r="C37" s="46">
        <v>165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5071</v>
      </c>
      <c r="O37" s="60">
        <f>SUM(B37:N37)</f>
        <v>16936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60">
        <f>N39-(N37+N36+N35+N34+N33+N32+N31)</f>
        <v>14639</v>
      </c>
      <c r="O38" s="51">
        <f>SUM(B38:N38)</f>
        <v>14639</v>
      </c>
      <c r="P38" s="17">
        <f>SUM(P31:P35)</f>
        <v>0.64171466791210452</v>
      </c>
      <c r="Q38" s="17"/>
      <c r="R38" s="67"/>
      <c r="S38" s="7" t="s">
        <v>47</v>
      </c>
      <c r="T38" s="19">
        <f>O45/1000</f>
        <v>18.804239999999997</v>
      </c>
      <c r="U38" s="7"/>
    </row>
    <row r="39" spans="1:48" ht="16" x14ac:dyDescent="0.2">
      <c r="A39" s="8" t="s">
        <v>16</v>
      </c>
      <c r="B39" s="61">
        <v>24100</v>
      </c>
      <c r="C39" s="46">
        <v>123652</v>
      </c>
      <c r="D39" s="46">
        <v>0</v>
      </c>
      <c r="E39" s="46">
        <v>0</v>
      </c>
      <c r="F39" s="46">
        <v>9359</v>
      </c>
      <c r="G39" s="46">
        <v>18453</v>
      </c>
      <c r="H39" s="46">
        <v>0</v>
      </c>
      <c r="I39" s="46"/>
      <c r="J39" s="46"/>
      <c r="K39" s="46"/>
      <c r="L39" s="46"/>
      <c r="M39" s="45"/>
      <c r="N39" s="46">
        <v>171303</v>
      </c>
      <c r="O39" s="46">
        <f>SUM(O31:O38)</f>
        <v>346866</v>
      </c>
      <c r="P39" s="67"/>
      <c r="Q39" s="3"/>
      <c r="R39" s="67"/>
      <c r="S39" s="7" t="s">
        <v>48</v>
      </c>
      <c r="T39" s="20">
        <f>O41/1000</f>
        <v>124.277</v>
      </c>
      <c r="U39" s="14">
        <f>P41</f>
        <v>0.35828533208789559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25.925000000000001</v>
      </c>
      <c r="U40" s="15">
        <f>P35</f>
        <v>7.4740677956328952E-2</v>
      </c>
    </row>
    <row r="41" spans="1:48" ht="16" x14ac:dyDescent="0.2">
      <c r="A41" s="21" t="s">
        <v>50</v>
      </c>
      <c r="B41" s="22">
        <f>B38+B37+B36</f>
        <v>15800</v>
      </c>
      <c r="C41" s="22">
        <f t="shared" ref="C41:O41" si="1">C38+C37+C36</f>
        <v>866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18453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89158</v>
      </c>
      <c r="O41" s="22">
        <f t="shared" si="1"/>
        <v>124277</v>
      </c>
      <c r="P41" s="16">
        <f>O41/O$39</f>
        <v>0.35828533208789559</v>
      </c>
      <c r="Q41" s="16" t="s">
        <v>51</v>
      </c>
      <c r="R41" s="7"/>
      <c r="S41" s="7" t="s">
        <v>52</v>
      </c>
      <c r="T41" s="20">
        <f>O33/1000</f>
        <v>22.963000000000001</v>
      </c>
      <c r="U41" s="14">
        <f>P33</f>
        <v>6.6201357296477609E-2</v>
      </c>
    </row>
    <row r="42" spans="1:48" ht="16" x14ac:dyDescent="0.2">
      <c r="A42" s="23" t="s">
        <v>53</v>
      </c>
      <c r="B42" s="22"/>
      <c r="C42" s="24">
        <f>C39+C23+C10</f>
        <v>124152</v>
      </c>
      <c r="D42" s="24">
        <f t="shared" ref="D42:M42" si="2">D39+D23+D10</f>
        <v>0</v>
      </c>
      <c r="E42" s="24">
        <f t="shared" si="2"/>
        <v>0</v>
      </c>
      <c r="F42" s="24">
        <f t="shared" si="2"/>
        <v>9359</v>
      </c>
      <c r="G42" s="24">
        <f t="shared" si="2"/>
        <v>48353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185007.24</v>
      </c>
      <c r="O42" s="25">
        <f>SUM(C42:N42)</f>
        <v>366871.24</v>
      </c>
      <c r="P42" s="7"/>
      <c r="Q42" s="7"/>
      <c r="R42" s="7"/>
      <c r="S42" s="7" t="s">
        <v>34</v>
      </c>
      <c r="T42" s="20">
        <f>O31/1000</f>
        <v>63.628999999999998</v>
      </c>
      <c r="U42" s="14">
        <f>P31</f>
        <v>0.18343971447187099</v>
      </c>
    </row>
    <row r="43" spans="1:48" ht="16" x14ac:dyDescent="0.2">
      <c r="A43" s="23" t="s">
        <v>54</v>
      </c>
      <c r="B43" s="22"/>
      <c r="C43" s="16">
        <f t="shared" ref="C43:N43" si="3">C42/$O42</f>
        <v>0.33840755683111057</v>
      </c>
      <c r="D43" s="16">
        <f t="shared" si="3"/>
        <v>0</v>
      </c>
      <c r="E43" s="16">
        <f t="shared" si="3"/>
        <v>0</v>
      </c>
      <c r="F43" s="16">
        <f t="shared" si="3"/>
        <v>2.551031255543498E-2</v>
      </c>
      <c r="G43" s="16">
        <f t="shared" si="3"/>
        <v>0.13179828432449489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0.50428384628895961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13.41</v>
      </c>
      <c r="U43" s="15">
        <f>P32</f>
        <v>3.8660462541730813E-2</v>
      </c>
    </row>
    <row r="44" spans="1:48" ht="16" x14ac:dyDescent="0.2">
      <c r="A44" s="6"/>
      <c r="B44" s="6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96.662000000000006</v>
      </c>
      <c r="U44" s="15">
        <f>P34</f>
        <v>0.27867245564569604</v>
      </c>
    </row>
    <row r="45" spans="1:48" ht="16" x14ac:dyDescent="0.2">
      <c r="A45" s="6" t="s">
        <v>57</v>
      </c>
      <c r="B45" s="26">
        <f>B23-B39</f>
        <v>5100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13704.24</v>
      </c>
      <c r="O45" s="25">
        <f>B45+N45</f>
        <v>18804.239999999998</v>
      </c>
      <c r="P45" s="7"/>
      <c r="Q45" s="7"/>
      <c r="R45" s="7"/>
      <c r="S45" s="7" t="s">
        <v>58</v>
      </c>
      <c r="T45" s="20">
        <f>SUM(T39:T44)</f>
        <v>346.86599999999999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0.17465753424657535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 enableFormatConditionsCalculation="0"/>
  <dimension ref="A1:AV70"/>
  <sheetViews>
    <sheetView workbookViewId="0">
      <selection activeCell="C42" sqref="C42:O42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20" width="8.6640625" style="2"/>
    <col min="21" max="21" width="9.832031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70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265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41815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51"/>
      <c r="U9" s="51"/>
      <c r="V9" s="46"/>
      <c r="W9" s="46"/>
      <c r="X9" s="46"/>
      <c r="Y9" s="51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42080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51"/>
      <c r="U10" s="51"/>
      <c r="V10" s="46"/>
      <c r="W10" s="46"/>
      <c r="X10" s="46"/>
      <c r="Y10" s="51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30800</v>
      </c>
      <c r="C18" s="62">
        <v>700</v>
      </c>
      <c r="D18" s="46">
        <v>0</v>
      </c>
      <c r="E18" s="46">
        <v>0</v>
      </c>
      <c r="F18" s="46">
        <v>0</v>
      </c>
      <c r="G18" s="62">
        <v>29400</v>
      </c>
      <c r="H18" s="46">
        <v>0</v>
      </c>
      <c r="I18" s="46"/>
      <c r="J18" s="46"/>
      <c r="K18" s="46"/>
      <c r="L18" s="46"/>
      <c r="M18" s="46"/>
      <c r="N18" s="46"/>
      <c r="O18" s="62">
        <f>SUM(C18:N18)</f>
        <v>30100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399.63072</v>
      </c>
      <c r="U21" s="3"/>
    </row>
    <row r="22" spans="1:21" ht="16" x14ac:dyDescent="0.2">
      <c r="A22" s="8" t="s">
        <v>25</v>
      </c>
      <c r="B22" s="62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2">
        <f>SUM(B17:B22)</f>
        <v>30800</v>
      </c>
      <c r="C23" s="62">
        <f>SUM(C17:C22)</f>
        <v>700</v>
      </c>
      <c r="D23" s="51">
        <f t="shared" ref="D23:H23" si="0">SUM(D17:D22)</f>
        <v>0</v>
      </c>
      <c r="E23" s="51">
        <f t="shared" si="0"/>
        <v>0</v>
      </c>
      <c r="F23" s="51">
        <f t="shared" si="0"/>
        <v>0</v>
      </c>
      <c r="G23" s="62">
        <f t="shared" si="0"/>
        <v>29400</v>
      </c>
      <c r="H23" s="51">
        <f t="shared" si="0"/>
        <v>0</v>
      </c>
      <c r="I23" s="46"/>
      <c r="J23" s="46"/>
      <c r="K23" s="46"/>
      <c r="L23" s="46"/>
      <c r="M23" s="46"/>
      <c r="N23" s="46"/>
      <c r="O23" s="62">
        <f>SUM(O18:O22)</f>
        <v>30100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63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153.45071999999999</v>
      </c>
      <c r="U24" s="14">
        <f>N43</f>
        <v>0.38398129152833899</v>
      </c>
    </row>
    <row r="25" spans="1:21" ht="16" x14ac:dyDescent="0.2">
      <c r="B25" s="6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64.698999999999998</v>
      </c>
      <c r="U25" s="15">
        <f>G43</f>
        <v>0.16189696327649689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13.564</v>
      </c>
      <c r="U27" s="14">
        <f>F43</f>
        <v>3.3941334640139778E-2</v>
      </c>
    </row>
    <row r="28" spans="1:21" ht="16" x14ac:dyDescent="0.2">
      <c r="A28" s="4" t="s">
        <v>70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2.4279999999999999</v>
      </c>
      <c r="U28" s="14">
        <f>E43</f>
        <v>6.0756090022308596E-3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17379</v>
      </c>
      <c r="D31" s="46">
        <v>0</v>
      </c>
      <c r="E31" s="46">
        <v>0</v>
      </c>
      <c r="F31" s="46">
        <v>1789</v>
      </c>
      <c r="G31" s="46">
        <v>0</v>
      </c>
      <c r="H31" s="46">
        <v>0</v>
      </c>
      <c r="I31" s="46"/>
      <c r="J31" s="46"/>
      <c r="K31" s="46"/>
      <c r="L31" s="46"/>
      <c r="M31" s="46"/>
      <c r="N31" s="46">
        <v>22117</v>
      </c>
      <c r="O31" s="46">
        <f>SUM(B31:N31)</f>
        <v>41285</v>
      </c>
      <c r="P31" s="16">
        <f>O31/O$39</f>
        <v>0.10735534267378122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74">
        <v>348</v>
      </c>
      <c r="C32" s="46">
        <v>633</v>
      </c>
      <c r="D32" s="46">
        <v>0</v>
      </c>
      <c r="E32" s="60">
        <f>O32-N32-B32-C32</f>
        <v>2428</v>
      </c>
      <c r="F32" s="46">
        <v>0</v>
      </c>
      <c r="G32" s="46">
        <v>0</v>
      </c>
      <c r="H32" s="46">
        <v>0</v>
      </c>
      <c r="I32" s="46"/>
      <c r="K32" s="46"/>
      <c r="L32" s="46"/>
      <c r="M32" s="46"/>
      <c r="N32" s="46">
        <v>17519</v>
      </c>
      <c r="O32" s="75">
        <v>20928</v>
      </c>
      <c r="P32" s="16">
        <f>O32/O$39</f>
        <v>5.4420070521421664E-2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74">
        <f>9900-348</f>
        <v>9552</v>
      </c>
      <c r="C33" s="46">
        <v>278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6"/>
      <c r="N33" s="60">
        <f>O33-C33-B33</f>
        <v>12687</v>
      </c>
      <c r="O33" s="46">
        <v>22517</v>
      </c>
      <c r="P33" s="16">
        <f>O33/O$39</f>
        <v>5.8552022550212711E-2</v>
      </c>
      <c r="Q33" s="17" t="s">
        <v>39</v>
      </c>
      <c r="R33" s="67"/>
      <c r="S33" s="3" t="s">
        <v>35</v>
      </c>
      <c r="T33" s="13">
        <f>C42/1000</f>
        <v>165.489</v>
      </c>
      <c r="U33" s="15">
        <f>C43</f>
        <v>0.41410480155279356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144810</v>
      </c>
      <c r="D34" s="46">
        <v>0</v>
      </c>
      <c r="E34" s="46">
        <v>0</v>
      </c>
      <c r="F34" s="46">
        <v>11775</v>
      </c>
      <c r="G34" s="46">
        <v>0</v>
      </c>
      <c r="H34" s="46">
        <v>0</v>
      </c>
      <c r="I34" s="46"/>
      <c r="J34" s="46"/>
      <c r="K34" s="46"/>
      <c r="L34" s="46"/>
      <c r="M34" s="46"/>
      <c r="N34" s="46">
        <v>140</v>
      </c>
      <c r="O34" s="46">
        <f>SUM(B34:N34)</f>
        <v>156725</v>
      </c>
      <c r="P34" s="16">
        <f>O34/O$39</f>
        <v>0.40753944727015529</v>
      </c>
      <c r="Q34" s="17" t="s">
        <v>41</v>
      </c>
      <c r="R34" s="67"/>
      <c r="S34" s="3"/>
      <c r="T34" s="13">
        <f>SUM(T24:T33)</f>
        <v>399.63072</v>
      </c>
      <c r="U34" s="14">
        <f>SUM(U24:U33)</f>
        <v>1</v>
      </c>
    </row>
    <row r="35" spans="1:48" ht="16" x14ac:dyDescent="0.2">
      <c r="A35" s="8" t="s">
        <v>42</v>
      </c>
      <c r="B35" s="62">
        <v>800</v>
      </c>
      <c r="C35" s="46">
        <v>1237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6"/>
      <c r="N35" s="46">
        <v>21629</v>
      </c>
      <c r="O35" s="77">
        <f t="shared" ref="O35:O38" si="1">SUM(B35:N35)</f>
        <v>23666</v>
      </c>
      <c r="P35" s="16">
        <f>O35/O$39</f>
        <v>6.1539821720181818E-2</v>
      </c>
      <c r="Q35" s="17" t="s">
        <v>43</v>
      </c>
      <c r="R35" s="67"/>
    </row>
    <row r="36" spans="1:48" ht="16" x14ac:dyDescent="0.2">
      <c r="A36" s="8" t="s">
        <v>44</v>
      </c>
      <c r="B36" s="62">
        <v>2800</v>
      </c>
      <c r="C36" s="46">
        <v>365</v>
      </c>
      <c r="D36" s="46">
        <v>0</v>
      </c>
      <c r="E36" s="46">
        <v>0</v>
      </c>
      <c r="F36" s="46">
        <v>0</v>
      </c>
      <c r="G36" s="46">
        <v>35299</v>
      </c>
      <c r="H36" s="46">
        <v>0</v>
      </c>
      <c r="I36" s="46"/>
      <c r="J36" s="46"/>
      <c r="K36" s="46"/>
      <c r="L36" s="46"/>
      <c r="M36" s="46"/>
      <c r="N36" s="60">
        <f>N39-N38-N37-N35-N34-N33-N32-N31</f>
        <v>50723</v>
      </c>
      <c r="O36" s="77">
        <f t="shared" si="1"/>
        <v>89187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2">
        <v>12900</v>
      </c>
      <c r="C37" s="46">
        <v>87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6"/>
      <c r="N37" s="46">
        <v>6241</v>
      </c>
      <c r="O37" s="77">
        <f t="shared" si="1"/>
        <v>19228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6"/>
      <c r="N38" s="46">
        <v>11028</v>
      </c>
      <c r="O38" s="46">
        <f t="shared" si="1"/>
        <v>11028</v>
      </c>
      <c r="P38" s="17">
        <f>SUM(P31:P35)</f>
        <v>0.68940670473575272</v>
      </c>
      <c r="Q38" s="17"/>
      <c r="R38" s="67"/>
      <c r="S38" s="7" t="s">
        <v>47</v>
      </c>
      <c r="T38" s="19">
        <f>O45/1000</f>
        <v>15.766719999999999</v>
      </c>
      <c r="U38" s="7"/>
    </row>
    <row r="39" spans="1:48" ht="16" x14ac:dyDescent="0.2">
      <c r="A39" s="8" t="s">
        <v>16</v>
      </c>
      <c r="B39" s="62">
        <v>26400</v>
      </c>
      <c r="C39" s="46">
        <v>164789</v>
      </c>
      <c r="D39" s="46">
        <v>0</v>
      </c>
      <c r="E39" s="60">
        <f>E32</f>
        <v>2428</v>
      </c>
      <c r="F39" s="46">
        <v>13564</v>
      </c>
      <c r="G39" s="46">
        <v>35299</v>
      </c>
      <c r="H39" s="46">
        <v>0</v>
      </c>
      <c r="I39" s="46"/>
      <c r="J39" s="46"/>
      <c r="K39" s="46"/>
      <c r="N39" s="46">
        <v>142084</v>
      </c>
      <c r="O39" s="68">
        <f>SUM(O31:O38)</f>
        <v>384564</v>
      </c>
      <c r="P39" s="67"/>
      <c r="Q39" s="3"/>
      <c r="R39" s="67"/>
      <c r="S39" s="7" t="s">
        <v>48</v>
      </c>
      <c r="T39" s="20">
        <f>O41/1000</f>
        <v>119.443</v>
      </c>
      <c r="U39" s="14">
        <f>P41</f>
        <v>0.31059329526424728</v>
      </c>
    </row>
    <row r="40" spans="1:48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23.666</v>
      </c>
      <c r="U40" s="15">
        <f>P35</f>
        <v>6.1539821720181818E-2</v>
      </c>
    </row>
    <row r="41" spans="1:48" ht="16" x14ac:dyDescent="0.2">
      <c r="A41" s="21" t="s">
        <v>50</v>
      </c>
      <c r="B41" s="22">
        <f>B38+B37+B36</f>
        <v>15700</v>
      </c>
      <c r="C41" s="22">
        <f t="shared" ref="C41:O41" si="2">C38+C37+C36</f>
        <v>452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35299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67992</v>
      </c>
      <c r="O41" s="22">
        <f t="shared" si="2"/>
        <v>119443</v>
      </c>
      <c r="P41" s="16">
        <f>O41/O$39</f>
        <v>0.31059329526424728</v>
      </c>
      <c r="Q41" s="16" t="s">
        <v>51</v>
      </c>
      <c r="R41" s="7"/>
      <c r="S41" s="7" t="s">
        <v>52</v>
      </c>
      <c r="T41" s="20">
        <f>O33/1000</f>
        <v>22.516999999999999</v>
      </c>
      <c r="U41" s="14">
        <f>P33</f>
        <v>5.8552022550212711E-2</v>
      </c>
    </row>
    <row r="42" spans="1:48" ht="16" x14ac:dyDescent="0.2">
      <c r="A42" s="23" t="s">
        <v>53</v>
      </c>
      <c r="B42" s="22"/>
      <c r="C42" s="24">
        <f>C39+C23+C10</f>
        <v>165489</v>
      </c>
      <c r="D42" s="24">
        <f t="shared" ref="D42:M42" si="3">D39+D23+D10</f>
        <v>0</v>
      </c>
      <c r="E42" s="24">
        <f t="shared" si="3"/>
        <v>2428</v>
      </c>
      <c r="F42" s="24">
        <f t="shared" si="3"/>
        <v>13564</v>
      </c>
      <c r="G42" s="24">
        <f t="shared" si="3"/>
        <v>64699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>N39+N23-B6+N45</f>
        <v>153450.72</v>
      </c>
      <c r="O42" s="25">
        <f>SUM(C42:N42)</f>
        <v>399630.72</v>
      </c>
      <c r="P42" s="7"/>
      <c r="Q42" s="7"/>
      <c r="R42" s="7"/>
      <c r="S42" s="7" t="s">
        <v>34</v>
      </c>
      <c r="T42" s="20">
        <f>O31/1000</f>
        <v>41.284999999999997</v>
      </c>
      <c r="U42" s="14">
        <f>P31</f>
        <v>0.10735534267378122</v>
      </c>
    </row>
    <row r="43" spans="1:48" ht="16" x14ac:dyDescent="0.2">
      <c r="A43" s="23" t="s">
        <v>54</v>
      </c>
      <c r="B43" s="22"/>
      <c r="C43" s="16">
        <f t="shared" ref="C43:N43" si="4">C42/$O42</f>
        <v>0.41410480155279356</v>
      </c>
      <c r="D43" s="16">
        <f t="shared" si="4"/>
        <v>0</v>
      </c>
      <c r="E43" s="16">
        <f t="shared" si="4"/>
        <v>6.0756090022308596E-3</v>
      </c>
      <c r="F43" s="16">
        <f t="shared" si="4"/>
        <v>3.3941334640139778E-2</v>
      </c>
      <c r="G43" s="16">
        <f t="shared" si="4"/>
        <v>0.16189696327649689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0.38398129152833899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20.928000000000001</v>
      </c>
      <c r="U43" s="15">
        <f>P32</f>
        <v>5.4420070521421664E-2</v>
      </c>
    </row>
    <row r="44" spans="1:48" ht="16" x14ac:dyDescent="0.2">
      <c r="A44" s="6"/>
      <c r="B44" s="6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156.72499999999999</v>
      </c>
      <c r="U44" s="15">
        <f>P34</f>
        <v>0.40753944727015529</v>
      </c>
    </row>
    <row r="45" spans="1:48" ht="16" x14ac:dyDescent="0.2">
      <c r="A45" s="6" t="s">
        <v>57</v>
      </c>
      <c r="B45" s="26">
        <f>B23-B39</f>
        <v>4400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11366.72</v>
      </c>
      <c r="O45" s="25">
        <f>B45+N45</f>
        <v>15766.72</v>
      </c>
      <c r="P45" s="7"/>
      <c r="Q45" s="7"/>
      <c r="R45" s="7"/>
      <c r="S45" s="7" t="s">
        <v>58</v>
      </c>
      <c r="T45" s="20">
        <f>SUM(T39:T44)</f>
        <v>384.56399999999996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0.14285714285714285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8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8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71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324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29190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51"/>
      <c r="U9" s="46"/>
      <c r="V9" s="46"/>
      <c r="W9" s="51"/>
      <c r="X9" s="46"/>
      <c r="Y9" s="51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29514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51"/>
      <c r="U10" s="46"/>
      <c r="V10" s="46"/>
      <c r="W10" s="51"/>
      <c r="X10" s="46"/>
      <c r="Y10" s="51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71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/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f>SUM(C17:N17)</f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25500</v>
      </c>
      <c r="C18" s="46">
        <v>0</v>
      </c>
      <c r="D18" s="46">
        <v>0</v>
      </c>
      <c r="E18" s="64">
        <v>200</v>
      </c>
      <c r="F18" s="46">
        <v>0</v>
      </c>
      <c r="G18" s="62">
        <v>26300</v>
      </c>
      <c r="H18" s="46">
        <v>0</v>
      </c>
      <c r="I18" s="46"/>
      <c r="J18" s="46"/>
      <c r="K18" s="46"/>
      <c r="L18" s="46"/>
      <c r="M18" s="46"/>
      <c r="N18" s="46"/>
      <c r="O18" s="62">
        <f>SUM(C18:N18)</f>
        <v>26500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403.00268</v>
      </c>
      <c r="U21" s="3"/>
    </row>
    <row r="22" spans="1:21" ht="16" x14ac:dyDescent="0.2">
      <c r="A22" s="8" t="s">
        <v>25</v>
      </c>
      <c r="B22" s="62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2">
        <f>SUM(B17:B22)</f>
        <v>25500</v>
      </c>
      <c r="C23" s="51">
        <f t="shared" ref="C23:H23" si="0">SUM(C17:C22)</f>
        <v>0</v>
      </c>
      <c r="D23" s="51">
        <f t="shared" si="0"/>
        <v>0</v>
      </c>
      <c r="E23" s="64">
        <f t="shared" si="0"/>
        <v>200</v>
      </c>
      <c r="F23" s="51">
        <f t="shared" si="0"/>
        <v>0</v>
      </c>
      <c r="G23" s="62">
        <f t="shared" si="0"/>
        <v>26300</v>
      </c>
      <c r="H23" s="51">
        <f t="shared" si="0"/>
        <v>0</v>
      </c>
      <c r="I23" s="46"/>
      <c r="J23" s="46"/>
      <c r="K23" s="46"/>
      <c r="L23" s="46"/>
      <c r="M23" s="46"/>
      <c r="N23" s="46"/>
      <c r="O23" s="62">
        <f>SUM(O17:O22)</f>
        <v>26500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172.66067999999999</v>
      </c>
      <c r="U24" s="14">
        <f>N43</f>
        <v>0.42843556276102185</v>
      </c>
    </row>
    <row r="25" spans="1:21" ht="16" x14ac:dyDescent="0.2">
      <c r="B25" s="6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55.067</v>
      </c>
      <c r="U25" s="15">
        <f>G43</f>
        <v>0.13664177121601276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11.486000000000001</v>
      </c>
      <c r="U27" s="14">
        <f>F43</f>
        <v>2.8501051159262762E-2</v>
      </c>
    </row>
    <row r="28" spans="1:21" ht="16" x14ac:dyDescent="0.2">
      <c r="A28" s="4" t="s">
        <v>71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0.2</v>
      </c>
      <c r="U28" s="14">
        <f>E43</f>
        <v>4.9627461534498981E-4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5563</v>
      </c>
      <c r="D31" s="46">
        <v>0</v>
      </c>
      <c r="E31" s="46">
        <v>0</v>
      </c>
      <c r="F31" s="46">
        <v>570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8540</v>
      </c>
      <c r="O31" s="46">
        <v>14674</v>
      </c>
      <c r="P31" s="16">
        <f>O31/O$39</f>
        <v>3.7994479744390415E-2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74">
        <v>390</v>
      </c>
      <c r="C32" s="60">
        <v>578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36414</v>
      </c>
      <c r="O32" s="46">
        <v>37382</v>
      </c>
      <c r="P32" s="16">
        <f>O32/O$39</f>
        <v>9.6790898310263218E-2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74">
        <f>6200-390</f>
        <v>5810</v>
      </c>
      <c r="C33" s="46">
        <v>461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v>23136</v>
      </c>
      <c r="O33" s="46">
        <v>29407</v>
      </c>
      <c r="P33" s="16">
        <f>O33/O$39</f>
        <v>7.6141724536138003E-2</v>
      </c>
      <c r="Q33" s="17" t="s">
        <v>39</v>
      </c>
      <c r="R33" s="67"/>
      <c r="S33" s="3" t="s">
        <v>35</v>
      </c>
      <c r="T33" s="13">
        <f>C42/1000</f>
        <v>163.589</v>
      </c>
      <c r="U33" s="15">
        <f>C43</f>
        <v>0.40592534024835764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156314</v>
      </c>
      <c r="D34" s="46">
        <v>0</v>
      </c>
      <c r="E34" s="46">
        <v>0</v>
      </c>
      <c r="F34" s="46">
        <v>10916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95</v>
      </c>
      <c r="O34" s="46">
        <v>167325</v>
      </c>
      <c r="P34" s="16">
        <f>O34/O$39</f>
        <v>0.43324426354300982</v>
      </c>
      <c r="Q34" s="17" t="s">
        <v>41</v>
      </c>
      <c r="R34" s="67"/>
      <c r="S34" s="3"/>
      <c r="T34" s="13">
        <f>SUM(T24:T33)</f>
        <v>403.00267999999994</v>
      </c>
      <c r="U34" s="14">
        <f>SUM(U24:U33)</f>
        <v>1</v>
      </c>
    </row>
    <row r="35" spans="1:48" ht="16" x14ac:dyDescent="0.2">
      <c r="A35" s="8" t="s">
        <v>42</v>
      </c>
      <c r="B35" s="62">
        <v>1900</v>
      </c>
      <c r="C35" s="76">
        <f>C39-C36-C34-C33-C32-C31</f>
        <v>133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13849</v>
      </c>
      <c r="O35" s="77">
        <f>SUM(B35:N35)</f>
        <v>15882</v>
      </c>
      <c r="P35" s="16">
        <f>O35/O$39</f>
        <v>4.1122279358076094E-2</v>
      </c>
      <c r="Q35" s="17" t="s">
        <v>43</v>
      </c>
      <c r="R35" s="67"/>
    </row>
    <row r="36" spans="1:48" ht="16" x14ac:dyDescent="0.2">
      <c r="A36" s="8" t="s">
        <v>44</v>
      </c>
      <c r="B36" s="62">
        <v>1300</v>
      </c>
      <c r="C36" s="60">
        <v>540</v>
      </c>
      <c r="D36" s="46">
        <v>0</v>
      </c>
      <c r="E36" s="46">
        <v>0</v>
      </c>
      <c r="F36" s="46">
        <v>0</v>
      </c>
      <c r="G36" s="46">
        <v>28767</v>
      </c>
      <c r="H36" s="46">
        <v>0</v>
      </c>
      <c r="I36" s="46"/>
      <c r="J36" s="46"/>
      <c r="K36" s="46"/>
      <c r="L36" s="46"/>
      <c r="M36" s="45"/>
      <c r="N36" s="46">
        <v>64103</v>
      </c>
      <c r="O36" s="77">
        <f>SUM(B36:N36)</f>
        <v>94710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2">
        <v>13100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5209</v>
      </c>
      <c r="O37" s="74">
        <f>SUM(B37:N37)</f>
        <v>18309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60">
        <f>N39-N37-N36-N35-N34-N33-N32-N31</f>
        <v>8525</v>
      </c>
      <c r="O38" s="60">
        <f>N38</f>
        <v>8525</v>
      </c>
      <c r="P38" s="17">
        <f>SUM(P31:P35)</f>
        <v>0.68529364549187755</v>
      </c>
      <c r="Q38" s="17"/>
      <c r="R38" s="67"/>
      <c r="S38" s="7" t="s">
        <v>47</v>
      </c>
      <c r="T38" s="19">
        <f>O45/1000</f>
        <v>15.789680000000001</v>
      </c>
      <c r="U38" s="7"/>
    </row>
    <row r="39" spans="1:48" ht="16" x14ac:dyDescent="0.2">
      <c r="A39" s="8" t="s">
        <v>16</v>
      </c>
      <c r="B39" s="61">
        <v>22500</v>
      </c>
      <c r="C39" s="46">
        <v>163589</v>
      </c>
      <c r="D39" s="46">
        <v>0</v>
      </c>
      <c r="E39" s="46">
        <v>0</v>
      </c>
      <c r="F39" s="46">
        <v>11486</v>
      </c>
      <c r="G39" s="46">
        <v>28767</v>
      </c>
      <c r="H39" s="46">
        <v>0</v>
      </c>
      <c r="I39" s="46"/>
      <c r="J39" s="46"/>
      <c r="K39" s="46"/>
      <c r="L39" s="46"/>
      <c r="M39" s="45"/>
      <c r="N39" s="46">
        <v>159871</v>
      </c>
      <c r="O39" s="68">
        <f>SUM(O31:O38)</f>
        <v>386214</v>
      </c>
      <c r="P39" s="10"/>
      <c r="Q39" s="3"/>
      <c r="R39" s="67"/>
      <c r="S39" s="7" t="s">
        <v>48</v>
      </c>
      <c r="T39" s="20">
        <f>O41/1000</f>
        <v>121.544</v>
      </c>
      <c r="U39" s="14">
        <f>P41</f>
        <v>0.31470635450812245</v>
      </c>
    </row>
    <row r="40" spans="1:48" ht="16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R40" s="67"/>
      <c r="S40" s="7" t="s">
        <v>49</v>
      </c>
      <c r="T40" s="20">
        <f>O35/1000</f>
        <v>15.882</v>
      </c>
      <c r="U40" s="15">
        <f>P35</f>
        <v>4.1122279358076094E-2</v>
      </c>
    </row>
    <row r="41" spans="1:48" ht="16" x14ac:dyDescent="0.2">
      <c r="A41" s="21" t="s">
        <v>50</v>
      </c>
      <c r="B41" s="22">
        <f>B38+B37+B36</f>
        <v>14400</v>
      </c>
      <c r="C41" s="22">
        <f t="shared" ref="C41:O41" si="1">C38+C37+C36</f>
        <v>540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28767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77837</v>
      </c>
      <c r="O41" s="22">
        <f t="shared" si="1"/>
        <v>121544</v>
      </c>
      <c r="P41" s="16">
        <f>O41/O$39</f>
        <v>0.31470635450812245</v>
      </c>
      <c r="Q41" s="16" t="s">
        <v>51</v>
      </c>
      <c r="R41" s="7"/>
      <c r="S41" s="7" t="s">
        <v>52</v>
      </c>
      <c r="T41" s="20">
        <f>O33/1000</f>
        <v>29.407</v>
      </c>
      <c r="U41" s="14">
        <f>P33</f>
        <v>7.6141724536138003E-2</v>
      </c>
    </row>
    <row r="42" spans="1:48" ht="16" x14ac:dyDescent="0.2">
      <c r="A42" s="23" t="s">
        <v>53</v>
      </c>
      <c r="B42" s="22"/>
      <c r="C42" s="24">
        <f>C39+C23+C10</f>
        <v>163589</v>
      </c>
      <c r="D42" s="24">
        <f t="shared" ref="D42:M42" si="2">D39+D23+D10</f>
        <v>0</v>
      </c>
      <c r="E42" s="24">
        <f t="shared" si="2"/>
        <v>200</v>
      </c>
      <c r="F42" s="24">
        <f t="shared" si="2"/>
        <v>11486</v>
      </c>
      <c r="G42" s="24">
        <f t="shared" si="2"/>
        <v>55067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172660.68</v>
      </c>
      <c r="O42" s="25">
        <f>SUM(C42:N42)</f>
        <v>403002.68</v>
      </c>
      <c r="P42" s="7"/>
      <c r="Q42" s="7"/>
      <c r="R42" s="7"/>
      <c r="S42" s="7" t="s">
        <v>34</v>
      </c>
      <c r="T42" s="20">
        <f>O31/1000</f>
        <v>14.673999999999999</v>
      </c>
      <c r="U42" s="14">
        <f>P31</f>
        <v>3.7994479744390415E-2</v>
      </c>
    </row>
    <row r="43" spans="1:48" ht="16" x14ac:dyDescent="0.2">
      <c r="A43" s="23" t="s">
        <v>54</v>
      </c>
      <c r="B43" s="22"/>
      <c r="C43" s="16">
        <f t="shared" ref="C43:N43" si="3">C42/$O42</f>
        <v>0.40592534024835764</v>
      </c>
      <c r="D43" s="16">
        <f t="shared" si="3"/>
        <v>0</v>
      </c>
      <c r="E43" s="16">
        <f t="shared" si="3"/>
        <v>4.9627461534498981E-4</v>
      </c>
      <c r="F43" s="16">
        <f t="shared" si="3"/>
        <v>2.8501051159262762E-2</v>
      </c>
      <c r="G43" s="16">
        <f t="shared" si="3"/>
        <v>0.13664177121601276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0.42843556276102185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37.381999999999998</v>
      </c>
      <c r="U43" s="15">
        <f>P32</f>
        <v>9.6790898310263218E-2</v>
      </c>
    </row>
    <row r="44" spans="1:48" ht="16" x14ac:dyDescent="0.2">
      <c r="A44" s="6"/>
      <c r="B44" s="6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167.32499999999999</v>
      </c>
      <c r="U44" s="15">
        <f>P34</f>
        <v>0.43324426354300982</v>
      </c>
    </row>
    <row r="45" spans="1:48" ht="16" x14ac:dyDescent="0.2">
      <c r="A45" s="6" t="s">
        <v>57</v>
      </c>
      <c r="B45" s="26">
        <f>B23-B39</f>
        <v>3000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12789.68</v>
      </c>
      <c r="O45" s="25">
        <f>B45+N45</f>
        <v>15789.68</v>
      </c>
      <c r="P45" s="7"/>
      <c r="Q45" s="7"/>
      <c r="R45" s="7"/>
      <c r="S45" s="7" t="s">
        <v>58</v>
      </c>
      <c r="T45" s="20">
        <f>SUM(T39:T44)</f>
        <v>386.214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0.11764705882352941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8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5" width="8.6640625" style="2"/>
    <col min="16" max="16" width="8.6640625" style="2" customWidth="1"/>
    <col min="17" max="17" width="8.6640625" style="2"/>
    <col min="18" max="18" width="8.6640625" style="2" customWidth="1"/>
    <col min="19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72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456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78493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51"/>
      <c r="U9" s="51"/>
      <c r="V9" s="46"/>
      <c r="W9" s="46"/>
      <c r="X9" s="46"/>
      <c r="Y9" s="51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78949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51"/>
      <c r="U10" s="51"/>
      <c r="V10" s="46"/>
      <c r="W10" s="46"/>
      <c r="X10" s="46"/>
      <c r="Y10" s="51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72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36000</v>
      </c>
      <c r="C18" s="62">
        <v>100</v>
      </c>
      <c r="D18" s="46">
        <v>0</v>
      </c>
      <c r="E18" s="46">
        <v>0</v>
      </c>
      <c r="F18" s="46">
        <v>0</v>
      </c>
      <c r="G18" s="62">
        <v>36300</v>
      </c>
      <c r="H18" s="46">
        <v>0</v>
      </c>
      <c r="I18" s="46"/>
      <c r="J18" s="46"/>
      <c r="K18" s="46"/>
      <c r="L18" s="46"/>
      <c r="M18" s="46"/>
      <c r="N18" s="46"/>
      <c r="O18" s="62">
        <f>SUM(C18:N18)</f>
        <v>36400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371.61248000000001</v>
      </c>
      <c r="U21" s="3"/>
    </row>
    <row r="22" spans="1:21" ht="16" x14ac:dyDescent="0.2">
      <c r="A22" s="8" t="s">
        <v>25</v>
      </c>
      <c r="B22" s="62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2">
        <f>SUM(B17:B22)</f>
        <v>36000</v>
      </c>
      <c r="C23" s="62">
        <f t="shared" ref="C23:H23" si="0">SUM(C17:C22)</f>
        <v>100</v>
      </c>
      <c r="D23" s="51">
        <f t="shared" si="0"/>
        <v>0</v>
      </c>
      <c r="E23" s="51">
        <f t="shared" si="0"/>
        <v>0</v>
      </c>
      <c r="F23" s="51">
        <f t="shared" si="0"/>
        <v>0</v>
      </c>
      <c r="G23" s="62">
        <f t="shared" si="0"/>
        <v>36300</v>
      </c>
      <c r="H23" s="51">
        <f t="shared" si="0"/>
        <v>0</v>
      </c>
      <c r="I23" s="46"/>
      <c r="J23" s="46"/>
      <c r="K23" s="46"/>
      <c r="L23" s="46"/>
      <c r="M23" s="46"/>
      <c r="N23" s="46"/>
      <c r="O23" s="62">
        <f>SUM(O18:O22)</f>
        <v>36400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3"/>
      <c r="P24" s="3"/>
      <c r="Q24" s="3"/>
      <c r="R24" s="3"/>
      <c r="S24" s="3" t="s">
        <v>10</v>
      </c>
      <c r="T24" s="13">
        <f>N42/1000</f>
        <v>155.68848</v>
      </c>
      <c r="U24" s="14">
        <f>N43</f>
        <v>0.41895385214188718</v>
      </c>
    </row>
    <row r="25" spans="1:21" ht="16" x14ac:dyDescent="0.2">
      <c r="B25" s="6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56.448999999999998</v>
      </c>
      <c r="U25" s="15">
        <f>G43</f>
        <v>0.15190286397270619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10.486000000000001</v>
      </c>
      <c r="U27" s="14">
        <f>F43</f>
        <v>2.821756685889559E-2</v>
      </c>
    </row>
    <row r="28" spans="1:21" ht="15.75" x14ac:dyDescent="0.25">
      <c r="A28" s="4" t="s">
        <v>72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15.042</v>
      </c>
      <c r="U28" s="14">
        <f>E43</f>
        <v>4.0477650266212806E-2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31266</v>
      </c>
      <c r="D31" s="46">
        <v>0</v>
      </c>
      <c r="E31" s="46">
        <v>0</v>
      </c>
      <c r="F31" s="46">
        <v>3236</v>
      </c>
      <c r="G31" s="46">
        <v>0</v>
      </c>
      <c r="H31" s="46">
        <v>0</v>
      </c>
      <c r="I31" s="46"/>
      <c r="J31" s="46"/>
      <c r="K31" s="46"/>
      <c r="L31" s="46"/>
      <c r="M31" s="45"/>
      <c r="N31" s="60">
        <v>25824</v>
      </c>
      <c r="O31" s="60">
        <f>SUM(B31:N31)</f>
        <v>60326</v>
      </c>
      <c r="P31" s="16">
        <f>O31/O$39</f>
        <v>0.17085646312450437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62">
        <v>2700</v>
      </c>
      <c r="C32" s="46">
        <v>1267</v>
      </c>
      <c r="D32" s="46">
        <v>0</v>
      </c>
      <c r="E32" s="60">
        <f>E39</f>
        <v>15042</v>
      </c>
      <c r="F32" s="46">
        <v>0</v>
      </c>
      <c r="G32" s="60">
        <f>G39-G36</f>
        <v>1249</v>
      </c>
      <c r="H32" s="46">
        <v>0</v>
      </c>
      <c r="I32" s="46"/>
      <c r="J32" s="46"/>
      <c r="K32" s="46"/>
      <c r="L32" s="46"/>
      <c r="M32" s="45"/>
      <c r="N32" s="60">
        <f>O32-G32-E32-C32-B32</f>
        <v>30885</v>
      </c>
      <c r="O32" s="46">
        <v>51143</v>
      </c>
      <c r="P32" s="16">
        <f>O32/O$39</f>
        <v>0.14484819304406935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62">
        <v>7650</v>
      </c>
      <c r="C33" s="46">
        <v>114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f>O33-C33-B33</f>
        <v>11318</v>
      </c>
      <c r="O33" s="46">
        <v>19082</v>
      </c>
      <c r="P33" s="16">
        <f>O33/O$39</f>
        <v>5.4044409199048377E-2</v>
      </c>
      <c r="Q33" s="17" t="s">
        <v>39</v>
      </c>
      <c r="R33" s="67"/>
      <c r="S33" s="3" t="s">
        <v>35</v>
      </c>
      <c r="T33" s="13">
        <f>C42/1000</f>
        <v>133.947</v>
      </c>
      <c r="U33" s="15">
        <f>C43</f>
        <v>0.36044806676029828</v>
      </c>
      <c r="W33" s="43"/>
      <c r="X33" s="60"/>
    </row>
    <row r="34" spans="1:48" ht="16" x14ac:dyDescent="0.2">
      <c r="A34" s="8" t="s">
        <v>40</v>
      </c>
      <c r="B34" s="46">
        <v>0</v>
      </c>
      <c r="C34" s="60">
        <f>O34-N34-F34</f>
        <v>100158</v>
      </c>
      <c r="D34" s="46">
        <v>0</v>
      </c>
      <c r="E34" s="46">
        <v>0</v>
      </c>
      <c r="F34" s="46">
        <v>7250</v>
      </c>
      <c r="G34" s="46">
        <v>0</v>
      </c>
      <c r="H34" s="46">
        <v>0</v>
      </c>
      <c r="I34" s="46"/>
      <c r="J34" s="46"/>
      <c r="K34" s="46"/>
      <c r="L34" s="46"/>
      <c r="M34" s="45"/>
      <c r="N34" s="60">
        <v>5</v>
      </c>
      <c r="O34" s="46">
        <v>107413</v>
      </c>
      <c r="P34" s="16">
        <f>O34/O$39</f>
        <v>0.30421717457799929</v>
      </c>
      <c r="Q34" s="17" t="s">
        <v>41</v>
      </c>
      <c r="R34" s="67"/>
      <c r="S34" s="3"/>
      <c r="T34" s="13">
        <f>SUM(T24:T33)</f>
        <v>371.61248000000001</v>
      </c>
      <c r="U34" s="14">
        <f>SUM(U24:U33)</f>
        <v>1</v>
      </c>
    </row>
    <row r="35" spans="1:48" ht="16" x14ac:dyDescent="0.2">
      <c r="A35" s="8" t="s">
        <v>42</v>
      </c>
      <c r="B35" s="62">
        <v>2250</v>
      </c>
      <c r="C35" s="46">
        <v>860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19496</v>
      </c>
      <c r="O35" s="62">
        <f>SUM(B35:N35)</f>
        <v>22606</v>
      </c>
      <c r="P35" s="16">
        <f>O35/O$39</f>
        <v>6.4025150107624329E-2</v>
      </c>
      <c r="Q35" s="17" t="s">
        <v>43</v>
      </c>
      <c r="R35" s="67"/>
    </row>
    <row r="36" spans="1:48" ht="16" x14ac:dyDescent="0.2">
      <c r="A36" s="8" t="s">
        <v>44</v>
      </c>
      <c r="B36" s="62">
        <v>3700</v>
      </c>
      <c r="C36" s="60">
        <f>C39-C37-C35-C34-C33-C32-C31</f>
        <v>170</v>
      </c>
      <c r="D36" s="46">
        <v>0</v>
      </c>
      <c r="E36" s="46">
        <v>0</v>
      </c>
      <c r="F36" s="46">
        <v>0</v>
      </c>
      <c r="G36" s="60">
        <v>18900</v>
      </c>
      <c r="H36" s="46">
        <v>0</v>
      </c>
      <c r="I36" s="46"/>
      <c r="J36" s="46"/>
      <c r="K36" s="46"/>
      <c r="L36" s="46"/>
      <c r="M36" s="45"/>
      <c r="N36" s="60">
        <f>O36-G36-C36-B36</f>
        <v>43497</v>
      </c>
      <c r="O36" s="46">
        <v>66267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2">
        <v>13100</v>
      </c>
      <c r="C37" s="46">
        <v>12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60">
        <v>4782</v>
      </c>
      <c r="O37" s="74">
        <f>SUM(B37:N37)</f>
        <v>17894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75">
        <v>8349</v>
      </c>
      <c r="O38" s="46">
        <v>8349</v>
      </c>
      <c r="P38" s="17">
        <f>SUM(P31:P35)</f>
        <v>0.73799139005324577</v>
      </c>
      <c r="Q38" s="17"/>
      <c r="R38" s="67"/>
      <c r="S38" s="7" t="s">
        <v>47</v>
      </c>
      <c r="T38" s="19">
        <f>O45/1000</f>
        <v>18.132480000000001</v>
      </c>
      <c r="U38" s="7"/>
    </row>
    <row r="39" spans="1:48" ht="16" x14ac:dyDescent="0.2">
      <c r="A39" s="8" t="s">
        <v>16</v>
      </c>
      <c r="B39" s="62">
        <v>29400</v>
      </c>
      <c r="C39" s="46">
        <v>133847</v>
      </c>
      <c r="D39" s="46">
        <v>0</v>
      </c>
      <c r="E39" s="60">
        <f>O39-N39-G39-F39-C39-B39</f>
        <v>15042</v>
      </c>
      <c r="F39" s="46">
        <v>10486</v>
      </c>
      <c r="G39" s="46">
        <v>20149</v>
      </c>
      <c r="H39" s="46">
        <v>0</v>
      </c>
      <c r="I39" s="46"/>
      <c r="J39" s="46"/>
      <c r="K39" s="46"/>
      <c r="L39" s="46"/>
      <c r="M39" s="45"/>
      <c r="N39" s="46">
        <v>144156</v>
      </c>
      <c r="O39" s="46">
        <v>353080</v>
      </c>
      <c r="P39" s="67"/>
      <c r="Q39" s="3"/>
      <c r="R39" s="67"/>
      <c r="S39" s="7" t="s">
        <v>48</v>
      </c>
      <c r="T39" s="20">
        <f>O41/1000</f>
        <v>92.51</v>
      </c>
      <c r="U39" s="14">
        <f>P41</f>
        <v>0.26200860994675429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22.606000000000002</v>
      </c>
      <c r="U40" s="15">
        <f>P35</f>
        <v>6.4025150107624329E-2</v>
      </c>
    </row>
    <row r="41" spans="1:48" ht="16" x14ac:dyDescent="0.2">
      <c r="A41" s="21" t="s">
        <v>50</v>
      </c>
      <c r="B41" s="22">
        <f>B38+B37+B36</f>
        <v>16800</v>
      </c>
      <c r="C41" s="22">
        <f t="shared" ref="C41:O41" si="1">C38+C37+C36</f>
        <v>182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18900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56628</v>
      </c>
      <c r="O41" s="22">
        <f t="shared" si="1"/>
        <v>92510</v>
      </c>
      <c r="P41" s="16">
        <f>O41/O$39</f>
        <v>0.26200860994675429</v>
      </c>
      <c r="Q41" s="16" t="s">
        <v>51</v>
      </c>
      <c r="R41" s="7"/>
      <c r="S41" s="7" t="s">
        <v>52</v>
      </c>
      <c r="T41" s="20">
        <f>O33/1000</f>
        <v>19.082000000000001</v>
      </c>
      <c r="U41" s="14">
        <f>P33</f>
        <v>5.4044409199048377E-2</v>
      </c>
    </row>
    <row r="42" spans="1:48" ht="16" x14ac:dyDescent="0.2">
      <c r="A42" s="23" t="s">
        <v>53</v>
      </c>
      <c r="B42" s="22"/>
      <c r="C42" s="24">
        <f>C39+C23+C10</f>
        <v>133947</v>
      </c>
      <c r="D42" s="24">
        <f t="shared" ref="D42:M42" si="2">D39+D23+D10</f>
        <v>0</v>
      </c>
      <c r="E42" s="24">
        <f t="shared" si="2"/>
        <v>15042</v>
      </c>
      <c r="F42" s="24">
        <f t="shared" si="2"/>
        <v>10486</v>
      </c>
      <c r="G42" s="24">
        <f t="shared" si="2"/>
        <v>56449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155688.48000000001</v>
      </c>
      <c r="O42" s="25">
        <f>SUM(C42:N42)</f>
        <v>371612.48</v>
      </c>
      <c r="P42" s="7"/>
      <c r="Q42" s="7"/>
      <c r="R42" s="7"/>
      <c r="S42" s="7" t="s">
        <v>34</v>
      </c>
      <c r="T42" s="20">
        <f>O31/1000</f>
        <v>60.326000000000001</v>
      </c>
      <c r="U42" s="14">
        <f>P31</f>
        <v>0.17085646312450437</v>
      </c>
    </row>
    <row r="43" spans="1:48" ht="16" x14ac:dyDescent="0.2">
      <c r="A43" s="23" t="s">
        <v>54</v>
      </c>
      <c r="B43" s="22"/>
      <c r="C43" s="16">
        <f t="shared" ref="C43:N43" si="3">C42/$O42</f>
        <v>0.36044806676029828</v>
      </c>
      <c r="D43" s="16">
        <f t="shared" si="3"/>
        <v>0</v>
      </c>
      <c r="E43" s="16">
        <f t="shared" si="3"/>
        <v>4.0477650266212806E-2</v>
      </c>
      <c r="F43" s="16">
        <f t="shared" si="3"/>
        <v>2.821756685889559E-2</v>
      </c>
      <c r="G43" s="16">
        <f t="shared" si="3"/>
        <v>0.15190286397270619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0.41895385214188718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51.143000000000001</v>
      </c>
      <c r="U43" s="15">
        <f>P32</f>
        <v>0.14484819304406935</v>
      </c>
    </row>
    <row r="44" spans="1:48" ht="16" x14ac:dyDescent="0.2">
      <c r="A44" s="6"/>
      <c r="B44" s="6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107.413</v>
      </c>
      <c r="U44" s="15">
        <f>P34</f>
        <v>0.30421717457799929</v>
      </c>
    </row>
    <row r="45" spans="1:48" ht="16" x14ac:dyDescent="0.2">
      <c r="A45" s="6" t="s">
        <v>57</v>
      </c>
      <c r="B45" s="26">
        <f>B23-B39</f>
        <v>6600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11532.48</v>
      </c>
      <c r="O45" s="25">
        <f>B45+N45</f>
        <v>18132.48</v>
      </c>
      <c r="P45" s="7"/>
      <c r="Q45" s="7"/>
      <c r="R45" s="7"/>
      <c r="S45" s="7" t="s">
        <v>58</v>
      </c>
      <c r="T45" s="20">
        <f>SUM(T39:T44)</f>
        <v>353.08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0.18333333333333332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6"/>
      <c r="Q46" s="6"/>
      <c r="R46" s="7"/>
    </row>
    <row r="47" spans="1:48" x14ac:dyDescent="0.2">
      <c r="A47" s="4"/>
      <c r="B47" s="4"/>
      <c r="C47" s="27"/>
      <c r="D47" s="27"/>
      <c r="E47" s="27"/>
      <c r="F47" s="9"/>
      <c r="G47" s="27"/>
      <c r="H47" s="27"/>
      <c r="I47" s="27"/>
      <c r="J47" s="27"/>
      <c r="K47" s="27"/>
      <c r="L47" s="27"/>
      <c r="M47" s="27"/>
      <c r="N47" s="9"/>
      <c r="O47" s="9"/>
      <c r="P47" s="9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9"/>
      <c r="O48" s="9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109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 enableFormatConditionsCalculation="0"/>
  <dimension ref="A1:AV70"/>
  <sheetViews>
    <sheetView topLeftCell="A4" workbookViewId="0">
      <selection activeCell="B25" sqref="B25"/>
    </sheetView>
  </sheetViews>
  <sheetFormatPr baseColWidth="10" defaultColWidth="8.6640625" defaultRowHeight="15" x14ac:dyDescent="0.2"/>
  <cols>
    <col min="1" max="1" width="21.6640625" style="2" customWidth="1"/>
    <col min="2" max="2" width="12" style="2" customWidth="1"/>
    <col min="3" max="3" width="13.6640625" style="2" customWidth="1"/>
    <col min="4" max="4" width="11.1640625" style="2" bestFit="1" customWidth="1"/>
    <col min="5" max="5" width="12.6640625" style="2" bestFit="1" customWidth="1"/>
    <col min="6" max="11" width="11.1640625" style="2" bestFit="1" customWidth="1"/>
    <col min="12" max="13" width="5.6640625" style="2" customWidth="1"/>
    <col min="14" max="14" width="11.1640625" style="2" bestFit="1" customWidth="1"/>
    <col min="15" max="15" width="11.1640625" style="2" customWidth="1"/>
    <col min="16" max="19" width="8.6640625" style="2"/>
    <col min="20" max="20" width="11" style="2" customWidth="1"/>
    <col min="21" max="21" width="11.6640625" style="2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73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126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>
        <v>9572945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126</v>
      </c>
      <c r="C10" s="46">
        <f t="shared" ref="C10:H10" si="0">SUM(C6:C9)</f>
        <v>0</v>
      </c>
      <c r="D10" s="46">
        <f t="shared" si="0"/>
        <v>0</v>
      </c>
      <c r="E10" s="46">
        <f t="shared" si="0"/>
        <v>0</v>
      </c>
      <c r="F10" s="46">
        <f t="shared" si="0"/>
        <v>0</v>
      </c>
      <c r="G10" s="46">
        <f t="shared" si="0"/>
        <v>0</v>
      </c>
      <c r="H10" s="46">
        <f t="shared" si="0"/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>
        <v>763329</v>
      </c>
      <c r="U10" s="110">
        <f>T10/T11</f>
        <v>7.3849532239567181E-2</v>
      </c>
      <c r="V10" s="46">
        <f>U10*(O34-N34)</f>
        <v>6293.0140402624775</v>
      </c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67">
        <f>SUM(T9:T10)</f>
        <v>10336274</v>
      </c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73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5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5" ht="16" x14ac:dyDescent="0.2">
      <c r="A18" s="8" t="s">
        <v>21</v>
      </c>
      <c r="B18" s="46">
        <v>5228</v>
      </c>
      <c r="C18" s="46">
        <v>0</v>
      </c>
      <c r="D18" s="46">
        <v>0</v>
      </c>
      <c r="E18" s="46">
        <v>0</v>
      </c>
      <c r="F18" s="46">
        <v>3529</v>
      </c>
      <c r="G18" s="46">
        <v>2069</v>
      </c>
      <c r="H18" s="46">
        <v>0</v>
      </c>
      <c r="I18" s="46"/>
      <c r="J18" s="46"/>
      <c r="K18" s="46"/>
      <c r="L18" s="46"/>
      <c r="M18" s="46"/>
      <c r="N18" s="46"/>
      <c r="O18" s="46">
        <v>5598</v>
      </c>
      <c r="P18" s="3"/>
      <c r="Q18" s="3"/>
      <c r="R18" s="3"/>
      <c r="S18" s="3"/>
      <c r="T18" s="3"/>
      <c r="U18" s="3"/>
    </row>
    <row r="19" spans="1:25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5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5" ht="16" x14ac:dyDescent="0.2">
      <c r="A21" s="8" t="s">
        <v>24</v>
      </c>
      <c r="B21" s="46">
        <v>91113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2491.7567999999997</v>
      </c>
      <c r="U21" s="3"/>
    </row>
    <row r="22" spans="1:25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5" ht="16" x14ac:dyDescent="0.2">
      <c r="A23" s="8" t="s">
        <v>16</v>
      </c>
      <c r="B23" s="46">
        <v>96341</v>
      </c>
      <c r="C23" s="46">
        <v>0</v>
      </c>
      <c r="D23" s="46">
        <v>0</v>
      </c>
      <c r="E23" s="46">
        <v>0</v>
      </c>
      <c r="F23" s="46">
        <v>3529</v>
      </c>
      <c r="G23" s="46">
        <v>2069</v>
      </c>
      <c r="H23" s="46">
        <v>0</v>
      </c>
      <c r="I23" s="46"/>
      <c r="J23" s="46"/>
      <c r="K23" s="46"/>
      <c r="L23" s="46"/>
      <c r="M23" s="46"/>
      <c r="N23" s="46"/>
      <c r="O23" s="46">
        <v>5598</v>
      </c>
      <c r="P23" s="3"/>
      <c r="Q23" s="3"/>
      <c r="R23" s="3"/>
      <c r="S23" s="3"/>
      <c r="T23" s="3" t="s">
        <v>27</v>
      </c>
      <c r="U23" s="3" t="s">
        <v>28</v>
      </c>
    </row>
    <row r="24" spans="1:25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3"/>
      <c r="O24" s="10"/>
      <c r="P24" s="3"/>
      <c r="Q24" s="3"/>
      <c r="R24" s="3"/>
      <c r="S24" s="3" t="s">
        <v>10</v>
      </c>
      <c r="T24" s="13">
        <f>N42/1000</f>
        <v>430.39080000000001</v>
      </c>
      <c r="U24" s="14">
        <f>N43</f>
        <v>0.17272584547577036</v>
      </c>
    </row>
    <row r="25" spans="1:25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373.37099999999998</v>
      </c>
      <c r="U25" s="15">
        <f>G43</f>
        <v>0.14984247258801503</v>
      </c>
    </row>
    <row r="26" spans="1:25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5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10.172000000000001</v>
      </c>
      <c r="U27" s="14">
        <f>F43</f>
        <v>4.0822603554247355E-3</v>
      </c>
    </row>
    <row r="28" spans="1:25" ht="16" x14ac:dyDescent="0.2">
      <c r="A28" s="4" t="s">
        <v>73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138.49799999999999</v>
      </c>
      <c r="U28" s="14">
        <f>E43</f>
        <v>5.5582470969879567E-2</v>
      </c>
    </row>
    <row r="29" spans="1:25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7"/>
      <c r="S29" s="2" t="s">
        <v>3</v>
      </c>
      <c r="T29" s="2">
        <f>D42/1000</f>
        <v>0</v>
      </c>
      <c r="U29" s="52">
        <f>D43</f>
        <v>0</v>
      </c>
    </row>
    <row r="30" spans="1:25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7"/>
      <c r="S30" s="2" t="s">
        <v>8</v>
      </c>
      <c r="T30" s="2">
        <f>K42/1000</f>
        <v>0</v>
      </c>
      <c r="U30" s="52">
        <f>K43</f>
        <v>0</v>
      </c>
    </row>
    <row r="31" spans="1:25" ht="16" x14ac:dyDescent="0.2">
      <c r="A31" s="8" t="s">
        <v>33</v>
      </c>
      <c r="B31" s="46">
        <v>0</v>
      </c>
      <c r="C31" s="46">
        <v>3382</v>
      </c>
      <c r="D31" s="46">
        <v>0</v>
      </c>
      <c r="E31" s="46">
        <v>0</v>
      </c>
      <c r="F31" s="46">
        <v>350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3936</v>
      </c>
      <c r="O31" s="46">
        <v>7668</v>
      </c>
      <c r="P31" s="16">
        <f>O31/O$39</f>
        <v>3.0804768552461109E-3</v>
      </c>
      <c r="Q31" s="17" t="s">
        <v>34</v>
      </c>
      <c r="R31" s="6"/>
      <c r="S31" s="3" t="s">
        <v>5</v>
      </c>
      <c r="T31" s="13">
        <f>I42/1000</f>
        <v>1400</v>
      </c>
      <c r="U31" s="14">
        <f>I43</f>
        <v>0.56185258529243309</v>
      </c>
      <c r="W31" s="7"/>
      <c r="X31" s="7"/>
      <c r="Y31" s="7"/>
    </row>
    <row r="32" spans="1:25" ht="16" x14ac:dyDescent="0.2">
      <c r="A32" s="8" t="s">
        <v>36</v>
      </c>
      <c r="B32" s="46">
        <v>8161</v>
      </c>
      <c r="C32" s="89">
        <f>102097-C36-C35-C34-C33-C31+37228</f>
        <v>56260</v>
      </c>
      <c r="D32" s="46">
        <v>0</v>
      </c>
      <c r="E32" s="65">
        <f>110621+27877</f>
        <v>138498</v>
      </c>
      <c r="F32" s="103">
        <v>0</v>
      </c>
      <c r="G32" s="86">
        <v>356000</v>
      </c>
      <c r="H32" s="46">
        <v>0</v>
      </c>
      <c r="I32" s="86">
        <v>1400000</v>
      </c>
      <c r="J32" s="46"/>
      <c r="K32" s="46"/>
      <c r="L32" s="46"/>
      <c r="M32" s="45"/>
      <c r="N32" s="46">
        <f>534796-229890</f>
        <v>304906</v>
      </c>
      <c r="O32" s="86">
        <f>SUM(B32:N32)</f>
        <v>2263825</v>
      </c>
      <c r="P32" s="16">
        <f>O32/O$39</f>
        <v>0.90944972832909843</v>
      </c>
      <c r="Q32" s="17" t="s">
        <v>37</v>
      </c>
      <c r="R32" s="6"/>
      <c r="S32" s="3" t="s">
        <v>6</v>
      </c>
      <c r="T32" s="13">
        <f>H42/1000</f>
        <v>0</v>
      </c>
      <c r="U32" s="14">
        <f>H43</f>
        <v>0</v>
      </c>
      <c r="W32" s="6"/>
      <c r="X32" s="6"/>
      <c r="Y32" s="7"/>
    </row>
    <row r="33" spans="1:48" ht="16" x14ac:dyDescent="0.2">
      <c r="A33" s="8" t="s">
        <v>38</v>
      </c>
      <c r="B33" s="46">
        <v>8026</v>
      </c>
      <c r="C33" s="46">
        <v>141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10459</v>
      </c>
      <c r="O33" s="46">
        <v>18626</v>
      </c>
      <c r="P33" s="16">
        <f>O33/O$39</f>
        <v>7.4826502224587975E-3</v>
      </c>
      <c r="Q33" s="17" t="s">
        <v>39</v>
      </c>
      <c r="R33" s="6"/>
      <c r="S33" s="3" t="s">
        <v>35</v>
      </c>
      <c r="T33" s="13">
        <f>C42/1000</f>
        <v>139.32499999999999</v>
      </c>
      <c r="U33" s="15">
        <f>C43</f>
        <v>5.5914365318477315E-2</v>
      </c>
      <c r="W33" s="43"/>
      <c r="X33" s="46"/>
      <c r="Y33" s="7"/>
    </row>
    <row r="34" spans="1:48" ht="16" x14ac:dyDescent="0.2">
      <c r="A34" s="8" t="s">
        <v>40</v>
      </c>
      <c r="B34" s="46">
        <v>0</v>
      </c>
      <c r="C34" s="60">
        <f>O34-N34-F34</f>
        <v>78921</v>
      </c>
      <c r="D34" s="46">
        <v>0</v>
      </c>
      <c r="E34" s="46">
        <v>0</v>
      </c>
      <c r="F34" s="60">
        <v>6293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172</v>
      </c>
      <c r="O34" s="46">
        <v>85386</v>
      </c>
      <c r="P34" s="16">
        <f>O34/O$39</f>
        <v>3.4302242665889986E-2</v>
      </c>
      <c r="Q34" s="17" t="s">
        <v>41</v>
      </c>
      <c r="R34" s="6"/>
      <c r="S34" s="3"/>
      <c r="T34" s="13">
        <f>SUM(T24:T33)</f>
        <v>2491.7568000000001</v>
      </c>
      <c r="U34" s="14">
        <f>SUM(U24:U33)</f>
        <v>1</v>
      </c>
      <c r="W34" s="7"/>
      <c r="X34" s="7"/>
      <c r="Y34" s="7"/>
    </row>
    <row r="35" spans="1:48" ht="16" x14ac:dyDescent="0.2">
      <c r="A35" s="8" t="s">
        <v>42</v>
      </c>
      <c r="B35" s="46">
        <v>1165</v>
      </c>
      <c r="C35" s="46">
        <v>154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24501</v>
      </c>
      <c r="O35" s="46">
        <v>25820</v>
      </c>
      <c r="P35" s="16">
        <f>O35/O$39</f>
        <v>1.0372706364430696E-2</v>
      </c>
      <c r="Q35" s="17" t="s">
        <v>43</v>
      </c>
      <c r="R35" s="6"/>
      <c r="W35" s="7"/>
      <c r="X35" s="7"/>
      <c r="Y35" s="7"/>
    </row>
    <row r="36" spans="1:48" ht="16" x14ac:dyDescent="0.2">
      <c r="A36" s="8" t="s">
        <v>44</v>
      </c>
      <c r="B36" s="46">
        <v>4446</v>
      </c>
      <c r="C36" s="46">
        <v>467</v>
      </c>
      <c r="D36" s="46">
        <v>0</v>
      </c>
      <c r="E36" s="46">
        <v>0</v>
      </c>
      <c r="F36" s="46">
        <v>0</v>
      </c>
      <c r="G36" s="46">
        <v>15302</v>
      </c>
      <c r="H36" s="46">
        <v>0</v>
      </c>
      <c r="I36" s="46"/>
      <c r="J36" s="46"/>
      <c r="K36" s="46"/>
      <c r="L36" s="46"/>
      <c r="M36" s="45"/>
      <c r="N36" s="46">
        <v>50220</v>
      </c>
      <c r="O36" s="46">
        <v>70436</v>
      </c>
      <c r="P36" s="17"/>
      <c r="Q36" s="17"/>
      <c r="R36" s="6"/>
      <c r="S36" s="7"/>
      <c r="T36" s="7"/>
      <c r="U36" s="7"/>
      <c r="W36" s="7"/>
      <c r="X36" s="7"/>
      <c r="Y36" s="7"/>
    </row>
    <row r="37" spans="1:48" ht="16" x14ac:dyDescent="0.2">
      <c r="A37" s="8" t="s">
        <v>45</v>
      </c>
      <c r="B37" s="46">
        <v>13148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3615</v>
      </c>
      <c r="O37" s="46">
        <v>16763</v>
      </c>
      <c r="P37" s="17"/>
      <c r="Q37" s="17"/>
      <c r="R37" s="6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701</v>
      </c>
      <c r="O38" s="46">
        <v>701</v>
      </c>
      <c r="P38" s="17">
        <f>SUM(P31:P35)</f>
        <v>0.96468780443712399</v>
      </c>
      <c r="Q38" s="17"/>
      <c r="R38" s="6"/>
      <c r="S38" s="7" t="s">
        <v>47</v>
      </c>
      <c r="T38" s="19">
        <f>O45/1000</f>
        <v>47.275800000000004</v>
      </c>
      <c r="U38" s="7"/>
    </row>
    <row r="39" spans="1:48" ht="16" x14ac:dyDescent="0.2">
      <c r="A39" s="8" t="s">
        <v>16</v>
      </c>
      <c r="B39" s="46">
        <v>34946</v>
      </c>
      <c r="C39" s="46">
        <f>102097+37228</f>
        <v>139325</v>
      </c>
      <c r="D39" s="46">
        <v>0</v>
      </c>
      <c r="E39" s="65">
        <f>SUM(E31:E38)</f>
        <v>138498</v>
      </c>
      <c r="F39" s="60">
        <f>SUM(F31:F38)</f>
        <v>6643</v>
      </c>
      <c r="G39" s="86">
        <f>SUM(G31:G38)</f>
        <v>371302</v>
      </c>
      <c r="H39" s="46">
        <v>0</v>
      </c>
      <c r="I39" s="86">
        <f>SUM(I31:I38)</f>
        <v>1400000</v>
      </c>
      <c r="J39" s="46"/>
      <c r="K39" s="46"/>
      <c r="L39" s="46"/>
      <c r="M39" s="45"/>
      <c r="N39" s="46">
        <f>SUM(N31:N38)</f>
        <v>398510</v>
      </c>
      <c r="O39" s="86">
        <f>SUM(O31:O38)</f>
        <v>2489225</v>
      </c>
      <c r="P39" s="3"/>
      <c r="Q39" s="3"/>
      <c r="R39" s="6"/>
      <c r="S39" s="7" t="s">
        <v>48</v>
      </c>
      <c r="T39" s="20">
        <f>O41/1000</f>
        <v>87.9</v>
      </c>
      <c r="U39" s="14">
        <f>P41</f>
        <v>3.5312195562875993E-2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R40" s="7"/>
      <c r="S40" s="7" t="s">
        <v>49</v>
      </c>
      <c r="T40" s="20">
        <f>O35/1000</f>
        <v>25.82</v>
      </c>
      <c r="U40" s="15">
        <f>P35</f>
        <v>1.0372706364430696E-2</v>
      </c>
    </row>
    <row r="41" spans="1:48" ht="16" x14ac:dyDescent="0.2">
      <c r="A41" s="21" t="s">
        <v>50</v>
      </c>
      <c r="B41" s="22">
        <f>B38+B37+B36</f>
        <v>17594</v>
      </c>
      <c r="C41" s="22">
        <f t="shared" ref="C41:O41" si="1">C38+C37+C36</f>
        <v>467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15302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54536</v>
      </c>
      <c r="O41" s="22">
        <f t="shared" si="1"/>
        <v>87900</v>
      </c>
      <c r="P41" s="16">
        <f>O41/O$39</f>
        <v>3.5312195562875993E-2</v>
      </c>
      <c r="Q41" s="16" t="s">
        <v>51</v>
      </c>
      <c r="R41" s="7"/>
      <c r="S41" s="7" t="s">
        <v>52</v>
      </c>
      <c r="T41" s="20">
        <f>O33/1000</f>
        <v>18.626000000000001</v>
      </c>
      <c r="U41" s="14">
        <f>P33</f>
        <v>7.4826502224587975E-3</v>
      </c>
    </row>
    <row r="42" spans="1:48" ht="16" x14ac:dyDescent="0.2">
      <c r="A42" s="23" t="s">
        <v>53</v>
      </c>
      <c r="B42" s="22"/>
      <c r="C42" s="24">
        <f>C39+C23+C10</f>
        <v>139325</v>
      </c>
      <c r="D42" s="24">
        <f t="shared" ref="D42:M42" si="2">D39+D23+D10</f>
        <v>0</v>
      </c>
      <c r="E42" s="24">
        <f t="shared" si="2"/>
        <v>138498</v>
      </c>
      <c r="F42" s="24">
        <f t="shared" si="2"/>
        <v>10172</v>
      </c>
      <c r="G42" s="24">
        <f t="shared" si="2"/>
        <v>373371</v>
      </c>
      <c r="H42" s="24">
        <f t="shared" si="2"/>
        <v>0</v>
      </c>
      <c r="I42" s="24">
        <f t="shared" si="2"/>
        <v>1400000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430390.8</v>
      </c>
      <c r="O42" s="25">
        <f>SUM(C42:N42)</f>
        <v>2491756.7999999998</v>
      </c>
      <c r="P42" s="7"/>
      <c r="Q42" s="7"/>
      <c r="R42" s="7"/>
      <c r="S42" s="7" t="s">
        <v>34</v>
      </c>
      <c r="T42" s="20">
        <f>O31/1000</f>
        <v>7.6680000000000001</v>
      </c>
      <c r="U42" s="14">
        <f>P31</f>
        <v>3.0804768552461109E-3</v>
      </c>
    </row>
    <row r="43" spans="1:48" ht="16" x14ac:dyDescent="0.2">
      <c r="A43" s="23" t="s">
        <v>54</v>
      </c>
      <c r="B43" s="22"/>
      <c r="C43" s="16">
        <f t="shared" ref="C43:N43" si="3">C42/$O42</f>
        <v>5.5914365318477315E-2</v>
      </c>
      <c r="D43" s="16">
        <f t="shared" si="3"/>
        <v>0</v>
      </c>
      <c r="E43" s="16">
        <f t="shared" si="3"/>
        <v>5.5582470969879567E-2</v>
      </c>
      <c r="F43" s="16">
        <f t="shared" si="3"/>
        <v>4.0822603554247355E-3</v>
      </c>
      <c r="G43" s="16">
        <f t="shared" si="3"/>
        <v>0.14984247258801503</v>
      </c>
      <c r="H43" s="16">
        <f t="shared" si="3"/>
        <v>0</v>
      </c>
      <c r="I43" s="16">
        <f t="shared" si="3"/>
        <v>0.56185258529243309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0.17272584547577036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2263.8249999999998</v>
      </c>
      <c r="U43" s="15">
        <f>P32</f>
        <v>0.90944972832909843</v>
      </c>
    </row>
    <row r="44" spans="1:48" ht="16" x14ac:dyDescent="0.2">
      <c r="A44" s="6" t="s">
        <v>92</v>
      </c>
      <c r="B44" s="46">
        <v>46000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85.385999999999996</v>
      </c>
      <c r="U44" s="15">
        <f>P34</f>
        <v>3.4302242665889986E-2</v>
      </c>
    </row>
    <row r="45" spans="1:48" ht="16" x14ac:dyDescent="0.2">
      <c r="A45" s="6" t="s">
        <v>57</v>
      </c>
      <c r="B45" s="26">
        <f>B23-B39-B44</f>
        <v>15395</v>
      </c>
      <c r="C45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31880.799999999999</v>
      </c>
      <c r="O45" s="25">
        <f>B45+N45</f>
        <v>47275.8</v>
      </c>
      <c r="P45" s="7"/>
      <c r="Q45" s="7"/>
      <c r="R45" s="7"/>
      <c r="S45" s="7" t="s">
        <v>58</v>
      </c>
      <c r="T45" s="20">
        <f>SUM(T39:T44)</f>
        <v>2489.2249999999999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0.15979697117530439</v>
      </c>
      <c r="C46" s="82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/>
      <c r="O47" s="9"/>
      <c r="P47" s="9"/>
      <c r="Q47" s="27"/>
      <c r="R47" s="4"/>
      <c r="S47" s="4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27"/>
      <c r="AH47" s="4"/>
      <c r="AI47" s="4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2">
      <c r="A48" s="27"/>
      <c r="B48" s="4"/>
      <c r="C48" s="9"/>
      <c r="D48" s="18"/>
      <c r="E48" s="9"/>
      <c r="G48" s="9"/>
      <c r="H48" s="18"/>
      <c r="I48" s="9"/>
      <c r="J48" s="9"/>
      <c r="K48" s="9"/>
      <c r="L48" s="9"/>
      <c r="M48" s="9"/>
      <c r="N48" s="27"/>
      <c r="O48" s="9"/>
      <c r="P48" s="9"/>
      <c r="Q48" s="27"/>
      <c r="R48" s="27"/>
      <c r="S48" s="4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27"/>
      <c r="AH48" s="27"/>
      <c r="AI48" s="4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x14ac:dyDescent="0.2">
      <c r="A49" s="2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7"/>
      <c r="R49" s="27"/>
      <c r="S49" s="4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27"/>
      <c r="AH49" s="27"/>
      <c r="AI49" s="4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x14ac:dyDescent="0.2">
      <c r="A50" s="2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7"/>
      <c r="O50" s="9"/>
      <c r="P50" s="9"/>
      <c r="Q50" s="27"/>
      <c r="R50" s="27"/>
      <c r="S50" s="4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27"/>
      <c r="AH50" s="27"/>
      <c r="AI50" s="4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7"/>
      <c r="O51" s="9"/>
      <c r="P51" s="9"/>
      <c r="Q51" s="27"/>
      <c r="R51" s="27"/>
      <c r="S51" s="4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27"/>
      <c r="AH51" s="27"/>
      <c r="AI51" s="4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27"/>
      <c r="O52" s="9"/>
      <c r="P52" s="9"/>
      <c r="Q52" s="27"/>
      <c r="R52" s="27"/>
      <c r="S52" s="4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27"/>
      <c r="O53" s="9"/>
      <c r="P53" s="9"/>
      <c r="Q53" s="27"/>
      <c r="R53" s="27"/>
      <c r="S53" s="4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27"/>
      <c r="O54" s="9"/>
      <c r="P54" s="9"/>
      <c r="Q54" s="27"/>
      <c r="R54" s="27"/>
      <c r="S54" s="4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9"/>
      <c r="D55" s="18"/>
      <c r="E55" s="9"/>
      <c r="F55" s="9"/>
      <c r="G55" s="18"/>
      <c r="H55" s="18"/>
      <c r="I55" s="9"/>
      <c r="J55" s="9"/>
      <c r="K55" s="9"/>
      <c r="L55" s="9"/>
      <c r="M55" s="9"/>
      <c r="N55" s="27"/>
      <c r="O55" s="9"/>
      <c r="P55" s="9"/>
      <c r="Q55" s="27"/>
      <c r="R55" s="27"/>
      <c r="S55" s="4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74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166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26717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6368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6">
        <f>SUM(B4:B9)</f>
        <v>33251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74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39823+7754</f>
        <v>47577</v>
      </c>
      <c r="C18" s="46">
        <v>1144</v>
      </c>
      <c r="D18" s="46">
        <v>0</v>
      </c>
      <c r="E18" s="46">
        <v>0</v>
      </c>
      <c r="F18" s="46">
        <v>0</v>
      </c>
      <c r="G18" s="46">
        <v>45900</v>
      </c>
      <c r="H18" s="46">
        <v>0</v>
      </c>
      <c r="I18" s="46"/>
      <c r="J18" s="46"/>
      <c r="K18" s="46"/>
      <c r="L18" s="46"/>
      <c r="M18" s="46"/>
      <c r="N18" s="46"/>
      <c r="O18" s="46">
        <v>47044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356.45004000000006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47577</v>
      </c>
      <c r="C23" s="46">
        <v>1144</v>
      </c>
      <c r="D23" s="46">
        <v>0</v>
      </c>
      <c r="E23" s="46">
        <v>0</v>
      </c>
      <c r="F23" s="46">
        <v>0</v>
      </c>
      <c r="G23" s="46">
        <v>45900</v>
      </c>
      <c r="H23" s="46">
        <v>0</v>
      </c>
      <c r="I23" s="46"/>
      <c r="J23" s="46"/>
      <c r="K23" s="46"/>
      <c r="L23" s="46"/>
      <c r="M23" s="46"/>
      <c r="N23" s="46"/>
      <c r="O23" s="46">
        <v>47044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120.05604000000001</v>
      </c>
      <c r="U24" s="14">
        <f>N43</f>
        <v>0.33681028623253906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97.956999999999994</v>
      </c>
      <c r="U25" s="15">
        <f>G43</f>
        <v>0.27481270587036544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9.9169999999999998</v>
      </c>
      <c r="U27" s="14">
        <f>F43</f>
        <v>2.7821570731202609E-2</v>
      </c>
    </row>
    <row r="28" spans="1:21" ht="16" x14ac:dyDescent="0.2">
      <c r="A28" s="4" t="s">
        <v>74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12405</v>
      </c>
      <c r="D31" s="46">
        <v>0</v>
      </c>
      <c r="E31" s="46">
        <v>0</v>
      </c>
      <c r="F31" s="46">
        <v>1284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4308</v>
      </c>
      <c r="O31" s="46">
        <v>17997</v>
      </c>
      <c r="P31" s="16">
        <f>O31/O$39</f>
        <v>5.2589438864813848E-2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7129</v>
      </c>
      <c r="C32" s="60">
        <v>2099</v>
      </c>
      <c r="D32" s="46">
        <v>0</v>
      </c>
      <c r="E32" s="46">
        <v>0</v>
      </c>
      <c r="F32" s="46">
        <v>0</v>
      </c>
      <c r="G32" s="60">
        <v>2064</v>
      </c>
      <c r="H32" s="46">
        <v>0</v>
      </c>
      <c r="I32" s="46"/>
      <c r="J32" s="46"/>
      <c r="K32" s="46"/>
      <c r="L32" s="46"/>
      <c r="M32" s="45"/>
      <c r="N32" s="46">
        <v>20543</v>
      </c>
      <c r="O32" s="46">
        <v>31835</v>
      </c>
      <c r="P32" s="16">
        <f>O32/O$39</f>
        <v>9.302577019844134E-2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9252</v>
      </c>
      <c r="C33" s="46">
        <v>2194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10667</v>
      </c>
      <c r="O33" s="46">
        <v>22113</v>
      </c>
      <c r="P33" s="16">
        <f>O33/O$39</f>
        <v>6.4616895127945134E-2</v>
      </c>
      <c r="Q33" s="17" t="s">
        <v>39</v>
      </c>
      <c r="R33" s="67"/>
      <c r="S33" s="3" t="s">
        <v>35</v>
      </c>
      <c r="T33" s="13">
        <f>C42/1000</f>
        <v>128.52000000000001</v>
      </c>
      <c r="U33" s="15">
        <f>C43</f>
        <v>0.36055543716589283</v>
      </c>
      <c r="W33" s="43"/>
      <c r="X33" s="60"/>
    </row>
    <row r="34" spans="1:48" ht="16" x14ac:dyDescent="0.2">
      <c r="A34" s="8" t="s">
        <v>40</v>
      </c>
      <c r="B34" s="46">
        <v>0</v>
      </c>
      <c r="C34" s="46">
        <v>110271</v>
      </c>
      <c r="D34" s="46">
        <v>0</v>
      </c>
      <c r="E34" s="46">
        <v>0</v>
      </c>
      <c r="F34" s="46">
        <v>8633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13</v>
      </c>
      <c r="O34" s="46">
        <v>118917</v>
      </c>
      <c r="P34" s="16">
        <f>O34/O$39</f>
        <v>0.34749004286753726</v>
      </c>
      <c r="Q34" s="17" t="s">
        <v>41</v>
      </c>
      <c r="R34" s="67"/>
      <c r="S34" s="3"/>
      <c r="T34" s="13">
        <f>SUM(T24:T33)</f>
        <v>356.45004</v>
      </c>
      <c r="U34" s="14">
        <f>SUM(U24:U33)</f>
        <v>1</v>
      </c>
    </row>
    <row r="35" spans="1:48" ht="16" x14ac:dyDescent="0.2">
      <c r="A35" s="8" t="s">
        <v>42</v>
      </c>
      <c r="B35" s="46">
        <v>4174</v>
      </c>
      <c r="C35" s="46">
        <v>172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26378</v>
      </c>
      <c r="O35" s="46">
        <v>30724</v>
      </c>
      <c r="P35" s="16">
        <f>O35/O$39</f>
        <v>8.9779292086600029E-2</v>
      </c>
      <c r="Q35" s="17" t="s">
        <v>43</v>
      </c>
      <c r="R35" s="67"/>
    </row>
    <row r="36" spans="1:48" ht="16" x14ac:dyDescent="0.2">
      <c r="A36" s="8" t="s">
        <v>44</v>
      </c>
      <c r="B36" s="46">
        <v>4175</v>
      </c>
      <c r="C36" s="60">
        <v>235</v>
      </c>
      <c r="D36" s="46">
        <v>0</v>
      </c>
      <c r="E36" s="46">
        <v>0</v>
      </c>
      <c r="F36" s="46">
        <v>0</v>
      </c>
      <c r="G36" s="60">
        <f>G39-G32</f>
        <v>49993</v>
      </c>
      <c r="H36" s="46">
        <v>0</v>
      </c>
      <c r="I36" s="46"/>
      <c r="J36" s="46"/>
      <c r="K36" s="46"/>
      <c r="L36" s="46"/>
      <c r="M36" s="45"/>
      <c r="N36" s="46">
        <v>42289</v>
      </c>
      <c r="O36" s="46">
        <v>96691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16974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4077</v>
      </c>
      <c r="O37" s="46">
        <v>21051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2888</v>
      </c>
      <c r="O38" s="46">
        <v>2888</v>
      </c>
      <c r="P38" s="17">
        <f>SUM(P31:P35)</f>
        <v>0.64750143914533764</v>
      </c>
      <c r="Q38" s="17"/>
      <c r="R38" s="67"/>
      <c r="S38" s="7" t="s">
        <v>47</v>
      </c>
      <c r="T38" s="19">
        <f>O45/1000</f>
        <v>14.76604</v>
      </c>
      <c r="U38" s="7"/>
    </row>
    <row r="39" spans="1:48" ht="16" x14ac:dyDescent="0.2">
      <c r="A39" s="8" t="s">
        <v>16</v>
      </c>
      <c r="B39" s="46">
        <v>41704</v>
      </c>
      <c r="C39" s="46">
        <v>127376</v>
      </c>
      <c r="D39" s="46">
        <v>0</v>
      </c>
      <c r="E39" s="46">
        <v>0</v>
      </c>
      <c r="F39" s="46">
        <v>9917</v>
      </c>
      <c r="G39" s="46">
        <v>52057</v>
      </c>
      <c r="H39" s="46">
        <v>0</v>
      </c>
      <c r="I39" s="46"/>
      <c r="J39" s="46"/>
      <c r="K39" s="46"/>
      <c r="L39" s="46"/>
      <c r="M39" s="45"/>
      <c r="N39" s="46">
        <v>111163</v>
      </c>
      <c r="O39" s="46">
        <v>342217</v>
      </c>
      <c r="P39" s="3"/>
      <c r="Q39" s="3"/>
      <c r="R39" s="67"/>
      <c r="S39" s="7" t="s">
        <v>48</v>
      </c>
      <c r="T39" s="20">
        <f>O41/1000</f>
        <v>120.63</v>
      </c>
      <c r="U39" s="14">
        <f>P41</f>
        <v>0.35249563873214951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30.724</v>
      </c>
      <c r="U40" s="15">
        <f>P35</f>
        <v>8.9779292086600029E-2</v>
      </c>
    </row>
    <row r="41" spans="1:48" ht="16" x14ac:dyDescent="0.2">
      <c r="A41" s="21" t="s">
        <v>50</v>
      </c>
      <c r="B41" s="22">
        <f>B38+B37+B36</f>
        <v>21149</v>
      </c>
      <c r="C41" s="22">
        <f t="shared" ref="C41:O41" si="0">C38+C37+C36</f>
        <v>235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49993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49254</v>
      </c>
      <c r="O41" s="22">
        <f t="shared" si="0"/>
        <v>120630</v>
      </c>
      <c r="P41" s="16">
        <f>O41/O$39</f>
        <v>0.35249563873214951</v>
      </c>
      <c r="Q41" s="16" t="s">
        <v>51</v>
      </c>
      <c r="R41" s="7"/>
      <c r="S41" s="7" t="s">
        <v>52</v>
      </c>
      <c r="T41" s="20">
        <f>O33/1000</f>
        <v>22.113</v>
      </c>
      <c r="U41" s="14">
        <f>P33</f>
        <v>6.4616895127945134E-2</v>
      </c>
    </row>
    <row r="42" spans="1:48" ht="16" x14ac:dyDescent="0.2">
      <c r="A42" s="23" t="s">
        <v>53</v>
      </c>
      <c r="B42" s="22"/>
      <c r="C42" s="24">
        <f>C39+C23+C10</f>
        <v>128520</v>
      </c>
      <c r="D42" s="24">
        <f t="shared" ref="D42:M42" si="1">D39+D23+D10</f>
        <v>0</v>
      </c>
      <c r="E42" s="24">
        <f t="shared" si="1"/>
        <v>0</v>
      </c>
      <c r="F42" s="24">
        <f t="shared" si="1"/>
        <v>9917</v>
      </c>
      <c r="G42" s="24">
        <f t="shared" si="1"/>
        <v>97957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120056.04000000001</v>
      </c>
      <c r="O42" s="25">
        <f>SUM(C42:N42)</f>
        <v>356450.04000000004</v>
      </c>
      <c r="P42" s="7"/>
      <c r="Q42" s="7"/>
      <c r="R42" s="7"/>
      <c r="S42" s="7" t="s">
        <v>34</v>
      </c>
      <c r="T42" s="20">
        <f>O31/1000</f>
        <v>17.997</v>
      </c>
      <c r="U42" s="14">
        <f>P31</f>
        <v>5.2589438864813848E-2</v>
      </c>
    </row>
    <row r="43" spans="1:48" ht="16" x14ac:dyDescent="0.2">
      <c r="A43" s="23" t="s">
        <v>54</v>
      </c>
      <c r="B43" s="22"/>
      <c r="C43" s="16">
        <f t="shared" ref="C43:N43" si="2">C42/$O42</f>
        <v>0.36055543716589283</v>
      </c>
      <c r="D43" s="16">
        <f t="shared" si="2"/>
        <v>0</v>
      </c>
      <c r="E43" s="16">
        <f t="shared" si="2"/>
        <v>0</v>
      </c>
      <c r="F43" s="16">
        <f t="shared" si="2"/>
        <v>2.7821570731202609E-2</v>
      </c>
      <c r="G43" s="16">
        <f t="shared" si="2"/>
        <v>0.27481270587036544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0.33681028623253906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31.835000000000001</v>
      </c>
      <c r="U43" s="15">
        <f>P32</f>
        <v>9.302577019844134E-2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118.917</v>
      </c>
      <c r="U44" s="15">
        <f>P34</f>
        <v>0.34749004286753726</v>
      </c>
    </row>
    <row r="45" spans="1:48" ht="16" x14ac:dyDescent="0.2">
      <c r="A45" s="6" t="s">
        <v>57</v>
      </c>
      <c r="B45" s="26">
        <f>B23-B39</f>
        <v>5873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8893.0400000000009</v>
      </c>
      <c r="O45" s="25">
        <f>B45+N45</f>
        <v>14766.04</v>
      </c>
      <c r="P45" s="7"/>
      <c r="Q45" s="7"/>
      <c r="R45" s="7"/>
      <c r="S45" s="7" t="s">
        <v>58</v>
      </c>
      <c r="T45" s="20">
        <f>SUM(T39:T44)</f>
        <v>342.21600000000001</v>
      </c>
      <c r="U45" s="14">
        <f>SUM(U39:U44)</f>
        <v>0.99999707787748715</v>
      </c>
    </row>
    <row r="46" spans="1:48" ht="16" x14ac:dyDescent="0.2">
      <c r="A46" s="9" t="s">
        <v>91</v>
      </c>
      <c r="B46" s="70">
        <f>B45/B23</f>
        <v>0.12344199928536898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8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8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8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3"/>
  <sheetViews>
    <sheetView workbookViewId="0">
      <selection activeCell="A11" sqref="A11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0.6640625" style="2" customWidth="1"/>
    <col min="4" max="4" width="8.6640625" style="2"/>
    <col min="5" max="5" width="9.83203125" style="2" customWidth="1"/>
    <col min="6" max="6" width="8.6640625" style="2"/>
    <col min="7" max="7" width="10" style="2" bestFit="1" customWidth="1"/>
    <col min="8" max="8" width="8.6640625" style="2"/>
    <col min="9" max="9" width="9.1640625" style="2" bestFit="1" customWidth="1"/>
    <col min="10" max="10" width="8.6640625" style="2"/>
    <col min="11" max="11" width="9.33203125" style="2" customWidth="1"/>
    <col min="12" max="12" width="7.6640625" style="2" customWidth="1"/>
    <col min="13" max="13" width="7.5" style="2" customWidth="1"/>
    <col min="14" max="14" width="10.33203125" style="2" customWidth="1"/>
    <col min="15" max="15" width="11.33203125" style="2" customWidth="1"/>
    <col min="16" max="16" width="10.1640625" style="2" customWidth="1"/>
    <col min="17" max="17" width="9.5" style="2" customWidth="1"/>
    <col min="18" max="18" width="8.5" style="2" customWidth="1"/>
    <col min="19" max="20" width="8.6640625" style="2"/>
    <col min="21" max="21" width="10.1640625" style="2" bestFit="1" customWidth="1"/>
    <col min="22" max="22" width="8.6640625" style="2"/>
    <col min="23" max="23" width="12.1640625" style="2" customWidth="1"/>
    <col min="24" max="16384" width="8.6640625" style="2"/>
  </cols>
  <sheetData>
    <row r="1" spans="1:27" ht="19" x14ac:dyDescent="0.25">
      <c r="A1" s="1" t="s">
        <v>0</v>
      </c>
      <c r="P1" s="3"/>
      <c r="Q1" s="3"/>
      <c r="R1" s="3"/>
      <c r="S1" s="3"/>
      <c r="T1" s="3"/>
      <c r="U1" s="3"/>
    </row>
    <row r="2" spans="1:27" ht="16" x14ac:dyDescent="0.2">
      <c r="A2" s="4" t="s">
        <v>95</v>
      </c>
      <c r="P2" s="3"/>
      <c r="Q2" s="3"/>
      <c r="R2" s="3"/>
      <c r="S2" s="3"/>
      <c r="T2" s="3"/>
      <c r="U2" s="3"/>
    </row>
    <row r="3" spans="1:27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P3" s="9"/>
      <c r="Q3" s="9"/>
      <c r="R3" s="9"/>
      <c r="S3" s="9"/>
      <c r="T3" s="9"/>
      <c r="U3" s="9"/>
    </row>
    <row r="4" spans="1:27" x14ac:dyDescent="0.2">
      <c r="A4" s="8" t="s">
        <v>99</v>
      </c>
      <c r="B4" s="18">
        <f>SUM(Svalöv:Hässleholm!B4)</f>
        <v>21094</v>
      </c>
      <c r="C4" s="9"/>
      <c r="D4" s="10"/>
      <c r="P4" s="9"/>
      <c r="Q4" s="9"/>
      <c r="R4" s="9"/>
      <c r="S4" s="9"/>
      <c r="T4" s="9"/>
      <c r="U4" s="9"/>
    </row>
    <row r="5" spans="1:27" ht="16" x14ac:dyDescent="0.2">
      <c r="A5" s="5" t="s">
        <v>103</v>
      </c>
      <c r="B5" s="18">
        <f>SUM(Svalöv:Hässleholm!B5)</f>
        <v>4485</v>
      </c>
      <c r="C5" s="45"/>
      <c r="D5" s="45"/>
      <c r="E5" s="45"/>
      <c r="F5" s="45"/>
      <c r="G5" s="45"/>
      <c r="P5" s="9"/>
      <c r="Q5" s="9"/>
      <c r="R5" s="9"/>
      <c r="S5" s="9"/>
      <c r="T5" s="9"/>
      <c r="U5" s="9"/>
    </row>
    <row r="6" spans="1:27" x14ac:dyDescent="0.2">
      <c r="A6" s="8" t="s">
        <v>20</v>
      </c>
      <c r="B6" s="18">
        <f>SUM(Svalöv:Hässleholm!B6)</f>
        <v>1460395.47</v>
      </c>
      <c r="C6" s="18">
        <f>SUM(Svalöv:Hässleholm!C6)</f>
        <v>0</v>
      </c>
      <c r="D6" s="18">
        <f>SUM(Svalöv:Hässleholm!D6)</f>
        <v>0</v>
      </c>
      <c r="E6" s="18">
        <f>SUM(Svalöv:Hässleholm!E6)</f>
        <v>0</v>
      </c>
      <c r="F6" s="18">
        <f>SUM(Svalöv:Hässleholm!F6)</f>
        <v>0</v>
      </c>
      <c r="G6" s="18">
        <f>SUM(Svalöv:Hässleholm!G6)</f>
        <v>0</v>
      </c>
      <c r="H6" s="18">
        <f>SUM(Svalöv:Hässleholm!H6)</f>
        <v>0</v>
      </c>
      <c r="I6" s="18">
        <f>SUM(Svalöv:Hässleholm!I6)</f>
        <v>0</v>
      </c>
      <c r="J6" s="18">
        <f>SUM(Svalöv:Hässleholm!J6)</f>
        <v>0</v>
      </c>
      <c r="K6" s="18">
        <f>SUM(Svalöv:Hässleholm!K6)</f>
        <v>0</v>
      </c>
      <c r="L6" s="18"/>
      <c r="M6" s="18"/>
      <c r="N6" s="18"/>
      <c r="O6" s="18">
        <f>SUM(C6:N6)</f>
        <v>0</v>
      </c>
      <c r="P6" s="9"/>
      <c r="Q6" s="9"/>
      <c r="R6" s="9"/>
      <c r="S6" s="9"/>
      <c r="T6" s="9"/>
      <c r="U6" s="9"/>
    </row>
    <row r="7" spans="1:27" x14ac:dyDescent="0.2">
      <c r="A7" s="8" t="s">
        <v>13</v>
      </c>
      <c r="B7" s="18">
        <f>SUM(Svalöv:Hässleholm!B7)</f>
        <v>645</v>
      </c>
      <c r="C7" s="18">
        <f>SUM(Svalöv:Hässleholm!C7)</f>
        <v>4816</v>
      </c>
      <c r="D7" s="18">
        <f>SUM(Svalöv:Hässleholm!D7)</f>
        <v>0</v>
      </c>
      <c r="E7" s="18">
        <f>SUM(Svalöv:Hässleholm!E7)</f>
        <v>0</v>
      </c>
      <c r="F7" s="18">
        <f>SUM(Svalöv:Hässleholm!F7)</f>
        <v>0</v>
      </c>
      <c r="G7" s="18">
        <f>SUM(Svalöv:Hässleholm!G7)</f>
        <v>0</v>
      </c>
      <c r="H7" s="18">
        <f>SUM(Svalöv:Hässleholm!H7)</f>
        <v>0</v>
      </c>
      <c r="I7" s="18">
        <f>SUM(Svalöv:Hässleholm!I7)</f>
        <v>0</v>
      </c>
      <c r="J7" s="18">
        <f>SUM(Svalöv:Hässleholm!J7)</f>
        <v>0</v>
      </c>
      <c r="K7" s="18">
        <f>SUM(Svalöv:Hässleholm!K7)</f>
        <v>0</v>
      </c>
      <c r="L7" s="18"/>
      <c r="M7" s="18"/>
      <c r="N7" s="18"/>
      <c r="O7" s="18">
        <f>SUM(C7:N7)</f>
        <v>4816</v>
      </c>
      <c r="P7" s="9"/>
      <c r="Q7" s="9"/>
      <c r="R7" s="9"/>
      <c r="S7" s="9"/>
      <c r="T7" s="9"/>
      <c r="U7" s="9"/>
    </row>
    <row r="8" spans="1:27" x14ac:dyDescent="0.2">
      <c r="A8" s="8" t="s">
        <v>14</v>
      </c>
      <c r="B8" s="18">
        <f>SUM(Svalöv:Hässleholm!B8)</f>
        <v>130904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x14ac:dyDescent="0.2">
      <c r="A9" s="8" t="s">
        <v>15</v>
      </c>
      <c r="B9" s="18">
        <f>SUM(Svalöv:Hässleholm!B9)</f>
        <v>1500065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">
      <c r="A10" s="8" t="s">
        <v>16</v>
      </c>
      <c r="B10" s="18">
        <f>SUM(B4:B9)</f>
        <v>3117588.4699999997</v>
      </c>
      <c r="C10" s="18">
        <f>SUM(C6:C9)</f>
        <v>4816</v>
      </c>
      <c r="D10" s="18">
        <f>SUM(Svalöv:Hässleholm!D10)</f>
        <v>0</v>
      </c>
      <c r="E10" s="18">
        <f>SUM(Svalöv:Hässleholm!E10)</f>
        <v>0</v>
      </c>
      <c r="F10" s="18">
        <f>SUM(Svalöv:Hässleholm!F10)</f>
        <v>0</v>
      </c>
      <c r="G10" s="18">
        <f>SUM(Svalöv:Hässleholm!G10)</f>
        <v>0</v>
      </c>
      <c r="H10" s="18">
        <f>SUM(Svalöv:Hässleholm!H10)</f>
        <v>0</v>
      </c>
      <c r="I10" s="18">
        <f>SUM(Svalöv:Hässleholm!I10)</f>
        <v>0</v>
      </c>
      <c r="J10" s="18">
        <f>SUM(Svalöv:Hässleholm!J10)</f>
        <v>0</v>
      </c>
      <c r="K10" s="18">
        <f>SUM(Svalöv:Hässleholm!K10)</f>
        <v>0</v>
      </c>
      <c r="L10" s="9"/>
      <c r="M10" s="9"/>
      <c r="N10" s="9"/>
      <c r="O10" s="18">
        <f>SUM(O6:O9)</f>
        <v>4816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">
      <c r="A11" s="42"/>
      <c r="B11" s="43"/>
      <c r="C11" s="43"/>
      <c r="D11" s="43"/>
      <c r="E11" s="88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9" x14ac:dyDescent="0.25">
      <c r="A13" s="1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">
      <c r="A14" s="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6" x14ac:dyDescent="0.2">
      <c r="B16" s="10"/>
      <c r="C16" s="45"/>
      <c r="D16" s="45"/>
      <c r="E16" s="45"/>
      <c r="F16" s="45"/>
      <c r="G16" s="45"/>
      <c r="H16" s="10"/>
      <c r="I16" s="10"/>
      <c r="J16" s="10"/>
      <c r="K16" s="10"/>
      <c r="L16" s="10"/>
      <c r="M16" s="10"/>
      <c r="N16" s="10"/>
      <c r="O16" s="10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8" t="s">
        <v>20</v>
      </c>
      <c r="B17" s="18">
        <f>SUM(Svalöv:Hässleholm!B17)</f>
        <v>4638408</v>
      </c>
      <c r="C17" s="18">
        <f>SUM(Svalöv:Hässleholm!C17)</f>
        <v>10514</v>
      </c>
      <c r="D17" s="18">
        <f>SUM(Svalöv:Hässleholm!D17)</f>
        <v>0</v>
      </c>
      <c r="E17" s="18">
        <f>SUM(Svalöv:Hässleholm!E17)</f>
        <v>1415725</v>
      </c>
      <c r="F17" s="18">
        <f>SUM(Svalöv:Hässleholm!F17)</f>
        <v>54112</v>
      </c>
      <c r="G17" s="18">
        <f>SUM(Svalöv:Hässleholm!G17)</f>
        <v>1505146</v>
      </c>
      <c r="H17" s="18">
        <f>SUM(Svalöv:Hässleholm!H17)</f>
        <v>35407</v>
      </c>
      <c r="I17" s="18">
        <f>SUM(Svalöv:Hässleholm!I17)</f>
        <v>0</v>
      </c>
      <c r="J17" s="18">
        <f>SUM(Svalöv:Hässleholm!J17)</f>
        <v>69495</v>
      </c>
      <c r="K17" s="18">
        <f>SUM(Svalöv:Hässleholm!K17)</f>
        <v>2680055</v>
      </c>
      <c r="L17" s="18">
        <f>SUM(Svalöv:Hässleholm!L17)</f>
        <v>251300</v>
      </c>
      <c r="M17" s="18">
        <f>SUM(Svalöv:Hässleholm!M17)</f>
        <v>0</v>
      </c>
      <c r="N17" s="18">
        <f>SUM(Svalöv:Hässleholm!N17)</f>
        <v>138745</v>
      </c>
      <c r="O17" s="18">
        <f>SUM(C17:N17)</f>
        <v>6160499</v>
      </c>
      <c r="P17" s="9"/>
      <c r="Q17" s="9"/>
      <c r="R17" s="9"/>
      <c r="S17" s="9"/>
      <c r="T17" s="113"/>
      <c r="U17" s="9"/>
      <c r="V17" s="9"/>
      <c r="W17" s="9"/>
      <c r="X17" s="9"/>
      <c r="Y17" s="9"/>
      <c r="Z17" s="9"/>
      <c r="AA17" s="9"/>
    </row>
    <row r="18" spans="1:27" x14ac:dyDescent="0.2">
      <c r="A18" s="8" t="s">
        <v>21</v>
      </c>
      <c r="B18" s="18">
        <f>SUM(Svalöv:Hässleholm!B18)</f>
        <v>939329.6</v>
      </c>
      <c r="C18" s="18">
        <f>SUM(Svalöv:Hässleholm!C18)</f>
        <v>14213</v>
      </c>
      <c r="D18" s="18">
        <f>SUM(Svalöv:Hässleholm!D18)</f>
        <v>0</v>
      </c>
      <c r="E18" s="18">
        <f>SUM(Svalöv:Hässleholm!E18)</f>
        <v>60970</v>
      </c>
      <c r="F18" s="18">
        <f>SUM(Svalöv:Hässleholm!F18)</f>
        <v>12310</v>
      </c>
      <c r="G18" s="18">
        <f>SUM(Svalöv:Hässleholm!G18)</f>
        <v>853080</v>
      </c>
      <c r="H18" s="18">
        <f>SUM(Svalöv:Hässleholm!H18)</f>
        <v>6907</v>
      </c>
      <c r="I18" s="18">
        <f>SUM(Svalöv:Hässleholm!I18)</f>
        <v>0</v>
      </c>
      <c r="J18" s="18">
        <f>SUM(Svalöv:Hässleholm!J18)</f>
        <v>0</v>
      </c>
      <c r="K18" s="18">
        <f>SUM(Svalöv:Hässleholm!K18)</f>
        <v>0</v>
      </c>
      <c r="L18" s="18">
        <f>SUM(Svalöv:Hässleholm!L18)</f>
        <v>0</v>
      </c>
      <c r="M18" s="18">
        <f>SUM(Svalöv:Hässleholm!M18)</f>
        <v>0</v>
      </c>
      <c r="N18" s="18">
        <f>SUM(Svalöv:Hässleholm!N18)</f>
        <v>9131</v>
      </c>
      <c r="O18" s="18">
        <f>SUM(C18:N18)</f>
        <v>956611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x14ac:dyDescent="0.2">
      <c r="A19" s="8" t="s">
        <v>22</v>
      </c>
      <c r="B19" s="18">
        <f>SUM(Svalöv:Hässleholm!B19)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8"/>
      <c r="O19" s="18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6" x14ac:dyDescent="0.2">
      <c r="A20" s="8" t="s">
        <v>23</v>
      </c>
      <c r="B20" s="18">
        <f>SUM(Svalöv:Hässleholm!B20)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8"/>
      <c r="O20" s="18"/>
      <c r="P20" s="3"/>
      <c r="Q20" s="3"/>
      <c r="R20" s="3"/>
      <c r="S20" s="3" t="s">
        <v>26</v>
      </c>
      <c r="T20" s="12">
        <f>O42/1000</f>
        <v>37030.378177999999</v>
      </c>
      <c r="U20" s="3"/>
      <c r="V20" s="9"/>
      <c r="W20" s="9"/>
      <c r="X20" s="9"/>
      <c r="Y20" s="9"/>
      <c r="Z20" s="9"/>
      <c r="AA20" s="9"/>
    </row>
    <row r="21" spans="1:27" ht="16" x14ac:dyDescent="0.2">
      <c r="A21" s="8" t="s">
        <v>24</v>
      </c>
      <c r="B21" s="18">
        <f>SUM(Svalöv:Hässleholm!B21)</f>
        <v>680733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8"/>
      <c r="P21" s="3"/>
      <c r="Q21" s="3"/>
      <c r="R21" s="3"/>
      <c r="S21" s="3"/>
      <c r="T21" s="3"/>
      <c r="U21" s="3"/>
      <c r="V21" s="9"/>
      <c r="W21" s="9"/>
      <c r="X21" s="9"/>
      <c r="Y21" s="9"/>
      <c r="Z21" s="9"/>
      <c r="AA21" s="9"/>
    </row>
    <row r="22" spans="1:27" ht="16" x14ac:dyDescent="0.2">
      <c r="A22" s="8" t="s">
        <v>25</v>
      </c>
      <c r="B22" s="18">
        <f>SUM(Svalöv:Hässleholm!B22)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8"/>
      <c r="P22" s="3"/>
      <c r="Q22" s="3"/>
      <c r="R22" s="3"/>
      <c r="S22" s="3"/>
      <c r="T22" s="3" t="s">
        <v>27</v>
      </c>
      <c r="U22" s="3" t="s">
        <v>28</v>
      </c>
      <c r="V22" s="9"/>
      <c r="W22" s="9"/>
      <c r="X22" s="9"/>
      <c r="Y22" s="9"/>
      <c r="Z22" s="9"/>
      <c r="AA22" s="9"/>
    </row>
    <row r="23" spans="1:27" ht="16" x14ac:dyDescent="0.2">
      <c r="A23" s="8" t="s">
        <v>16</v>
      </c>
      <c r="B23" s="18">
        <f>SUM(B17:B22)</f>
        <v>6258470.5999999996</v>
      </c>
      <c r="C23" s="18">
        <f t="shared" ref="C23:O23" si="0">SUM(C17:C22)</f>
        <v>24727</v>
      </c>
      <c r="D23" s="18">
        <f t="shared" si="0"/>
        <v>0</v>
      </c>
      <c r="E23" s="18">
        <f t="shared" si="0"/>
        <v>1476695</v>
      </c>
      <c r="F23" s="18">
        <f t="shared" si="0"/>
        <v>66422</v>
      </c>
      <c r="G23" s="18">
        <f t="shared" si="0"/>
        <v>2358226</v>
      </c>
      <c r="H23" s="18">
        <f t="shared" si="0"/>
        <v>42314</v>
      </c>
      <c r="I23" s="18">
        <f t="shared" si="0"/>
        <v>0</v>
      </c>
      <c r="J23" s="18">
        <f t="shared" si="0"/>
        <v>69495</v>
      </c>
      <c r="K23" s="18">
        <f t="shared" si="0"/>
        <v>2680055</v>
      </c>
      <c r="L23" s="18">
        <f t="shared" si="0"/>
        <v>251300</v>
      </c>
      <c r="M23" s="18">
        <f t="shared" si="0"/>
        <v>0</v>
      </c>
      <c r="N23" s="18">
        <f t="shared" si="0"/>
        <v>147876</v>
      </c>
      <c r="O23" s="18">
        <f t="shared" si="0"/>
        <v>7117110</v>
      </c>
      <c r="P23" s="3"/>
      <c r="Q23" s="3"/>
      <c r="R23" s="3"/>
      <c r="S23" s="3" t="s">
        <v>10</v>
      </c>
      <c r="T23" s="13">
        <f>N42/1000</f>
        <v>12025.046778</v>
      </c>
      <c r="U23" s="14">
        <f>N43</f>
        <v>0.32473464678640962</v>
      </c>
      <c r="V23" s="9"/>
      <c r="W23" s="9"/>
      <c r="X23" s="9"/>
      <c r="Y23" s="9"/>
      <c r="Z23" s="9"/>
      <c r="AA23" s="9"/>
    </row>
    <row r="24" spans="1:27" ht="16" x14ac:dyDescent="0.2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3"/>
      <c r="Q24" s="3"/>
      <c r="R24" s="3"/>
      <c r="S24" s="3" t="s">
        <v>96</v>
      </c>
      <c r="T24" s="13">
        <f>G42/1000</f>
        <v>3909.288</v>
      </c>
      <c r="U24" s="15">
        <f>G43</f>
        <v>0.10556975630139621</v>
      </c>
      <c r="V24" s="9"/>
      <c r="W24" s="9"/>
      <c r="X24" s="9"/>
      <c r="Y24" s="9"/>
      <c r="Z24" s="9"/>
      <c r="AA24" s="9"/>
    </row>
    <row r="25" spans="1:27" ht="16" x14ac:dyDescent="0.2">
      <c r="A25" s="2" t="s">
        <v>98</v>
      </c>
      <c r="B25" s="18">
        <f>SUM(Svalöv:Hässleholm!B25)</f>
        <v>563383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7</v>
      </c>
      <c r="T25" s="13">
        <f>J42/1000</f>
        <v>119.02500000000001</v>
      </c>
      <c r="U25" s="14">
        <f>J43</f>
        <v>3.2142528879360345E-3</v>
      </c>
      <c r="V25" s="9"/>
      <c r="W25" s="9"/>
      <c r="X25" s="9"/>
      <c r="Y25" s="9"/>
      <c r="Z25" s="9"/>
      <c r="AA25" s="9"/>
    </row>
    <row r="26" spans="1:27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31</v>
      </c>
      <c r="T26" s="13">
        <f>F42/1000</f>
        <v>903.34699999999998</v>
      </c>
      <c r="U26" s="14">
        <f>F43</f>
        <v>2.4394754913323696E-2</v>
      </c>
      <c r="V26" s="9"/>
      <c r="W26" s="9"/>
      <c r="X26" s="9"/>
      <c r="Y26" s="9"/>
      <c r="Z26" s="9"/>
      <c r="AA26" s="9"/>
    </row>
    <row r="27" spans="1:27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4</v>
      </c>
      <c r="T27" s="12">
        <f>E42/1000</f>
        <v>4249.5754000000006</v>
      </c>
      <c r="U27" s="14">
        <f>E43</f>
        <v>0.11475916825836531</v>
      </c>
      <c r="V27" s="9"/>
      <c r="W27" s="9"/>
      <c r="X27" s="9"/>
      <c r="Y27" s="9"/>
      <c r="Z27" s="9"/>
      <c r="AA27" s="9"/>
    </row>
    <row r="28" spans="1:27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2" t="s">
        <v>3</v>
      </c>
      <c r="T28" s="2">
        <f>D42/1000</f>
        <v>270.46800000000002</v>
      </c>
      <c r="U28" s="52">
        <f>D43</f>
        <v>7.303949171134496E-3</v>
      </c>
      <c r="V28" s="9"/>
      <c r="W28" s="9"/>
      <c r="X28" s="9"/>
      <c r="Y28" s="9"/>
      <c r="Z28" s="9"/>
      <c r="AA28" s="9"/>
    </row>
    <row r="29" spans="1:27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8</v>
      </c>
      <c r="T29" s="2">
        <f>K42/1000</f>
        <v>2684.855</v>
      </c>
      <c r="U29" s="52">
        <f>K43</f>
        <v>7.2504120457378723E-2</v>
      </c>
      <c r="V29" s="9"/>
      <c r="W29" s="9"/>
      <c r="X29" s="9"/>
      <c r="Y29" s="9"/>
      <c r="Z29" s="9"/>
      <c r="AA29" s="9"/>
    </row>
    <row r="30" spans="1:27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3" t="s">
        <v>5</v>
      </c>
      <c r="T30" s="13">
        <f>I42/1000</f>
        <v>1400</v>
      </c>
      <c r="U30" s="14">
        <f>I43</f>
        <v>3.7806797253605952E-2</v>
      </c>
      <c r="V30" s="9"/>
      <c r="W30" s="9"/>
      <c r="X30" s="9"/>
      <c r="Y30" s="9"/>
      <c r="Z30" s="9"/>
      <c r="AA30" s="9"/>
    </row>
    <row r="31" spans="1:27" ht="16" x14ac:dyDescent="0.2">
      <c r="A31" s="5" t="s">
        <v>33</v>
      </c>
      <c r="B31" s="18">
        <f>SUM(Svalöv:Hässleholm!B31)</f>
        <v>0</v>
      </c>
      <c r="C31" s="18">
        <f>SUM(Svalöv:Hässleholm!C31)</f>
        <v>461246</v>
      </c>
      <c r="D31" s="18">
        <f>SUM(Svalöv:Hässleholm!D31)</f>
        <v>0</v>
      </c>
      <c r="E31" s="18">
        <f>SUM(Svalöv:Hässleholm!E31)</f>
        <v>0</v>
      </c>
      <c r="F31" s="18">
        <f>SUM(Svalöv:Hässleholm!F31)</f>
        <v>46176</v>
      </c>
      <c r="G31" s="18">
        <f>SUM(Svalöv:Hässleholm!G31)</f>
        <v>0</v>
      </c>
      <c r="H31" s="18">
        <f>SUM(Svalöv:Hässleholm!H31)</f>
        <v>0</v>
      </c>
      <c r="I31" s="18">
        <f>SUM(Svalöv:Hässleholm!I31)</f>
        <v>0</v>
      </c>
      <c r="J31" s="18">
        <f>SUM(Svalöv:Hässleholm!J31)</f>
        <v>0</v>
      </c>
      <c r="K31" s="18">
        <f>SUM(Svalöv:Hässleholm!K31)</f>
        <v>0</v>
      </c>
      <c r="L31" s="18">
        <f>SUM(Svalöv:Hässleholm!L31)</f>
        <v>0</v>
      </c>
      <c r="M31" s="18">
        <f>SUM(Svalöv:Hässleholm!M31)</f>
        <v>0</v>
      </c>
      <c r="N31" s="18">
        <f>SUM(Svalöv:Hässleholm!N31)</f>
        <v>573440</v>
      </c>
      <c r="O31" s="18">
        <f>SUM(B31:N31)</f>
        <v>1080862</v>
      </c>
      <c r="P31" s="16">
        <f>O31/O$39</f>
        <v>3.0123769596258176E-2</v>
      </c>
      <c r="Q31" s="17" t="s">
        <v>34</v>
      </c>
      <c r="R31" s="67"/>
      <c r="S31" s="3" t="s">
        <v>6</v>
      </c>
      <c r="T31" s="13">
        <f>H42/1000</f>
        <v>353.86599999999999</v>
      </c>
      <c r="U31" s="14">
        <f>H43</f>
        <v>9.5561000835318027E-3</v>
      </c>
      <c r="V31" s="9"/>
      <c r="W31" s="9"/>
      <c r="X31" s="9"/>
      <c r="Y31" s="9"/>
      <c r="Z31" s="9"/>
      <c r="AA31" s="9"/>
    </row>
    <row r="32" spans="1:27" ht="16" x14ac:dyDescent="0.2">
      <c r="A32" s="5" t="s">
        <v>36</v>
      </c>
      <c r="B32" s="18">
        <f>SUM(Svalöv:Hässleholm!B32)</f>
        <v>364417</v>
      </c>
      <c r="C32" s="18">
        <f>SUM(Svalöv:Hässleholm!C32)</f>
        <v>191373</v>
      </c>
      <c r="D32" s="18">
        <f>SUM(Svalöv:Hässleholm!D32)</f>
        <v>270468</v>
      </c>
      <c r="E32" s="18">
        <f>SUM(Svalöv:Hässleholm!E32)</f>
        <v>2389903.4</v>
      </c>
      <c r="F32" s="18">
        <f>SUM(Svalöv:Hässleholm!F32)</f>
        <v>27300</v>
      </c>
      <c r="G32" s="18">
        <f>SUM(Svalöv:Hässleholm!G32)</f>
        <v>718917</v>
      </c>
      <c r="H32" s="18">
        <f>SUM(Svalöv:Hässleholm!H32)</f>
        <v>15081</v>
      </c>
      <c r="I32" s="18">
        <f>SUM(Svalöv:Hässleholm!I32)</f>
        <v>1400000</v>
      </c>
      <c r="J32" s="18">
        <f>SUM(Svalöv:Hässleholm!J32)</f>
        <v>49530</v>
      </c>
      <c r="K32" s="18">
        <f>SUM(Svalöv:Hässleholm!K32)</f>
        <v>4800</v>
      </c>
      <c r="L32" s="18">
        <f>SUM(Svalöv:Hässleholm!L32)</f>
        <v>0</v>
      </c>
      <c r="M32" s="18">
        <f>SUM(Svalöv:Hässleholm!M32)</f>
        <v>116037</v>
      </c>
      <c r="N32" s="18">
        <f>SUM(Svalöv:Hässleholm!N32)</f>
        <v>3003606.6</v>
      </c>
      <c r="O32" s="18">
        <f t="shared" ref="O32:O38" si="1">SUM(B32:N32)</f>
        <v>8551433</v>
      </c>
      <c r="P32" s="16">
        <f>O32/O$39</f>
        <v>0.23832959009553381</v>
      </c>
      <c r="Q32" s="17" t="s">
        <v>37</v>
      </c>
      <c r="R32" s="67"/>
      <c r="S32" s="2" t="s">
        <v>97</v>
      </c>
      <c r="T32" s="13">
        <f>L42/1000</f>
        <v>251.3</v>
      </c>
      <c r="U32" s="14">
        <f>L43</f>
        <v>6.786320107022268E-3</v>
      </c>
      <c r="V32" s="9"/>
      <c r="W32" s="9"/>
      <c r="X32" s="9"/>
      <c r="Y32" s="9"/>
      <c r="Z32" s="9"/>
      <c r="AA32" s="9"/>
    </row>
    <row r="33" spans="1:48" ht="16" x14ac:dyDescent="0.2">
      <c r="A33" s="5" t="s">
        <v>38</v>
      </c>
      <c r="B33" s="18">
        <f>SUM(Svalöv:Hässleholm!B33)</f>
        <v>710837</v>
      </c>
      <c r="C33" s="18">
        <f>SUM(Svalöv:Hässleholm!C33)</f>
        <v>38894</v>
      </c>
      <c r="D33" s="18">
        <f>SUM(Svalöv:Hässleholm!D33)</f>
        <v>0</v>
      </c>
      <c r="E33" s="107">
        <v>53400</v>
      </c>
      <c r="F33" s="18">
        <f>SUM(Svalöv:Hässleholm!F33)</f>
        <v>0</v>
      </c>
      <c r="G33" s="18">
        <f>SUM(Svalöv:Hässleholm!G33)</f>
        <v>0</v>
      </c>
      <c r="H33" s="18">
        <f>SUM(Svalöv:Hässleholm!H33)</f>
        <v>0</v>
      </c>
      <c r="I33" s="18">
        <f>SUM(Svalöv:Hässleholm!I33)</f>
        <v>0</v>
      </c>
      <c r="J33" s="18">
        <f>SUM(Svalöv:Hässleholm!J33)</f>
        <v>0</v>
      </c>
      <c r="K33" s="18">
        <f>SUM(Svalöv:Hässleholm!K33)</f>
        <v>0</v>
      </c>
      <c r="L33" s="18">
        <f>SUM(Svalöv:Hässleholm!L33)</f>
        <v>0</v>
      </c>
      <c r="M33" s="18">
        <f>SUM(Svalöv:Hässleholm!M33)</f>
        <v>0</v>
      </c>
      <c r="N33" s="18">
        <f>SUM(Svalöv:Hässleholm!N33)</f>
        <v>1370533</v>
      </c>
      <c r="O33" s="18">
        <f t="shared" si="1"/>
        <v>2173664</v>
      </c>
      <c r="P33" s="16">
        <f>O33/O$39</f>
        <v>6.0580308601542968E-2</v>
      </c>
      <c r="Q33" s="17" t="s">
        <v>39</v>
      </c>
      <c r="R33" s="67"/>
      <c r="S33" s="2" t="s">
        <v>9</v>
      </c>
      <c r="T33" s="13">
        <f>M42/1000</f>
        <v>116.03700000000001</v>
      </c>
      <c r="U33" s="14">
        <f>M43</f>
        <v>3.1335623806547671E-3</v>
      </c>
      <c r="V33" s="9"/>
      <c r="W33" s="9"/>
      <c r="X33" s="9"/>
      <c r="Y33" s="9"/>
      <c r="Z33" s="9"/>
      <c r="AA33" s="9"/>
    </row>
    <row r="34" spans="1:48" ht="16" x14ac:dyDescent="0.2">
      <c r="A34" s="5" t="s">
        <v>40</v>
      </c>
      <c r="B34" s="18">
        <f>SUM(Svalöv:Hässleholm!B34)</f>
        <v>0</v>
      </c>
      <c r="C34" s="18">
        <f>SUM(Svalöv:Hässleholm!C34)</f>
        <v>9559088</v>
      </c>
      <c r="D34" s="18">
        <f>SUM(Svalöv:Hässleholm!D34)</f>
        <v>0</v>
      </c>
      <c r="E34" s="107">
        <v>169277</v>
      </c>
      <c r="F34" s="18">
        <f>SUM(Svalöv:Hässleholm!F34)</f>
        <v>763449</v>
      </c>
      <c r="G34" s="18">
        <f>SUM(Svalöv:Hässleholm!G34)</f>
        <v>0</v>
      </c>
      <c r="H34" s="107">
        <v>296471</v>
      </c>
      <c r="I34" s="18">
        <f>SUM(Svalöv:Hässleholm!I34)</f>
        <v>0</v>
      </c>
      <c r="J34" s="18">
        <f>SUM(Svalöv:Hässleholm!J34)</f>
        <v>0</v>
      </c>
      <c r="K34" s="18">
        <f>SUM(Svalöv:Hässleholm!K34)</f>
        <v>0</v>
      </c>
      <c r="L34" s="18">
        <f>SUM(Svalöv:Hässleholm!L34)</f>
        <v>0</v>
      </c>
      <c r="M34" s="18">
        <f>SUM(Svalöv:Hässleholm!M34)</f>
        <v>0</v>
      </c>
      <c r="N34" s="18">
        <f>SUM(Svalöv:Hässleholm!N34)</f>
        <v>109206</v>
      </c>
      <c r="O34" s="18">
        <f t="shared" si="1"/>
        <v>10897491</v>
      </c>
      <c r="P34" s="16">
        <f>O34/O$39</f>
        <v>0.30371454270877979</v>
      </c>
      <c r="Q34" s="17" t="s">
        <v>41</v>
      </c>
      <c r="R34" s="67"/>
      <c r="S34" s="3" t="s">
        <v>35</v>
      </c>
      <c r="T34" s="13">
        <f>C42/1000</f>
        <v>10747.57</v>
      </c>
      <c r="U34" s="15">
        <f>C43</f>
        <v>0.29023657139924125</v>
      </c>
      <c r="V34" s="9"/>
      <c r="W34" s="9"/>
      <c r="X34" s="9"/>
      <c r="Y34" s="9"/>
      <c r="Z34" s="9"/>
      <c r="AA34" s="9"/>
    </row>
    <row r="35" spans="1:48" ht="16" x14ac:dyDescent="0.2">
      <c r="A35" s="5" t="s">
        <v>42</v>
      </c>
      <c r="B35" s="18">
        <f>SUM(Svalöv:Hässleholm!B35)</f>
        <v>998573</v>
      </c>
      <c r="C35" s="18">
        <f>SUM(Svalöv:Hässleholm!C35)</f>
        <v>437766</v>
      </c>
      <c r="D35" s="18">
        <f>SUM(Svalöv:Hässleholm!D35)</f>
        <v>0</v>
      </c>
      <c r="E35" s="18">
        <f>SUM(Svalöv:Hässleholm!E35)</f>
        <v>0</v>
      </c>
      <c r="F35" s="18">
        <f>SUM(Svalöv:Hässleholm!F35)</f>
        <v>0</v>
      </c>
      <c r="G35" s="18">
        <f>SUM(Svalöv:Hässleholm!G35)</f>
        <v>0</v>
      </c>
      <c r="H35" s="18">
        <f>SUM(Svalöv:Hässleholm!H35)</f>
        <v>0</v>
      </c>
      <c r="I35" s="18">
        <f>SUM(Svalöv:Hässleholm!I35)</f>
        <v>0</v>
      </c>
      <c r="J35" s="18">
        <f>SUM(Svalöv:Hässleholm!J35)</f>
        <v>0</v>
      </c>
      <c r="K35" s="18">
        <f>SUM(Svalöv:Hässleholm!K35)</f>
        <v>0</v>
      </c>
      <c r="L35" s="18">
        <f>SUM(Svalöv:Hässleholm!L35)</f>
        <v>0</v>
      </c>
      <c r="M35" s="18">
        <f>SUM(Svalöv:Hässleholm!M35)</f>
        <v>0</v>
      </c>
      <c r="N35" s="18">
        <f>SUM(Svalöv:Hässleholm!N35)</f>
        <v>3091710</v>
      </c>
      <c r="O35" s="18">
        <f t="shared" si="1"/>
        <v>4528049</v>
      </c>
      <c r="P35" s="16">
        <f>O35/O$39</f>
        <v>0.12619733582693002</v>
      </c>
      <c r="Q35" s="17" t="s">
        <v>43</v>
      </c>
      <c r="R35" s="67"/>
      <c r="S35" s="3"/>
      <c r="T35" s="13">
        <f>SUM(T23:T34)</f>
        <v>37030.378177999999</v>
      </c>
      <c r="U35" s="14">
        <f>SUM(U23:U34)</f>
        <v>1.0000000000000002</v>
      </c>
      <c r="V35" s="9"/>
      <c r="W35" s="9"/>
      <c r="X35" s="9"/>
      <c r="Y35" s="9"/>
      <c r="Z35" s="9"/>
      <c r="AA35" s="9"/>
    </row>
    <row r="36" spans="1:48" ht="16" x14ac:dyDescent="0.2">
      <c r="A36" s="5" t="s">
        <v>44</v>
      </c>
      <c r="B36" s="18">
        <f>SUM(Svalöv:Hässleholm!B36)</f>
        <v>656842</v>
      </c>
      <c r="C36" s="18">
        <f>SUM(Svalöv:Hässleholm!C36)</f>
        <v>22584</v>
      </c>
      <c r="D36" s="18">
        <f>SUM(Svalöv:Hässleholm!D36)</f>
        <v>0</v>
      </c>
      <c r="E36" s="107">
        <v>95000</v>
      </c>
      <c r="F36" s="18">
        <f>SUM(Svalöv:Hässleholm!F36)</f>
        <v>0</v>
      </c>
      <c r="G36" s="18">
        <f>SUM(Svalöv:Hässleholm!G36)</f>
        <v>832145</v>
      </c>
      <c r="H36" s="18">
        <f>SUM(Svalöv:Hässleholm!H36)</f>
        <v>0</v>
      </c>
      <c r="I36" s="18">
        <f>SUM(Svalöv:Hässleholm!I36)</f>
        <v>0</v>
      </c>
      <c r="J36" s="18">
        <f>SUM(Svalöv:Hässleholm!J36)</f>
        <v>0</v>
      </c>
      <c r="K36" s="18">
        <f>SUM(Svalöv:Hässleholm!K36)</f>
        <v>0</v>
      </c>
      <c r="L36" s="18">
        <f>SUM(Svalöv:Hässleholm!L36)</f>
        <v>0</v>
      </c>
      <c r="M36" s="18">
        <f>SUM(Svalöv:Hässleholm!M36)</f>
        <v>0</v>
      </c>
      <c r="N36" s="18">
        <f>SUM(Svalöv:Hässleholm!N36)</f>
        <v>3211820</v>
      </c>
      <c r="O36" s="18">
        <f t="shared" si="1"/>
        <v>4818391</v>
      </c>
      <c r="P36" s="17"/>
      <c r="Q36" s="17"/>
      <c r="R36" s="67"/>
      <c r="S36" s="7"/>
      <c r="T36" s="7"/>
      <c r="U36" s="7"/>
      <c r="V36" s="9"/>
      <c r="W36" s="9"/>
      <c r="X36" s="9"/>
      <c r="Y36" s="9"/>
      <c r="Z36" s="9"/>
      <c r="AA36" s="9"/>
    </row>
    <row r="37" spans="1:48" ht="16" x14ac:dyDescent="0.2">
      <c r="A37" s="5" t="s">
        <v>45</v>
      </c>
      <c r="B37" s="18">
        <f>SUM(Svalöv:Hässleholm!B37)</f>
        <v>2763184</v>
      </c>
      <c r="C37" s="18">
        <f>SUM(Svalöv:Hässleholm!C37)</f>
        <v>7076</v>
      </c>
      <c r="D37" s="18">
        <f>SUM(Svalöv:Hässleholm!D37)</f>
        <v>0</v>
      </c>
      <c r="E37" s="107">
        <v>65300</v>
      </c>
      <c r="F37" s="18">
        <f>SUM(Svalöv:Hässleholm!F37)</f>
        <v>0</v>
      </c>
      <c r="G37" s="18">
        <f>SUM(Svalöv:Hässleholm!G37)</f>
        <v>0</v>
      </c>
      <c r="H37" s="18">
        <f>SUM(Svalöv:Hässleholm!H37)</f>
        <v>0</v>
      </c>
      <c r="I37" s="18">
        <f>SUM(Svalöv:Hässleholm!I37)</f>
        <v>0</v>
      </c>
      <c r="J37" s="18">
        <f>SUM(Svalöv:Hässleholm!J37)</f>
        <v>0</v>
      </c>
      <c r="K37" s="18">
        <f>SUM(Svalöv:Hässleholm!K37)</f>
        <v>0</v>
      </c>
      <c r="L37" s="18">
        <f>SUM(Svalöv:Hässleholm!L37)</f>
        <v>0</v>
      </c>
      <c r="M37" s="18">
        <f>SUM(Svalöv:Hässleholm!M37)</f>
        <v>0</v>
      </c>
      <c r="N37" s="18">
        <f>SUM(Svalöv:Hässleholm!N37)</f>
        <v>721640</v>
      </c>
      <c r="O37" s="18">
        <f t="shared" si="1"/>
        <v>3557200</v>
      </c>
      <c r="P37" s="17"/>
      <c r="Q37" s="17"/>
      <c r="R37" s="67"/>
      <c r="S37" s="7"/>
      <c r="T37" s="7" t="s">
        <v>27</v>
      </c>
      <c r="U37" s="7" t="s">
        <v>28</v>
      </c>
      <c r="V37" s="9"/>
      <c r="W37" s="9"/>
      <c r="X37" s="9"/>
      <c r="Y37" s="9"/>
      <c r="Z37" s="9"/>
      <c r="AA37" s="9"/>
    </row>
    <row r="38" spans="1:48" ht="16" x14ac:dyDescent="0.2">
      <c r="A38" s="5" t="s">
        <v>46</v>
      </c>
      <c r="B38" s="18">
        <f>SUM(Svalöv:Hässleholm!B38)</f>
        <v>5372</v>
      </c>
      <c r="C38" s="18">
        <f>SUM(Svalöv:Hässleholm!C38)</f>
        <v>0</v>
      </c>
      <c r="D38" s="18">
        <f>SUM(Svalöv:Hässleholm!D38)</f>
        <v>0</v>
      </c>
      <c r="E38" s="18">
        <f>SUM(Svalöv:Hässleholm!E38)</f>
        <v>0</v>
      </c>
      <c r="F38" s="18">
        <f>SUM(Svalöv:Hässleholm!F38)</f>
        <v>0</v>
      </c>
      <c r="G38" s="18">
        <f>SUM(Svalöv:Hässleholm!G38)</f>
        <v>0</v>
      </c>
      <c r="H38" s="18">
        <f>SUM(Svalöv:Hässleholm!H38)</f>
        <v>0</v>
      </c>
      <c r="I38" s="18">
        <f>SUM(Svalöv:Hässleholm!I38)</f>
        <v>0</v>
      </c>
      <c r="J38" s="18">
        <f>SUM(Svalöv:Hässleholm!J38)</f>
        <v>0</v>
      </c>
      <c r="K38" s="18">
        <f>SUM(Svalöv:Hässleholm!K38)</f>
        <v>0</v>
      </c>
      <c r="L38" s="18">
        <f>SUM(Svalöv:Hässleholm!L38)</f>
        <v>0</v>
      </c>
      <c r="M38" s="18">
        <f>SUM(Svalöv:Hässleholm!M38)</f>
        <v>0</v>
      </c>
      <c r="N38" s="18">
        <f>SUM(Svalöv:Hässleholm!N38)</f>
        <v>268240</v>
      </c>
      <c r="O38" s="18">
        <f t="shared" si="1"/>
        <v>273612</v>
      </c>
      <c r="P38" s="17">
        <f>SUM(P31:P35)</f>
        <v>0.7589455468290448</v>
      </c>
      <c r="Q38" s="17"/>
      <c r="R38" s="67"/>
      <c r="S38" s="7" t="s">
        <v>47</v>
      </c>
      <c r="T38" s="19">
        <f>O45/1000</f>
        <v>1747.2612479999996</v>
      </c>
      <c r="U38" s="7"/>
      <c r="V38" s="9"/>
      <c r="W38" s="9"/>
      <c r="X38" s="9"/>
      <c r="Y38" s="9"/>
      <c r="Z38" s="9"/>
      <c r="AA38" s="9"/>
    </row>
    <row r="39" spans="1:48" ht="16" x14ac:dyDescent="0.2">
      <c r="A39" s="5" t="s">
        <v>16</v>
      </c>
      <c r="B39" s="18">
        <f>SUM(B31:B38)</f>
        <v>5499225</v>
      </c>
      <c r="C39" s="18">
        <f t="shared" ref="C39:F39" si="2">SUM(C31:C38)</f>
        <v>10718027</v>
      </c>
      <c r="D39" s="18">
        <f t="shared" si="2"/>
        <v>270468</v>
      </c>
      <c r="E39" s="18">
        <f t="shared" si="2"/>
        <v>2772880.4</v>
      </c>
      <c r="F39" s="18">
        <f t="shared" si="2"/>
        <v>836925</v>
      </c>
      <c r="G39" s="18">
        <f t="shared" ref="G39" si="3">SUM(G31:G38)</f>
        <v>1551062</v>
      </c>
      <c r="H39" s="18">
        <f t="shared" ref="H39" si="4">SUM(H31:H38)</f>
        <v>311552</v>
      </c>
      <c r="I39" s="18">
        <f t="shared" ref="I39:J39" si="5">SUM(I31:I38)</f>
        <v>1400000</v>
      </c>
      <c r="J39" s="18">
        <f t="shared" si="5"/>
        <v>49530</v>
      </c>
      <c r="K39" s="18">
        <f t="shared" ref="K39" si="6">SUM(K31:K38)</f>
        <v>4800</v>
      </c>
      <c r="L39" s="18">
        <f t="shared" ref="L39" si="7">SUM(L31:L38)</f>
        <v>0</v>
      </c>
      <c r="M39" s="18">
        <f t="shared" ref="M39:N39" si="8">SUM(M31:M38)</f>
        <v>116037</v>
      </c>
      <c r="N39" s="18">
        <f t="shared" si="8"/>
        <v>12350195.6</v>
      </c>
      <c r="O39" s="18">
        <f t="shared" ref="O39" si="9">SUM(O31:O38)</f>
        <v>35880702</v>
      </c>
      <c r="P39" s="3"/>
      <c r="Q39" s="3"/>
      <c r="R39" s="67"/>
      <c r="S39" s="7" t="s">
        <v>48</v>
      </c>
      <c r="T39" s="20">
        <f>O41/1000</f>
        <v>8649.2029999999995</v>
      </c>
      <c r="U39" s="14">
        <f>P41</f>
        <v>0.24105445317095525</v>
      </c>
      <c r="V39" s="9"/>
      <c r="W39" s="9"/>
      <c r="X39" s="9"/>
      <c r="Y39" s="9"/>
      <c r="Z39" s="9"/>
      <c r="AA39" s="9"/>
    </row>
    <row r="40" spans="1:48" x14ac:dyDescent="0.2">
      <c r="S40" s="7" t="s">
        <v>49</v>
      </c>
      <c r="T40" s="20">
        <f>O35/1000</f>
        <v>4528.049</v>
      </c>
      <c r="U40" s="15">
        <f>P35</f>
        <v>0.12619733582693002</v>
      </c>
      <c r="V40" s="9"/>
      <c r="W40" s="9"/>
      <c r="X40" s="9"/>
      <c r="Y40" s="9"/>
      <c r="Z40" s="9"/>
      <c r="AA40" s="9"/>
    </row>
    <row r="41" spans="1:48" ht="16" x14ac:dyDescent="0.2">
      <c r="A41" s="21" t="s">
        <v>50</v>
      </c>
      <c r="B41" s="22">
        <f>B38+B37+B36</f>
        <v>3425398</v>
      </c>
      <c r="C41" s="22">
        <f t="shared" ref="C41:O41" si="10">C38+C37+C36</f>
        <v>29660</v>
      </c>
      <c r="D41" s="22">
        <f t="shared" si="10"/>
        <v>0</v>
      </c>
      <c r="E41" s="22">
        <f t="shared" si="10"/>
        <v>160300</v>
      </c>
      <c r="F41" s="22">
        <f t="shared" si="10"/>
        <v>0</v>
      </c>
      <c r="G41" s="22">
        <f t="shared" si="10"/>
        <v>832145</v>
      </c>
      <c r="H41" s="22">
        <f t="shared" si="10"/>
        <v>0</v>
      </c>
      <c r="I41" s="22">
        <f t="shared" si="10"/>
        <v>0</v>
      </c>
      <c r="J41" s="22">
        <f t="shared" si="10"/>
        <v>0</v>
      </c>
      <c r="K41" s="22">
        <f t="shared" si="10"/>
        <v>0</v>
      </c>
      <c r="L41" s="22">
        <f t="shared" si="10"/>
        <v>0</v>
      </c>
      <c r="M41" s="22">
        <f t="shared" si="10"/>
        <v>0</v>
      </c>
      <c r="N41" s="22">
        <f t="shared" si="10"/>
        <v>4201700</v>
      </c>
      <c r="O41" s="22">
        <f t="shared" si="10"/>
        <v>8649203</v>
      </c>
      <c r="P41" s="16">
        <f>O41/O$39</f>
        <v>0.24105445317095525</v>
      </c>
      <c r="Q41" s="16" t="s">
        <v>51</v>
      </c>
      <c r="R41" s="7"/>
      <c r="S41" s="7" t="s">
        <v>52</v>
      </c>
      <c r="T41" s="20">
        <f>O33/1000</f>
        <v>2173.6640000000002</v>
      </c>
      <c r="U41" s="14">
        <f>P33</f>
        <v>6.0580308601542968E-2</v>
      </c>
      <c r="V41" s="9"/>
      <c r="W41" s="9"/>
      <c r="X41" s="9"/>
      <c r="Y41" s="9"/>
      <c r="Z41" s="9"/>
      <c r="AA41" s="9"/>
    </row>
    <row r="42" spans="1:48" ht="16" x14ac:dyDescent="0.2">
      <c r="A42" s="23" t="s">
        <v>53</v>
      </c>
      <c r="B42" s="22"/>
      <c r="C42" s="24">
        <f>C39+C23+C10</f>
        <v>10747570</v>
      </c>
      <c r="D42" s="24">
        <f t="shared" ref="D42:M42" si="11">D39+D23+D10</f>
        <v>270468</v>
      </c>
      <c r="E42" s="24">
        <f t="shared" si="11"/>
        <v>4249575.4000000004</v>
      </c>
      <c r="F42" s="24">
        <f t="shared" si="11"/>
        <v>903347</v>
      </c>
      <c r="G42" s="24">
        <f t="shared" si="11"/>
        <v>3909288</v>
      </c>
      <c r="H42" s="24">
        <f t="shared" si="11"/>
        <v>353866</v>
      </c>
      <c r="I42" s="24">
        <f t="shared" si="11"/>
        <v>1400000</v>
      </c>
      <c r="J42" s="24">
        <f t="shared" si="11"/>
        <v>119025</v>
      </c>
      <c r="K42" s="24">
        <f t="shared" si="11"/>
        <v>2684855</v>
      </c>
      <c r="L42" s="24">
        <f t="shared" si="11"/>
        <v>251300</v>
      </c>
      <c r="M42" s="24">
        <f t="shared" si="11"/>
        <v>116037</v>
      </c>
      <c r="N42" s="24">
        <f>N39+N23-B6-B7+N45</f>
        <v>12025046.777999999</v>
      </c>
      <c r="O42" s="25">
        <f>SUM(C42:N42)</f>
        <v>37030378.177999996</v>
      </c>
      <c r="P42" s="7"/>
      <c r="Q42" s="7"/>
      <c r="R42" s="7"/>
      <c r="S42" s="7" t="s">
        <v>34</v>
      </c>
      <c r="T42" s="20">
        <f>O31/1000</f>
        <v>1080.8620000000001</v>
      </c>
      <c r="U42" s="14">
        <f>P31</f>
        <v>3.0123769596258176E-2</v>
      </c>
      <c r="V42" s="9"/>
      <c r="W42" s="9"/>
      <c r="X42" s="9"/>
      <c r="Y42" s="9"/>
      <c r="Z42" s="9"/>
      <c r="AA42" s="9"/>
    </row>
    <row r="43" spans="1:48" ht="16" x14ac:dyDescent="0.2">
      <c r="A43" s="23" t="s">
        <v>54</v>
      </c>
      <c r="B43" s="22"/>
      <c r="C43" s="16">
        <f t="shared" ref="C43:N43" si="12">C42/$O42</f>
        <v>0.29023657139924125</v>
      </c>
      <c r="D43" s="16">
        <f t="shared" si="12"/>
        <v>7.303949171134496E-3</v>
      </c>
      <c r="E43" s="16">
        <f t="shared" si="12"/>
        <v>0.11475916825836531</v>
      </c>
      <c r="F43" s="16">
        <f t="shared" si="12"/>
        <v>2.4394754913323696E-2</v>
      </c>
      <c r="G43" s="16">
        <f t="shared" si="12"/>
        <v>0.10556975630139621</v>
      </c>
      <c r="H43" s="16">
        <f t="shared" si="12"/>
        <v>9.5561000835318027E-3</v>
      </c>
      <c r="I43" s="16">
        <f t="shared" si="12"/>
        <v>3.7806797253605952E-2</v>
      </c>
      <c r="J43" s="16">
        <f t="shared" si="12"/>
        <v>3.2142528879360345E-3</v>
      </c>
      <c r="K43" s="16">
        <f t="shared" si="12"/>
        <v>7.2504120457378723E-2</v>
      </c>
      <c r="L43" s="16">
        <f t="shared" si="12"/>
        <v>6.786320107022268E-3</v>
      </c>
      <c r="M43" s="16">
        <f t="shared" si="12"/>
        <v>3.1335623806547671E-3</v>
      </c>
      <c r="N43" s="16">
        <f t="shared" si="12"/>
        <v>0.32473464678640962</v>
      </c>
      <c r="O43" s="16">
        <f>SUM(C43:N43)</f>
        <v>1.0000000000000002</v>
      </c>
      <c r="P43" s="7"/>
      <c r="Q43" s="7"/>
      <c r="R43" s="7"/>
      <c r="S43" s="7" t="s">
        <v>55</v>
      </c>
      <c r="T43" s="20">
        <f>O32/1000</f>
        <v>8551.4330000000009</v>
      </c>
      <c r="U43" s="15">
        <f>P32</f>
        <v>0.23832959009553381</v>
      </c>
      <c r="V43" s="9"/>
      <c r="W43" s="9"/>
      <c r="X43" s="9"/>
      <c r="Y43" s="9"/>
      <c r="Z43" s="9"/>
      <c r="AA43" s="9"/>
    </row>
    <row r="44" spans="1:48" x14ac:dyDescent="0.2">
      <c r="A44" s="2" t="s">
        <v>93</v>
      </c>
      <c r="B44" s="18">
        <f>SUM(Svalöv:Hässleholm!B44)</f>
        <v>609383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10897.491</v>
      </c>
      <c r="U44" s="15">
        <f>P34</f>
        <v>0.30371454270877979</v>
      </c>
      <c r="V44" s="9"/>
      <c r="W44" s="9"/>
      <c r="X44" s="9"/>
      <c r="Y44" s="9"/>
      <c r="Z44" s="9"/>
      <c r="AA44" s="9"/>
    </row>
    <row r="45" spans="1:48" ht="16" x14ac:dyDescent="0.2">
      <c r="A45" s="6" t="s">
        <v>57</v>
      </c>
      <c r="B45" s="26">
        <f>B23-B39</f>
        <v>759245.59999999963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988015.64800000004</v>
      </c>
      <c r="O45" s="25">
        <f>B45+N45</f>
        <v>1747261.2479999997</v>
      </c>
      <c r="P45" s="7"/>
      <c r="Q45" s="7"/>
      <c r="R45" s="7"/>
      <c r="S45" s="7" t="s">
        <v>58</v>
      </c>
      <c r="T45" s="20">
        <f>SUM(T39:T44)</f>
        <v>35880.702000000005</v>
      </c>
      <c r="U45" s="14">
        <f>SUM(U39:U44)</f>
        <v>1</v>
      </c>
      <c r="V45" s="9"/>
      <c r="W45" s="9"/>
      <c r="X45" s="9"/>
      <c r="Y45" s="9"/>
      <c r="Z45" s="9"/>
      <c r="AA45" s="9"/>
    </row>
    <row r="46" spans="1:48" ht="16" x14ac:dyDescent="0.2">
      <c r="A46" s="6" t="s">
        <v>104</v>
      </c>
      <c r="B46" s="6">
        <f>B25-B44</f>
        <v>-46000</v>
      </c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53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9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5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8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9"/>
      <c r="C52" s="28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8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27"/>
      <c r="C53" s="2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8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27"/>
      <c r="C55" s="27"/>
      <c r="D55" s="27"/>
      <c r="E55" s="28"/>
      <c r="F55" s="28"/>
      <c r="G55" s="28"/>
      <c r="H55" s="28"/>
      <c r="I55" s="28"/>
      <c r="J55" s="28"/>
      <c r="K55" s="28"/>
      <c r="L55" s="28"/>
      <c r="M55" s="28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ht="16" x14ac:dyDescent="0.2">
      <c r="A56" s="27"/>
      <c r="B56" s="27"/>
      <c r="C56" s="29"/>
      <c r="D56" s="29"/>
      <c r="E56" s="29"/>
      <c r="F56" s="27"/>
      <c r="G56" s="27"/>
      <c r="H56" s="29"/>
      <c r="I56" s="9"/>
      <c r="J56" s="27"/>
      <c r="K56" s="29"/>
      <c r="L56" s="6"/>
      <c r="M56" s="6"/>
      <c r="N56" s="30"/>
      <c r="O56" s="7"/>
      <c r="P56" s="6"/>
      <c r="Q56" s="14"/>
      <c r="R56" s="7"/>
      <c r="S56" s="7"/>
      <c r="T56" s="6"/>
      <c r="U56" s="54"/>
    </row>
    <row r="57" spans="1:48" ht="16" x14ac:dyDescent="0.2">
      <c r="A57" s="27"/>
      <c r="B57" s="27"/>
      <c r="C57" s="29"/>
      <c r="D57" s="29"/>
      <c r="E57" s="29"/>
      <c r="F57" s="28"/>
      <c r="G57" s="27"/>
      <c r="H57" s="29"/>
      <c r="I57" s="9"/>
      <c r="J57" s="27"/>
      <c r="K57" s="29"/>
      <c r="L57" s="6"/>
      <c r="M57" s="6"/>
      <c r="N57" s="30"/>
      <c r="O57" s="7"/>
      <c r="P57" s="6"/>
      <c r="Q57" s="14"/>
      <c r="R57" s="7"/>
      <c r="S57" s="7"/>
      <c r="T57" s="6"/>
      <c r="U57" s="54"/>
    </row>
    <row r="58" spans="1:48" ht="16" x14ac:dyDescent="0.2">
      <c r="A58" s="27"/>
      <c r="B58" s="27"/>
      <c r="C58" s="27"/>
      <c r="D58" s="27"/>
      <c r="E58" s="27"/>
      <c r="F58" s="27"/>
      <c r="G58" s="27"/>
      <c r="H58" s="29"/>
      <c r="I58" s="9"/>
      <c r="J58" s="27"/>
      <c r="K58" s="29"/>
      <c r="L58" s="6"/>
      <c r="M58" s="6"/>
      <c r="N58" s="30"/>
      <c r="O58" s="7"/>
      <c r="P58" s="6"/>
      <c r="Q58" s="14"/>
      <c r="R58" s="7"/>
      <c r="S58" s="7"/>
      <c r="T58" s="6"/>
      <c r="U58" s="54"/>
    </row>
    <row r="59" spans="1:48" ht="16" x14ac:dyDescent="0.2">
      <c r="A59" s="27"/>
      <c r="B59" s="27"/>
      <c r="C59" s="27"/>
      <c r="D59" s="27"/>
      <c r="E59" s="27"/>
      <c r="F59" s="27"/>
      <c r="G59" s="27"/>
      <c r="H59" s="29"/>
      <c r="I59" s="9"/>
      <c r="J59" s="27"/>
      <c r="K59" s="29"/>
      <c r="L59" s="6"/>
      <c r="M59" s="6"/>
      <c r="N59" s="30"/>
      <c r="O59" s="7"/>
      <c r="P59" s="6"/>
      <c r="Q59" s="14"/>
      <c r="R59" s="7"/>
      <c r="S59" s="7"/>
      <c r="T59" s="6"/>
      <c r="U59" s="54"/>
    </row>
    <row r="60" spans="1:48" ht="16" x14ac:dyDescent="0.2">
      <c r="A60" s="7"/>
      <c r="B60" s="7"/>
      <c r="C60" s="7"/>
      <c r="D60" s="7"/>
      <c r="E60" s="7"/>
      <c r="F60" s="27"/>
      <c r="G60" s="27"/>
      <c r="H60" s="7"/>
      <c r="I60" s="9"/>
      <c r="J60" s="27"/>
      <c r="K60" s="6"/>
      <c r="L60" s="6"/>
      <c r="M60" s="6"/>
      <c r="N60" s="30"/>
      <c r="O60" s="7"/>
      <c r="P60" s="6"/>
      <c r="Q60" s="14"/>
      <c r="R60" s="7"/>
      <c r="S60" s="7"/>
      <c r="T60" s="32"/>
      <c r="U60" s="33"/>
    </row>
    <row r="61" spans="1:48" x14ac:dyDescent="0.2">
      <c r="A61" s="7"/>
      <c r="B61" s="7"/>
      <c r="C61" s="7"/>
      <c r="D61" s="7"/>
      <c r="E61" s="7"/>
      <c r="F61" s="27"/>
      <c r="G61" s="27"/>
      <c r="H61" s="7"/>
      <c r="I61" s="9"/>
      <c r="J61" s="27"/>
      <c r="K61" s="7"/>
      <c r="L61" s="7"/>
      <c r="M61" s="7"/>
      <c r="N61" s="7"/>
      <c r="O61" s="7"/>
      <c r="P61" s="7"/>
      <c r="Q61" s="7"/>
      <c r="R61" s="7"/>
      <c r="S61" s="7"/>
      <c r="T61" s="7"/>
      <c r="U61" s="6"/>
    </row>
    <row r="62" spans="1:48" x14ac:dyDescent="0.2">
      <c r="A62" s="7"/>
      <c r="B62" s="34"/>
      <c r="C62" s="34"/>
      <c r="D62" s="34"/>
      <c r="E62" s="34"/>
      <c r="F62" s="34"/>
      <c r="G62" s="34"/>
      <c r="H62" s="34"/>
      <c r="I62" s="35"/>
      <c r="J62" s="7"/>
      <c r="K62" s="7"/>
      <c r="L62" s="7"/>
      <c r="M62" s="7"/>
      <c r="N62" s="7"/>
      <c r="O62" s="7"/>
      <c r="P62" s="7"/>
      <c r="Q62" s="7"/>
      <c r="R62" s="7"/>
      <c r="S62" s="7"/>
      <c r="T62" s="34"/>
      <c r="U62" s="35"/>
    </row>
    <row r="63" spans="1:48" ht="16" x14ac:dyDescent="0.2">
      <c r="A63" s="7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30"/>
      <c r="R63" s="7"/>
      <c r="S63" s="7"/>
      <c r="T63" s="6"/>
      <c r="U63" s="54"/>
    </row>
    <row r="64" spans="1:48" ht="16" x14ac:dyDescent="0.2">
      <c r="A64" s="7"/>
      <c r="B64" s="6"/>
      <c r="C64" s="7"/>
      <c r="D64" s="6"/>
      <c r="E64" s="55"/>
      <c r="F64" s="55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54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54"/>
    </row>
    <row r="66" spans="1:21" ht="16" x14ac:dyDescent="0.2">
      <c r="A66" s="56"/>
      <c r="B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54"/>
    </row>
    <row r="67" spans="1:21" ht="16" x14ac:dyDescent="0.2">
      <c r="D67" s="10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54"/>
    </row>
    <row r="68" spans="1:21" ht="16" x14ac:dyDescent="0.2"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54"/>
    </row>
    <row r="69" spans="1:21" ht="16" x14ac:dyDescent="0.2">
      <c r="A69" s="7"/>
      <c r="B69" s="32"/>
      <c r="C69" s="23"/>
      <c r="D69" s="23"/>
      <c r="E69" s="6"/>
      <c r="F69" s="32"/>
      <c r="G69" s="32"/>
      <c r="H69" s="32"/>
      <c r="I69" s="32"/>
      <c r="J69" s="7"/>
      <c r="K69" s="7"/>
      <c r="L69" s="7"/>
      <c r="M69" s="7"/>
      <c r="N69" s="7"/>
      <c r="O69" s="7"/>
      <c r="P69" s="32"/>
      <c r="Q69" s="36"/>
      <c r="R69" s="7"/>
      <c r="S69" s="57"/>
      <c r="T69" s="32"/>
      <c r="U69" s="36"/>
    </row>
    <row r="70" spans="1:21" x14ac:dyDescent="0.2">
      <c r="C70" s="58"/>
      <c r="D70" s="58"/>
      <c r="E70" s="6"/>
    </row>
    <row r="71" spans="1:21" x14ac:dyDescent="0.2">
      <c r="E71" s="6"/>
    </row>
    <row r="72" spans="1:21" x14ac:dyDescent="0.2">
      <c r="E72" s="6"/>
    </row>
    <row r="73" spans="1:21" x14ac:dyDescent="0.2">
      <c r="D73" s="10"/>
      <c r="E73" s="10"/>
      <c r="F73" s="10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26.5" style="2" customWidth="1"/>
    <col min="2" max="2" width="12" style="2" customWidth="1"/>
    <col min="3" max="3" width="13.6640625" style="2" customWidth="1"/>
    <col min="4" max="4" width="11.1640625" style="2" bestFit="1" customWidth="1"/>
    <col min="5" max="11" width="8.6640625" style="2"/>
    <col min="12" max="12" width="7.33203125" style="2" customWidth="1"/>
    <col min="13" max="13" width="7.5" style="2" customWidth="1"/>
    <col min="14" max="14" width="8.6640625" style="2"/>
    <col min="15" max="15" width="11" style="2" customWidth="1"/>
    <col min="16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75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55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546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601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27806+6847</f>
        <v>34653</v>
      </c>
      <c r="C18" s="46">
        <v>90</v>
      </c>
      <c r="D18" s="46">
        <v>0</v>
      </c>
      <c r="E18" s="46">
        <v>0</v>
      </c>
      <c r="F18" s="46">
        <v>0</v>
      </c>
      <c r="G18" s="46">
        <v>37108</v>
      </c>
      <c r="H18" s="46">
        <v>0</v>
      </c>
      <c r="I18" s="46"/>
      <c r="J18" s="46"/>
      <c r="K18" s="46"/>
      <c r="L18" s="46"/>
      <c r="M18" s="46"/>
      <c r="N18" s="46"/>
      <c r="O18" s="46">
        <f>SUM(C18:N18)</f>
        <v>37198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11800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691.48156000000006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f>SUM(B17:B22)</f>
        <v>46453</v>
      </c>
      <c r="C23" s="46">
        <v>90</v>
      </c>
      <c r="D23" s="46">
        <v>0</v>
      </c>
      <c r="E23" s="46">
        <v>0</v>
      </c>
      <c r="F23" s="46">
        <v>0</v>
      </c>
      <c r="G23" s="46">
        <f>SUM(G17:G22)</f>
        <v>37108</v>
      </c>
      <c r="H23" s="46">
        <v>0</v>
      </c>
      <c r="I23" s="46"/>
      <c r="J23" s="46"/>
      <c r="K23" s="46"/>
      <c r="L23" s="46"/>
      <c r="M23" s="46"/>
      <c r="N23" s="46"/>
      <c r="O23" s="46">
        <f>SUM(O17:O22)</f>
        <v>37198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230.83055999999999</v>
      </c>
      <c r="U24" s="14">
        <f>N43</f>
        <v>0.33382026846818585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263.38299999999998</v>
      </c>
      <c r="U25" s="15">
        <f>G43</f>
        <v>0.38089663591318323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49.53</v>
      </c>
      <c r="U26" s="14">
        <f>J43</f>
        <v>7.1628808149272985E-2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30.963000000000001</v>
      </c>
      <c r="U27" s="14">
        <f>F43</f>
        <v>4.4777766741892579E-2</v>
      </c>
    </row>
    <row r="28" spans="1:21" ht="16" x14ac:dyDescent="0.2">
      <c r="A28" s="4" t="s">
        <v>75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7.3220000000000001</v>
      </c>
      <c r="U28" s="14">
        <f>E43</f>
        <v>1.0588857929920792E-2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102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4.8</v>
      </c>
      <c r="U30" s="52">
        <f>K43</f>
        <v>6.9416167800627968E-3</v>
      </c>
    </row>
    <row r="31" spans="1:21" ht="16" x14ac:dyDescent="0.2">
      <c r="A31" s="8" t="s">
        <v>33</v>
      </c>
      <c r="B31" s="46">
        <v>0</v>
      </c>
      <c r="C31" s="46">
        <v>715</v>
      </c>
      <c r="D31" s="46">
        <v>0</v>
      </c>
      <c r="E31" s="46">
        <v>0</v>
      </c>
      <c r="F31" s="46">
        <v>74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3866</v>
      </c>
      <c r="O31" s="46">
        <v>4655</v>
      </c>
      <c r="P31" s="16">
        <f>O31/O$39</f>
        <v>6.8399955330641421E-3</v>
      </c>
      <c r="Q31" s="17" t="s">
        <v>34</v>
      </c>
      <c r="R31" s="67"/>
      <c r="S31" s="3" t="s">
        <v>102</v>
      </c>
      <c r="T31" s="13">
        <f>M42/1000</f>
        <v>42.87</v>
      </c>
      <c r="U31" s="14">
        <f>M43</f>
        <v>6.1997314866935854E-2</v>
      </c>
    </row>
    <row r="32" spans="1:21" ht="16" x14ac:dyDescent="0.2">
      <c r="A32" s="8" t="s">
        <v>36</v>
      </c>
      <c r="B32" s="46">
        <v>794</v>
      </c>
      <c r="C32" s="46">
        <v>15779</v>
      </c>
      <c r="D32" s="86">
        <v>0</v>
      </c>
      <c r="E32" s="89">
        <v>7322</v>
      </c>
      <c r="F32" s="86">
        <v>27300</v>
      </c>
      <c r="G32" s="86">
        <v>216340</v>
      </c>
      <c r="H32" s="46">
        <v>0</v>
      </c>
      <c r="I32" s="46"/>
      <c r="J32" s="86">
        <v>49530</v>
      </c>
      <c r="K32" s="86">
        <v>4800</v>
      </c>
      <c r="M32" s="86">
        <v>42870</v>
      </c>
      <c r="N32" s="46">
        <f>206253-28906</f>
        <v>177347</v>
      </c>
      <c r="O32" s="86">
        <f>SUM(B32:N32)</f>
        <v>542082</v>
      </c>
      <c r="P32" s="16">
        <f>O32/O$39</f>
        <v>0.79652813287958668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5725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5001</v>
      </c>
      <c r="O33" s="46">
        <v>10726</v>
      </c>
      <c r="P33" s="16">
        <f>O33/O$39</f>
        <v>1.5760642768559825E-2</v>
      </c>
      <c r="Q33" s="17" t="s">
        <v>39</v>
      </c>
      <c r="R33" s="67"/>
      <c r="S33" s="3" t="s">
        <v>35</v>
      </c>
      <c r="T33" s="13">
        <f>C42/1000</f>
        <v>61.783000000000001</v>
      </c>
      <c r="U33" s="15">
        <f>C43</f>
        <v>8.9348731150545785E-2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45005</v>
      </c>
      <c r="D34" s="46">
        <v>0</v>
      </c>
      <c r="E34" s="46">
        <v>0</v>
      </c>
      <c r="F34" s="60">
        <v>3589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3</v>
      </c>
      <c r="O34" s="60">
        <f>SUM(B34:N34)</f>
        <v>48597</v>
      </c>
      <c r="P34" s="16">
        <f>O34/O$39</f>
        <v>7.140779010103504E-2</v>
      </c>
      <c r="Q34" s="17" t="s">
        <v>41</v>
      </c>
      <c r="R34" s="67"/>
      <c r="S34" s="3"/>
      <c r="T34" s="13">
        <f>SUM(T24:T33)</f>
        <v>691.48155999999994</v>
      </c>
      <c r="U34" s="14">
        <f>SUM(U24:U33)</f>
        <v>0.99999999999999978</v>
      </c>
    </row>
    <row r="35" spans="1:48" ht="16" x14ac:dyDescent="0.2">
      <c r="A35" s="8" t="s">
        <v>42</v>
      </c>
      <c r="B35" s="46">
        <v>2889</v>
      </c>
      <c r="C35" s="46">
        <v>169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7297</v>
      </c>
      <c r="O35" s="46">
        <v>10355</v>
      </c>
      <c r="P35" s="16">
        <f>O35/O$39</f>
        <v>1.5215500267428397E-2</v>
      </c>
      <c r="Q35" s="17" t="s">
        <v>43</v>
      </c>
      <c r="R35" s="67"/>
    </row>
    <row r="36" spans="1:48" ht="16" x14ac:dyDescent="0.2">
      <c r="A36" s="8" t="s">
        <v>44</v>
      </c>
      <c r="B36" s="46">
        <v>14368</v>
      </c>
      <c r="C36" s="46">
        <v>25</v>
      </c>
      <c r="D36" s="46">
        <v>0</v>
      </c>
      <c r="E36" s="46">
        <v>0</v>
      </c>
      <c r="F36" s="46">
        <v>0</v>
      </c>
      <c r="G36" s="46">
        <v>9935</v>
      </c>
      <c r="H36" s="46">
        <v>0</v>
      </c>
      <c r="I36" s="46"/>
      <c r="J36" s="46"/>
      <c r="K36" s="46"/>
      <c r="L36" s="46"/>
      <c r="M36" s="45"/>
      <c r="N36" s="46">
        <v>15387</v>
      </c>
      <c r="O36" s="46">
        <v>39715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19595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3158</v>
      </c>
      <c r="O37" s="46">
        <v>22753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1673</v>
      </c>
      <c r="O38" s="46">
        <v>1673</v>
      </c>
      <c r="P38" s="17">
        <f>SUM(P31:P35)</f>
        <v>0.90575206154967403</v>
      </c>
      <c r="Q38" s="17"/>
      <c r="R38" s="67"/>
      <c r="S38" s="7" t="s">
        <v>47</v>
      </c>
      <c r="T38" s="19">
        <f>O45/1000</f>
        <v>20.18056</v>
      </c>
      <c r="U38" s="7"/>
    </row>
    <row r="39" spans="1:48" ht="16" x14ac:dyDescent="0.2">
      <c r="A39" s="8" t="s">
        <v>16</v>
      </c>
      <c r="B39" s="46">
        <v>43371</v>
      </c>
      <c r="C39" s="46">
        <v>61693</v>
      </c>
      <c r="D39" s="86">
        <f>SUM(D31:D38)</f>
        <v>0</v>
      </c>
      <c r="E39" s="89">
        <f>E32</f>
        <v>7322</v>
      </c>
      <c r="F39" s="60">
        <f>SUM(F31:F38)</f>
        <v>30963</v>
      </c>
      <c r="G39" s="86">
        <f>SUM(G31:G38)</f>
        <v>226275</v>
      </c>
      <c r="H39" s="46">
        <v>0</v>
      </c>
      <c r="I39" s="46"/>
      <c r="J39" s="86">
        <f>SUM(J32:J38)</f>
        <v>49530</v>
      </c>
      <c r="K39" s="86">
        <f>K32</f>
        <v>4800</v>
      </c>
      <c r="M39" s="86">
        <f>M32</f>
        <v>42870</v>
      </c>
      <c r="N39" s="46">
        <f>SUM(N31:N38)</f>
        <v>213732</v>
      </c>
      <c r="O39" s="86">
        <f>SUM(O31:O38)</f>
        <v>680556</v>
      </c>
      <c r="P39" s="3"/>
      <c r="Q39" s="3"/>
      <c r="R39" s="67"/>
      <c r="S39" s="7" t="s">
        <v>48</v>
      </c>
      <c r="T39" s="20">
        <f>O41/1000</f>
        <v>64.141000000000005</v>
      </c>
      <c r="U39" s="14">
        <f>P41</f>
        <v>9.4247938450325905E-2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10.355</v>
      </c>
      <c r="U40" s="15">
        <f>P35</f>
        <v>1.5215500267428397E-2</v>
      </c>
    </row>
    <row r="41" spans="1:48" ht="16" x14ac:dyDescent="0.2">
      <c r="A41" s="21" t="s">
        <v>50</v>
      </c>
      <c r="B41" s="22">
        <f>B38+B37+B36</f>
        <v>33963</v>
      </c>
      <c r="C41" s="22">
        <f t="shared" ref="C41:O41" si="0">C38+C37+C36</f>
        <v>25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9935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20218</v>
      </c>
      <c r="O41" s="22">
        <f t="shared" si="0"/>
        <v>64141</v>
      </c>
      <c r="P41" s="16">
        <f>O41/O$39</f>
        <v>9.4247938450325905E-2</v>
      </c>
      <c r="Q41" s="16" t="s">
        <v>51</v>
      </c>
      <c r="R41" s="7"/>
      <c r="S41" s="7" t="s">
        <v>52</v>
      </c>
      <c r="T41" s="20">
        <f>O33/1000</f>
        <v>10.726000000000001</v>
      </c>
      <c r="U41" s="14">
        <f>P33</f>
        <v>1.5760642768559825E-2</v>
      </c>
    </row>
    <row r="42" spans="1:48" ht="16" x14ac:dyDescent="0.2">
      <c r="A42" s="23" t="s">
        <v>53</v>
      </c>
      <c r="B42" s="22"/>
      <c r="C42" s="24">
        <f>C39+C23+C10</f>
        <v>61783</v>
      </c>
      <c r="D42" s="24">
        <f t="shared" ref="D42:M42" si="1">D39+D23+D10</f>
        <v>0</v>
      </c>
      <c r="E42" s="24">
        <f t="shared" si="1"/>
        <v>7322</v>
      </c>
      <c r="F42" s="24">
        <f t="shared" si="1"/>
        <v>30963</v>
      </c>
      <c r="G42" s="24">
        <f t="shared" si="1"/>
        <v>263383</v>
      </c>
      <c r="H42" s="24">
        <f t="shared" si="1"/>
        <v>0</v>
      </c>
      <c r="I42" s="24">
        <f t="shared" si="1"/>
        <v>0</v>
      </c>
      <c r="J42" s="24">
        <f t="shared" si="1"/>
        <v>49530</v>
      </c>
      <c r="K42" s="24">
        <f t="shared" si="1"/>
        <v>4800</v>
      </c>
      <c r="L42" s="24">
        <f t="shared" si="1"/>
        <v>0</v>
      </c>
      <c r="M42" s="24">
        <f t="shared" si="1"/>
        <v>42870</v>
      </c>
      <c r="N42" s="24">
        <f>N39+N23-B6+N45</f>
        <v>230830.56</v>
      </c>
      <c r="O42" s="25">
        <f>SUM(C42:N42)</f>
        <v>691481.56</v>
      </c>
      <c r="P42" s="7"/>
      <c r="Q42" s="7"/>
      <c r="R42" s="7"/>
      <c r="S42" s="7" t="s">
        <v>34</v>
      </c>
      <c r="T42" s="20">
        <f>O31/1000</f>
        <v>4.6550000000000002</v>
      </c>
      <c r="U42" s="14">
        <f>P31</f>
        <v>6.8399955330641421E-3</v>
      </c>
    </row>
    <row r="43" spans="1:48" ht="16" x14ac:dyDescent="0.2">
      <c r="A43" s="23" t="s">
        <v>54</v>
      </c>
      <c r="B43" s="22"/>
      <c r="C43" s="16">
        <f t="shared" ref="C43:N43" si="2">C42/$O42</f>
        <v>8.9348731150545785E-2</v>
      </c>
      <c r="D43" s="16">
        <f t="shared" si="2"/>
        <v>0</v>
      </c>
      <c r="E43" s="16">
        <f t="shared" si="2"/>
        <v>1.0588857929920792E-2</v>
      </c>
      <c r="F43" s="16">
        <f t="shared" si="2"/>
        <v>4.4777766741892579E-2</v>
      </c>
      <c r="G43" s="16">
        <f t="shared" si="2"/>
        <v>0.38089663591318323</v>
      </c>
      <c r="H43" s="16">
        <f t="shared" si="2"/>
        <v>0</v>
      </c>
      <c r="I43" s="16">
        <f t="shared" si="2"/>
        <v>0</v>
      </c>
      <c r="J43" s="16">
        <f t="shared" si="2"/>
        <v>7.1628808149272985E-2</v>
      </c>
      <c r="K43" s="16">
        <f t="shared" si="2"/>
        <v>6.9416167800627968E-3</v>
      </c>
      <c r="L43" s="16">
        <f t="shared" si="2"/>
        <v>0</v>
      </c>
      <c r="M43" s="16">
        <f t="shared" si="2"/>
        <v>6.1997314866935854E-2</v>
      </c>
      <c r="N43" s="16">
        <f t="shared" si="2"/>
        <v>0.33382026846818585</v>
      </c>
      <c r="O43" s="16">
        <f>SUM(C43:N43)</f>
        <v>0.99999999999999978</v>
      </c>
      <c r="P43" s="7"/>
      <c r="Q43" s="7"/>
      <c r="R43" s="7"/>
      <c r="S43" s="7" t="s">
        <v>55</v>
      </c>
      <c r="T43" s="20">
        <f>O32/1000</f>
        <v>542.08199999999999</v>
      </c>
      <c r="U43" s="15">
        <f>P32</f>
        <v>0.79652813287958668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48.597000000000001</v>
      </c>
      <c r="U44" s="15">
        <f>P34</f>
        <v>7.140779010103504E-2</v>
      </c>
    </row>
    <row r="45" spans="1:48" ht="16" x14ac:dyDescent="0.2">
      <c r="A45" s="6" t="s">
        <v>57</v>
      </c>
      <c r="B45" s="26">
        <f>B23-B39</f>
        <v>3082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17098.560000000001</v>
      </c>
      <c r="O45" s="25">
        <f>B45+N45</f>
        <v>20180.560000000001</v>
      </c>
      <c r="P45" s="7"/>
      <c r="Q45" s="7"/>
      <c r="R45" s="7"/>
      <c r="S45" s="7" t="s">
        <v>58</v>
      </c>
      <c r="T45" s="20">
        <f>SUM(T39:T44)</f>
        <v>680.55600000000004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6.6346629927023018E-2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8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6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8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8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4" width="8.6640625" style="2"/>
    <col min="15" max="15" width="10.1640625" style="2" customWidth="1"/>
    <col min="16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76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146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60">
        <v>8839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280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6">
        <f>SUM(B4:B9)</f>
        <v>9265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76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3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3" ht="16" x14ac:dyDescent="0.2">
      <c r="A18" s="8" t="s">
        <v>21</v>
      </c>
      <c r="B18" s="46">
        <f>60696+318</f>
        <v>61014</v>
      </c>
      <c r="C18" s="46">
        <v>0</v>
      </c>
      <c r="D18" s="46">
        <v>0</v>
      </c>
      <c r="E18" s="61">
        <v>2995</v>
      </c>
      <c r="F18" s="61">
        <v>3300</v>
      </c>
      <c r="G18" s="61">
        <v>59706</v>
      </c>
      <c r="H18" s="46">
        <v>0</v>
      </c>
      <c r="I18" s="46"/>
      <c r="J18" s="46"/>
      <c r="K18" s="46"/>
      <c r="L18" s="46"/>
      <c r="M18" s="46"/>
      <c r="N18" s="79">
        <f>318</f>
        <v>318</v>
      </c>
      <c r="O18" s="79">
        <f>N18+G18+F18+E18</f>
        <v>66319</v>
      </c>
      <c r="P18" s="3"/>
      <c r="Q18" s="3"/>
      <c r="R18" s="3"/>
      <c r="S18" s="3"/>
      <c r="T18" s="3"/>
      <c r="U18" s="3"/>
    </row>
    <row r="19" spans="1:23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3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3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631.64624000000003</v>
      </c>
      <c r="U21" s="3"/>
    </row>
    <row r="22" spans="1:23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3" ht="16" x14ac:dyDescent="0.2">
      <c r="A23" s="8" t="s">
        <v>16</v>
      </c>
      <c r="B23" s="46">
        <v>61014</v>
      </c>
      <c r="C23" s="46">
        <v>0</v>
      </c>
      <c r="D23" s="46">
        <v>0</v>
      </c>
      <c r="E23" s="61">
        <f>SUM(E17:E22)</f>
        <v>2995</v>
      </c>
      <c r="F23" s="61">
        <f t="shared" ref="F23:N23" si="0">SUM(F17:F22)</f>
        <v>3300</v>
      </c>
      <c r="G23" s="61">
        <f t="shared" si="0"/>
        <v>59706</v>
      </c>
      <c r="H23" s="65">
        <f t="shared" si="0"/>
        <v>0</v>
      </c>
      <c r="I23" s="61"/>
      <c r="J23" s="61"/>
      <c r="K23" s="61"/>
      <c r="L23" s="61"/>
      <c r="M23" s="61"/>
      <c r="N23" s="61">
        <f t="shared" si="0"/>
        <v>318</v>
      </c>
      <c r="O23" s="61">
        <f>SUM(O17:O22)</f>
        <v>66319</v>
      </c>
      <c r="P23" s="3"/>
      <c r="Q23" s="3"/>
      <c r="R23" s="3"/>
      <c r="S23" s="3"/>
      <c r="T23" s="3" t="s">
        <v>27</v>
      </c>
      <c r="U23" s="3" t="s">
        <v>28</v>
      </c>
    </row>
    <row r="24" spans="1:23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242.13324</v>
      </c>
      <c r="U24" s="14">
        <f>N43</f>
        <v>0.38333678674316179</v>
      </c>
    </row>
    <row r="25" spans="1:23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150.73500000000001</v>
      </c>
      <c r="U25" s="15">
        <f>G43</f>
        <v>0.23863832388205145</v>
      </c>
    </row>
    <row r="26" spans="1:23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3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13.333</v>
      </c>
      <c r="U27" s="14">
        <f>F43</f>
        <v>2.1108334310673646E-2</v>
      </c>
    </row>
    <row r="28" spans="1:23" ht="16" x14ac:dyDescent="0.2">
      <c r="A28" s="4" t="s">
        <v>76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93.94</v>
      </c>
      <c r="U28" s="14">
        <f>E43</f>
        <v>0.14872248744803737</v>
      </c>
    </row>
    <row r="29" spans="1:23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3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3" ht="16" x14ac:dyDescent="0.2">
      <c r="A31" s="8" t="s">
        <v>33</v>
      </c>
      <c r="B31" s="46">
        <v>0</v>
      </c>
      <c r="C31" s="46">
        <v>6426</v>
      </c>
      <c r="D31" s="46">
        <v>0</v>
      </c>
      <c r="E31" s="46">
        <v>0</v>
      </c>
      <c r="F31" s="46">
        <v>661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11233</v>
      </c>
      <c r="O31" s="46">
        <v>18320</v>
      </c>
      <c r="P31" s="16">
        <f>O31/O$39</f>
        <v>3.0533435111450371E-2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3" ht="16" x14ac:dyDescent="0.2">
      <c r="A32" s="8" t="s">
        <v>36</v>
      </c>
      <c r="B32" s="46">
        <v>4298</v>
      </c>
      <c r="C32" s="60">
        <f>C39-C36-C35-C34-C33-C31</f>
        <v>1182</v>
      </c>
      <c r="D32" s="46">
        <v>0</v>
      </c>
      <c r="E32" s="108">
        <v>90945</v>
      </c>
      <c r="F32" s="46">
        <v>0</v>
      </c>
      <c r="G32" s="60">
        <f>G39-G36</f>
        <v>60579</v>
      </c>
      <c r="H32" s="46">
        <v>0</v>
      </c>
      <c r="I32" s="46"/>
      <c r="J32" s="46"/>
      <c r="K32" s="46"/>
      <c r="L32" s="46"/>
      <c r="M32" s="45"/>
      <c r="N32" s="46">
        <v>125331</v>
      </c>
      <c r="O32" s="46">
        <v>282335</v>
      </c>
      <c r="P32" s="16">
        <f>O32/O$39</f>
        <v>0.47055990186633956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  <c r="W32" s="10"/>
    </row>
    <row r="33" spans="1:48" ht="16" x14ac:dyDescent="0.2">
      <c r="A33" s="8" t="s">
        <v>38</v>
      </c>
      <c r="B33" s="46">
        <v>82</v>
      </c>
      <c r="C33" s="46">
        <v>93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11025</v>
      </c>
      <c r="O33" s="46">
        <v>11200</v>
      </c>
      <c r="P33" s="16">
        <f>O33/O$39</f>
        <v>1.8666728889096297E-2</v>
      </c>
      <c r="Q33" s="17" t="s">
        <v>39</v>
      </c>
      <c r="R33" s="67"/>
      <c r="S33" s="3" t="s">
        <v>35</v>
      </c>
      <c r="T33" s="13">
        <f>C42/1000</f>
        <v>131.505</v>
      </c>
      <c r="U33" s="15">
        <f>C43</f>
        <v>0.20819406761607573</v>
      </c>
      <c r="W33" s="43"/>
      <c r="X33" s="60"/>
    </row>
    <row r="34" spans="1:48" ht="16" x14ac:dyDescent="0.2">
      <c r="A34" s="8" t="s">
        <v>40</v>
      </c>
      <c r="B34" s="46">
        <v>0</v>
      </c>
      <c r="C34" s="46">
        <v>122371</v>
      </c>
      <c r="D34" s="46">
        <v>0</v>
      </c>
      <c r="E34" s="46">
        <v>0</v>
      </c>
      <c r="F34" s="46">
        <v>9372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7</v>
      </c>
      <c r="O34" s="46">
        <v>131750</v>
      </c>
      <c r="P34" s="16">
        <f>O34/O$39</f>
        <v>0.21958406528021759</v>
      </c>
      <c r="Q34" s="17" t="s">
        <v>41</v>
      </c>
      <c r="R34" s="67"/>
      <c r="S34" s="3"/>
      <c r="T34" s="13">
        <f>SUM(T24:T33)</f>
        <v>631.64624000000003</v>
      </c>
      <c r="U34" s="14">
        <f>SUM(U24:U33)</f>
        <v>1</v>
      </c>
    </row>
    <row r="35" spans="1:48" ht="16" x14ac:dyDescent="0.2">
      <c r="A35" s="8" t="s">
        <v>42</v>
      </c>
      <c r="B35" s="46">
        <v>25436</v>
      </c>
      <c r="C35" s="46">
        <v>609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9577</v>
      </c>
      <c r="O35" s="46">
        <v>35621</v>
      </c>
      <c r="P35" s="16">
        <f>O35/O$39</f>
        <v>5.9368531228437431E-2</v>
      </c>
      <c r="Q35" s="17" t="s">
        <v>43</v>
      </c>
      <c r="R35" s="67"/>
    </row>
    <row r="36" spans="1:48" ht="16" x14ac:dyDescent="0.2">
      <c r="A36" s="8" t="s">
        <v>44</v>
      </c>
      <c r="B36" s="46">
        <v>7562</v>
      </c>
      <c r="C36" s="60">
        <f>O36-N36-G36-B36</f>
        <v>824</v>
      </c>
      <c r="D36" s="46">
        <v>0</v>
      </c>
      <c r="E36" s="46">
        <v>0</v>
      </c>
      <c r="F36" s="46">
        <v>0</v>
      </c>
      <c r="G36" s="60">
        <v>30450</v>
      </c>
      <c r="H36" s="46">
        <v>0</v>
      </c>
      <c r="I36" s="46"/>
      <c r="J36" s="46"/>
      <c r="K36" s="46"/>
      <c r="L36" s="46"/>
      <c r="M36" s="45"/>
      <c r="N36" s="46">
        <v>53971</v>
      </c>
      <c r="O36" s="46">
        <v>92807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15205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9528</v>
      </c>
      <c r="O37" s="46">
        <v>24733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3231</v>
      </c>
      <c r="O38" s="46">
        <v>3231</v>
      </c>
      <c r="P38" s="17">
        <f>SUM(P31:P35)</f>
        <v>0.79871266237554117</v>
      </c>
      <c r="Q38" s="17"/>
      <c r="R38" s="67"/>
      <c r="S38" s="7" t="s">
        <v>47</v>
      </c>
      <c r="T38" s="19">
        <f>O45/1000</f>
        <v>26.343240000000002</v>
      </c>
      <c r="U38" s="7"/>
    </row>
    <row r="39" spans="1:48" ht="16" x14ac:dyDescent="0.2">
      <c r="A39" s="8" t="s">
        <v>16</v>
      </c>
      <c r="B39" s="46">
        <v>52583</v>
      </c>
      <c r="C39" s="46">
        <v>131505</v>
      </c>
      <c r="D39" s="46">
        <v>0</v>
      </c>
      <c r="E39" s="108">
        <f>SUM(E31:E38)</f>
        <v>90945</v>
      </c>
      <c r="F39" s="46">
        <v>10033</v>
      </c>
      <c r="G39" s="60">
        <f>O39-F39-N39-E39-C39-B39</f>
        <v>91029</v>
      </c>
      <c r="H39" s="46">
        <v>0</v>
      </c>
      <c r="I39" s="46"/>
      <c r="J39" s="46"/>
      <c r="K39" s="46"/>
      <c r="L39" s="46"/>
      <c r="M39" s="45"/>
      <c r="N39" s="46">
        <v>223903</v>
      </c>
      <c r="O39" s="46">
        <v>599998</v>
      </c>
      <c r="P39" s="3"/>
      <c r="Q39" s="3"/>
      <c r="R39" s="67"/>
      <c r="S39" s="7" t="s">
        <v>48</v>
      </c>
      <c r="T39" s="20">
        <f>O41/1000</f>
        <v>120.771</v>
      </c>
      <c r="U39" s="14">
        <f>P41</f>
        <v>0.20128567095223651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35.621000000000002</v>
      </c>
      <c r="U40" s="15">
        <f>P35</f>
        <v>5.9368531228437431E-2</v>
      </c>
    </row>
    <row r="41" spans="1:48" ht="16" x14ac:dyDescent="0.2">
      <c r="A41" s="21" t="s">
        <v>50</v>
      </c>
      <c r="B41" s="22">
        <f>B38+B37+B36</f>
        <v>22767</v>
      </c>
      <c r="C41" s="22">
        <f t="shared" ref="C41:O41" si="1">C38+C37+C36</f>
        <v>824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30450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66730</v>
      </c>
      <c r="O41" s="22">
        <f t="shared" si="1"/>
        <v>120771</v>
      </c>
      <c r="P41" s="16">
        <f>O41/O$39</f>
        <v>0.20128567095223651</v>
      </c>
      <c r="Q41" s="16" t="s">
        <v>51</v>
      </c>
      <c r="R41" s="7"/>
      <c r="S41" s="7" t="s">
        <v>52</v>
      </c>
      <c r="T41" s="20">
        <f>O33/1000</f>
        <v>11.2</v>
      </c>
      <c r="U41" s="14">
        <f>P33</f>
        <v>1.8666728889096297E-2</v>
      </c>
    </row>
    <row r="42" spans="1:48" ht="16" x14ac:dyDescent="0.2">
      <c r="A42" s="23" t="s">
        <v>53</v>
      </c>
      <c r="B42" s="22"/>
      <c r="C42" s="24">
        <f>C39+C23+C10</f>
        <v>131505</v>
      </c>
      <c r="D42" s="24">
        <f t="shared" ref="D42:M42" si="2">D39+D23+D10</f>
        <v>0</v>
      </c>
      <c r="E42" s="24">
        <f t="shared" si="2"/>
        <v>93940</v>
      </c>
      <c r="F42" s="24">
        <f t="shared" si="2"/>
        <v>13333</v>
      </c>
      <c r="G42" s="24">
        <f t="shared" si="2"/>
        <v>150735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242133.24</v>
      </c>
      <c r="O42" s="25">
        <f>SUM(C42:N42)</f>
        <v>631646.24</v>
      </c>
      <c r="P42" s="7"/>
      <c r="Q42" s="7"/>
      <c r="R42" s="7"/>
      <c r="S42" s="7" t="s">
        <v>34</v>
      </c>
      <c r="T42" s="20">
        <f>O31/1000</f>
        <v>18.32</v>
      </c>
      <c r="U42" s="14">
        <f>P31</f>
        <v>3.0533435111450371E-2</v>
      </c>
    </row>
    <row r="43" spans="1:48" ht="16" x14ac:dyDescent="0.2">
      <c r="A43" s="23" t="s">
        <v>54</v>
      </c>
      <c r="B43" s="22"/>
      <c r="C43" s="16">
        <f t="shared" ref="C43:N43" si="3">C42/$O42</f>
        <v>0.20819406761607573</v>
      </c>
      <c r="D43" s="16">
        <f t="shared" si="3"/>
        <v>0</v>
      </c>
      <c r="E43" s="16">
        <f t="shared" si="3"/>
        <v>0.14872248744803737</v>
      </c>
      <c r="F43" s="16">
        <f t="shared" si="3"/>
        <v>2.1108334310673646E-2</v>
      </c>
      <c r="G43" s="16">
        <f t="shared" si="3"/>
        <v>0.23863832388205145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0.38333678674316179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282.33499999999998</v>
      </c>
      <c r="U43" s="15">
        <f>P32</f>
        <v>0.47055990186633956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131.75</v>
      </c>
      <c r="U44" s="15">
        <f>P34</f>
        <v>0.21958406528021759</v>
      </c>
    </row>
    <row r="45" spans="1:48" ht="16" x14ac:dyDescent="0.2">
      <c r="A45" s="6" t="s">
        <v>57</v>
      </c>
      <c r="B45" s="26">
        <f>B23-B39</f>
        <v>8431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17912.240000000002</v>
      </c>
      <c r="O45" s="25">
        <f>B45+N45</f>
        <v>26343.24</v>
      </c>
      <c r="P45" s="7"/>
      <c r="Q45" s="7"/>
      <c r="R45" s="7"/>
      <c r="S45" s="7" t="s">
        <v>58</v>
      </c>
      <c r="T45" s="20">
        <f>SUM(T39:T44)</f>
        <v>599.99699999999996</v>
      </c>
      <c r="U45" s="14">
        <f>SUM(U39:U44)</f>
        <v>0.99999833332777766</v>
      </c>
    </row>
    <row r="46" spans="1:48" ht="16" x14ac:dyDescent="0.2">
      <c r="A46" s="9" t="s">
        <v>91</v>
      </c>
      <c r="B46" s="70">
        <f>B45/B23</f>
        <v>0.13818140098993673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D47" s="6"/>
      <c r="E47" s="6"/>
      <c r="F47" s="6"/>
      <c r="G47" s="6"/>
      <c r="H47" s="6"/>
      <c r="I47" s="27"/>
      <c r="J47" s="9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8"/>
      <c r="F48" s="9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9"/>
      <c r="I49" s="9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F51" s="27"/>
      <c r="G51" s="27"/>
      <c r="H51" s="9"/>
      <c r="I51" s="9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77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52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3184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2">
        <f>SUM(B4:B9)</f>
        <v>3236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77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15655+2250</f>
        <v>17905</v>
      </c>
      <c r="C18" s="46">
        <v>239</v>
      </c>
      <c r="D18" s="46">
        <v>0</v>
      </c>
      <c r="E18" s="46">
        <v>0</v>
      </c>
      <c r="F18" s="46">
        <v>0</v>
      </c>
      <c r="G18" s="46">
        <v>17837</v>
      </c>
      <c r="H18" s="46">
        <v>0</v>
      </c>
      <c r="I18" s="46"/>
      <c r="J18" s="46"/>
      <c r="K18" s="46"/>
      <c r="L18" s="46"/>
      <c r="M18" s="46"/>
      <c r="N18" s="46"/>
      <c r="O18" s="46">
        <v>18076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363.42131999999998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17905</v>
      </c>
      <c r="C23" s="46">
        <v>239</v>
      </c>
      <c r="D23" s="46">
        <v>0</v>
      </c>
      <c r="E23" s="46">
        <v>0</v>
      </c>
      <c r="F23" s="46">
        <v>0</v>
      </c>
      <c r="G23" s="46">
        <v>17837</v>
      </c>
      <c r="H23" s="46">
        <v>0</v>
      </c>
      <c r="I23" s="46"/>
      <c r="J23" s="46"/>
      <c r="K23" s="46"/>
      <c r="L23" s="46"/>
      <c r="M23" s="46"/>
      <c r="N23" s="46"/>
      <c r="O23" s="46">
        <v>18076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175.80132</v>
      </c>
      <c r="U24" s="14">
        <f>N43</f>
        <v>0.48373969914588388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33.296999999999997</v>
      </c>
      <c r="U25" s="15">
        <f>G43</f>
        <v>9.1620931870480246E-2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8.6969999999999992</v>
      </c>
      <c r="U27" s="14">
        <f>F43</f>
        <v>2.3930902017526103E-2</v>
      </c>
    </row>
    <row r="28" spans="1:21" ht="16" x14ac:dyDescent="0.2">
      <c r="A28" s="4" t="s">
        <v>77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18.559999999999999</v>
      </c>
      <c r="U28" s="14">
        <f>E43</f>
        <v>5.107020138499304E-2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7285</v>
      </c>
      <c r="D31" s="46">
        <v>0</v>
      </c>
      <c r="E31" s="46">
        <v>0</v>
      </c>
      <c r="F31" s="46">
        <v>752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6012</v>
      </c>
      <c r="O31" s="46">
        <v>14050</v>
      </c>
      <c r="P31" s="16">
        <f>O31/O$39</f>
        <v>4.0388070427596116E-2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0</v>
      </c>
      <c r="C32" s="46">
        <v>1988</v>
      </c>
      <c r="D32" s="46">
        <v>0</v>
      </c>
      <c r="E32" s="85">
        <v>18560</v>
      </c>
      <c r="F32" s="46">
        <v>0</v>
      </c>
      <c r="G32" s="60">
        <v>10</v>
      </c>
      <c r="H32" s="46">
        <v>0</v>
      </c>
      <c r="I32" s="46"/>
      <c r="J32" s="46"/>
      <c r="K32" s="46"/>
      <c r="L32" s="46"/>
      <c r="M32" s="45"/>
      <c r="N32" s="60">
        <f>N39-N31-SUM(N33:N38)</f>
        <v>58040</v>
      </c>
      <c r="O32" s="86">
        <f>SUM(B32:N32)</f>
        <v>78598</v>
      </c>
      <c r="P32" s="16">
        <f>O32/O$39</f>
        <v>0.22593747754222063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2430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7006</v>
      </c>
      <c r="O33" s="46">
        <v>9436</v>
      </c>
      <c r="P33" s="16">
        <f>O33/O$39</f>
        <v>2.7124685591088753E-2</v>
      </c>
      <c r="Q33" s="17" t="s">
        <v>39</v>
      </c>
      <c r="R33" s="67"/>
      <c r="S33" s="3" t="s">
        <v>35</v>
      </c>
      <c r="T33" s="13">
        <f>C42/1000</f>
        <v>127.066</v>
      </c>
      <c r="U33" s="15">
        <f>C43</f>
        <v>0.34963826558111671</v>
      </c>
      <c r="W33" s="43"/>
      <c r="X33" s="60"/>
    </row>
    <row r="34" spans="1:48" ht="16" x14ac:dyDescent="0.2">
      <c r="A34" s="8" t="s">
        <v>40</v>
      </c>
      <c r="B34" s="46">
        <v>0</v>
      </c>
      <c r="C34" s="46">
        <v>115209</v>
      </c>
      <c r="D34" s="46">
        <v>0</v>
      </c>
      <c r="E34" s="46">
        <v>0</v>
      </c>
      <c r="F34" s="46">
        <v>7945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26</v>
      </c>
      <c r="O34" s="46">
        <v>123181</v>
      </c>
      <c r="P34" s="16">
        <f>O34/O$39</f>
        <v>0.35409558030901905</v>
      </c>
      <c r="Q34" s="17" t="s">
        <v>41</v>
      </c>
      <c r="R34" s="67"/>
      <c r="S34" s="3"/>
      <c r="T34" s="13">
        <f>SUM(T24:T33)</f>
        <v>363.42132000000004</v>
      </c>
      <c r="U34" s="14">
        <f>SUM(U24:U33)</f>
        <v>1</v>
      </c>
    </row>
    <row r="35" spans="1:48" ht="16" x14ac:dyDescent="0.2">
      <c r="A35" s="8" t="s">
        <v>42</v>
      </c>
      <c r="B35" s="46">
        <v>2915</v>
      </c>
      <c r="C35" s="46">
        <v>602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30570</v>
      </c>
      <c r="O35" s="46">
        <v>34087</v>
      </c>
      <c r="P35" s="16">
        <f>O35/O$39</f>
        <v>9.798634567014014E-2</v>
      </c>
      <c r="Q35" s="17" t="s">
        <v>43</v>
      </c>
      <c r="R35" s="67"/>
    </row>
    <row r="36" spans="1:48" ht="16" x14ac:dyDescent="0.2">
      <c r="A36" s="8" t="s">
        <v>44</v>
      </c>
      <c r="B36" s="46">
        <v>80</v>
      </c>
      <c r="C36" s="46">
        <v>935</v>
      </c>
      <c r="D36" s="46">
        <v>0</v>
      </c>
      <c r="E36" s="46">
        <v>0</v>
      </c>
      <c r="F36" s="46">
        <v>0</v>
      </c>
      <c r="G36" s="60">
        <v>15450</v>
      </c>
      <c r="H36" s="46">
        <v>0</v>
      </c>
      <c r="I36" s="46"/>
      <c r="J36" s="46"/>
      <c r="K36" s="46"/>
      <c r="L36" s="46"/>
      <c r="M36" s="45"/>
      <c r="N36" s="60">
        <f>O36-G36-C36-B36</f>
        <v>48704</v>
      </c>
      <c r="O36" s="46">
        <v>65169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10125</v>
      </c>
      <c r="C37" s="46">
        <v>808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11141</v>
      </c>
      <c r="O37" s="46">
        <v>22074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1280</v>
      </c>
      <c r="O38" s="46">
        <v>1280</v>
      </c>
      <c r="P38" s="17">
        <f>SUM(P31:P35)</f>
        <v>0.7455321595400648</v>
      </c>
      <c r="Q38" s="17"/>
      <c r="R38" s="67"/>
      <c r="S38" s="7" t="s">
        <v>47</v>
      </c>
      <c r="T38" s="19">
        <f>O45/1000</f>
        <v>15.377319999999999</v>
      </c>
      <c r="U38" s="7"/>
    </row>
    <row r="39" spans="1:48" ht="16" x14ac:dyDescent="0.2">
      <c r="A39" s="8" t="s">
        <v>16</v>
      </c>
      <c r="B39" s="46">
        <v>15550</v>
      </c>
      <c r="C39" s="46">
        <v>126827</v>
      </c>
      <c r="D39" s="46">
        <v>0</v>
      </c>
      <c r="E39" s="85">
        <f>SUM(E31:E38)</f>
        <v>18560</v>
      </c>
      <c r="F39" s="46">
        <v>8697</v>
      </c>
      <c r="G39" s="60">
        <f>SUM(G31:G38)</f>
        <v>15460</v>
      </c>
      <c r="H39" s="46">
        <v>0</v>
      </c>
      <c r="I39" s="46"/>
      <c r="J39" s="46"/>
      <c r="K39" s="46"/>
      <c r="L39" s="46"/>
      <c r="M39" s="45"/>
      <c r="N39" s="46">
        <v>162779</v>
      </c>
      <c r="O39" s="86">
        <f>SUM(O31:O38)</f>
        <v>347875</v>
      </c>
      <c r="P39" s="3"/>
      <c r="Q39" s="3"/>
      <c r="R39" s="67"/>
      <c r="S39" s="7" t="s">
        <v>48</v>
      </c>
      <c r="T39" s="20">
        <f>O41/1000</f>
        <v>88.522999999999996</v>
      </c>
      <c r="U39" s="14">
        <f>P41</f>
        <v>0.25446784045993531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34.087000000000003</v>
      </c>
      <c r="U40" s="15">
        <f>P35</f>
        <v>9.798634567014014E-2</v>
      </c>
    </row>
    <row r="41" spans="1:48" ht="16" x14ac:dyDescent="0.2">
      <c r="A41" s="21" t="s">
        <v>50</v>
      </c>
      <c r="B41" s="22">
        <f>B38+B37+B36</f>
        <v>10205</v>
      </c>
      <c r="C41" s="22">
        <f t="shared" ref="C41:O41" si="0">C38+C37+C36</f>
        <v>1743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15450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61125</v>
      </c>
      <c r="O41" s="22">
        <f t="shared" si="0"/>
        <v>88523</v>
      </c>
      <c r="P41" s="16">
        <f>O41/O$39</f>
        <v>0.25446784045993531</v>
      </c>
      <c r="Q41" s="16" t="s">
        <v>51</v>
      </c>
      <c r="R41" s="7"/>
      <c r="S41" s="7" t="s">
        <v>52</v>
      </c>
      <c r="T41" s="20">
        <f>O33/1000</f>
        <v>9.4359999999999999</v>
      </c>
      <c r="U41" s="14">
        <f>P33</f>
        <v>2.7124685591088753E-2</v>
      </c>
    </row>
    <row r="42" spans="1:48" ht="16" x14ac:dyDescent="0.2">
      <c r="A42" s="23" t="s">
        <v>53</v>
      </c>
      <c r="B42" s="22"/>
      <c r="C42" s="24">
        <f>C39+C23+C10</f>
        <v>127066</v>
      </c>
      <c r="D42" s="24">
        <f t="shared" ref="D42:M42" si="1">D39+D23+D10</f>
        <v>0</v>
      </c>
      <c r="E42" s="24">
        <f t="shared" si="1"/>
        <v>18560</v>
      </c>
      <c r="F42" s="24">
        <f t="shared" si="1"/>
        <v>8697</v>
      </c>
      <c r="G42" s="24">
        <f t="shared" si="1"/>
        <v>33297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175801.32</v>
      </c>
      <c r="O42" s="25">
        <f>SUM(C42:N42)</f>
        <v>363421.32</v>
      </c>
      <c r="P42" s="7"/>
      <c r="Q42" s="7"/>
      <c r="R42" s="7"/>
      <c r="S42" s="7" t="s">
        <v>34</v>
      </c>
      <c r="T42" s="20">
        <f>O31/1000</f>
        <v>14.05</v>
      </c>
      <c r="U42" s="14">
        <f>P31</f>
        <v>4.0388070427596116E-2</v>
      </c>
    </row>
    <row r="43" spans="1:48" ht="16" x14ac:dyDescent="0.2">
      <c r="A43" s="23" t="s">
        <v>54</v>
      </c>
      <c r="B43" s="22"/>
      <c r="C43" s="16">
        <f t="shared" ref="C43:N43" si="2">C42/$O42</f>
        <v>0.34963826558111671</v>
      </c>
      <c r="D43" s="16">
        <f t="shared" si="2"/>
        <v>0</v>
      </c>
      <c r="E43" s="16">
        <f t="shared" si="2"/>
        <v>5.107020138499304E-2</v>
      </c>
      <c r="F43" s="16">
        <f t="shared" si="2"/>
        <v>2.3930902017526103E-2</v>
      </c>
      <c r="G43" s="16">
        <f t="shared" si="2"/>
        <v>9.1620931870480246E-2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0.48373969914588388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78.597999999999999</v>
      </c>
      <c r="U43" s="15">
        <f>P32</f>
        <v>0.22593747754222063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123.181</v>
      </c>
      <c r="U44" s="15">
        <f>P34</f>
        <v>0.35409558030901905</v>
      </c>
    </row>
    <row r="45" spans="1:48" ht="16" x14ac:dyDescent="0.2">
      <c r="A45" s="6" t="s">
        <v>57</v>
      </c>
      <c r="B45" s="26">
        <f>B23-B39</f>
        <v>2355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13022.32</v>
      </c>
      <c r="O45" s="25">
        <f>B45+N45</f>
        <v>15377.32</v>
      </c>
      <c r="P45" s="7"/>
      <c r="Q45" s="7"/>
      <c r="R45" s="7"/>
      <c r="S45" s="7" t="s">
        <v>58</v>
      </c>
      <c r="T45" s="20">
        <f>SUM(T39:T44)</f>
        <v>347.875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0.13152750628316112</v>
      </c>
      <c r="C46" s="6"/>
      <c r="D46" s="6"/>
      <c r="E46" s="6"/>
      <c r="F46" s="6"/>
      <c r="G46" s="27"/>
      <c r="H46" s="27"/>
      <c r="I46" s="27"/>
      <c r="J46" s="27"/>
      <c r="K46" s="27"/>
      <c r="L46" s="27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9"/>
      <c r="D47" s="9"/>
      <c r="E47" s="9"/>
      <c r="F47" s="9"/>
      <c r="G47" s="27"/>
      <c r="H47" s="27"/>
      <c r="I47" s="27"/>
      <c r="J47" s="27"/>
      <c r="K47" s="27"/>
      <c r="L47" s="27"/>
      <c r="M47" s="9"/>
      <c r="N47" s="27"/>
      <c r="O47" s="9"/>
      <c r="P47" s="9"/>
      <c r="Q47" s="27"/>
      <c r="R47" s="4"/>
      <c r="S47" s="4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27"/>
      <c r="AH47" s="4"/>
      <c r="AI47" s="4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2">
      <c r="A48" s="27"/>
      <c r="B48" s="4"/>
      <c r="C48" s="9"/>
      <c r="D48" s="18"/>
      <c r="E48" s="9"/>
      <c r="F48" s="18"/>
      <c r="G48" s="9"/>
      <c r="H48" s="18"/>
      <c r="I48" s="9"/>
      <c r="J48" s="9"/>
      <c r="K48" s="9"/>
      <c r="L48" s="9"/>
      <c r="M48" s="9"/>
      <c r="N48" s="27"/>
      <c r="O48" s="9"/>
      <c r="P48" s="9"/>
      <c r="Q48" s="27"/>
      <c r="R48" s="27"/>
      <c r="S48" s="4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27"/>
      <c r="AH48" s="27"/>
      <c r="AI48" s="4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x14ac:dyDescent="0.2">
      <c r="A49" s="2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7"/>
      <c r="R49" s="27"/>
      <c r="S49" s="4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27"/>
      <c r="AH49" s="27"/>
      <c r="AI49" s="4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x14ac:dyDescent="0.2">
      <c r="A50" s="2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7"/>
      <c r="O50" s="9"/>
      <c r="P50" s="9"/>
      <c r="Q50" s="27"/>
      <c r="R50" s="27"/>
      <c r="S50" s="4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27"/>
      <c r="AH50" s="27"/>
      <c r="AI50" s="4"/>
      <c r="AJ50" s="18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 x14ac:dyDescent="0.2">
      <c r="A51" s="27"/>
      <c r="B51" s="4"/>
      <c r="C51" s="9"/>
      <c r="I51" s="9"/>
      <c r="J51" s="9"/>
      <c r="K51" s="9"/>
      <c r="L51" s="9"/>
      <c r="M51" s="9"/>
      <c r="N51" s="27"/>
      <c r="O51" s="9"/>
      <c r="P51" s="9"/>
      <c r="Q51" s="27"/>
      <c r="R51" s="27"/>
      <c r="S51" s="4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27"/>
      <c r="AH51" s="27"/>
      <c r="AI51" s="4"/>
      <c r="AJ51" s="18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x14ac:dyDescent="0.2">
      <c r="A52" s="27"/>
      <c r="B52" s="4"/>
      <c r="C52" s="9"/>
      <c r="I52" s="9"/>
      <c r="J52" s="9"/>
      <c r="K52" s="9"/>
      <c r="L52" s="9"/>
      <c r="M52" s="9"/>
      <c r="N52" s="27"/>
      <c r="O52" s="9"/>
      <c r="P52" s="9"/>
      <c r="Q52" s="27"/>
      <c r="R52" s="27"/>
      <c r="S52" s="4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27"/>
      <c r="AH52" s="27"/>
      <c r="AI52" s="4"/>
      <c r="AJ52" s="18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27"/>
      <c r="O53" s="9"/>
      <c r="P53" s="9"/>
      <c r="Q53" s="27"/>
      <c r="R53" s="27"/>
      <c r="S53" s="4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27"/>
      <c r="AH53" s="27"/>
      <c r="AI53" s="4"/>
      <c r="AJ53" s="18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x14ac:dyDescent="0.2">
      <c r="A54" s="2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27"/>
      <c r="O54" s="9"/>
      <c r="P54" s="9"/>
      <c r="Q54" s="27"/>
      <c r="R54" s="27"/>
      <c r="S54" s="4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27"/>
      <c r="AH54" s="27"/>
      <c r="AI54" s="4"/>
      <c r="AJ54" s="18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x14ac:dyDescent="0.2">
      <c r="A55" s="27"/>
      <c r="B55" s="4"/>
      <c r="C55" s="9"/>
      <c r="D55" s="9"/>
      <c r="E55" s="9"/>
      <c r="F55" s="18"/>
      <c r="G55" s="9"/>
      <c r="H55" s="18"/>
      <c r="I55" s="9"/>
      <c r="J55" s="9"/>
      <c r="K55" s="9"/>
      <c r="L55" s="9"/>
      <c r="M55" s="9"/>
      <c r="N55" s="27"/>
      <c r="O55" s="9"/>
      <c r="P55" s="9"/>
      <c r="Q55" s="27"/>
      <c r="R55" s="27"/>
      <c r="S55" s="4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27"/>
      <c r="AH55" s="27"/>
      <c r="AI55" s="4"/>
      <c r="AJ55" s="18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 x14ac:dyDescent="0.2">
      <c r="A56" s="27"/>
      <c r="B56" s="4"/>
      <c r="C56" s="9"/>
      <c r="D56" s="9"/>
      <c r="E56" s="9"/>
      <c r="F56" s="18"/>
      <c r="G56" s="9"/>
      <c r="H56" s="18"/>
      <c r="I56" s="9"/>
      <c r="J56" s="9"/>
      <c r="K56" s="9"/>
      <c r="L56" s="9"/>
      <c r="M56" s="9"/>
      <c r="N56" s="27"/>
      <c r="O56" s="9"/>
      <c r="P56" s="9"/>
      <c r="Q56" s="27"/>
      <c r="R56" s="27"/>
      <c r="S56" s="4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27"/>
      <c r="AH56" s="27"/>
      <c r="AI56" s="4"/>
      <c r="AJ56" s="18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78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206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3476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51"/>
      <c r="U9" s="46"/>
      <c r="V9" s="46"/>
      <c r="W9" s="51"/>
      <c r="X9" s="46"/>
      <c r="Y9" s="46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3682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51"/>
      <c r="U10" s="46"/>
      <c r="V10" s="46"/>
      <c r="W10" s="51"/>
      <c r="X10" s="46"/>
      <c r="Y10" s="46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78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0</v>
      </c>
      <c r="C18" s="46">
        <v>0</v>
      </c>
      <c r="D18" s="46">
        <v>0</v>
      </c>
      <c r="E18" s="62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62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414.05295999999998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2">
        <v>0</v>
      </c>
      <c r="C23" s="46">
        <v>0</v>
      </c>
      <c r="D23" s="46">
        <v>0</v>
      </c>
      <c r="E23" s="62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62">
        <v>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233.21196</v>
      </c>
      <c r="U24" s="14">
        <f>N43</f>
        <v>0.5632418616207937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17.254000000000001</v>
      </c>
      <c r="U25" s="15">
        <f>G43</f>
        <v>4.1670997835639191E-2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11.5</v>
      </c>
      <c r="U27" s="14">
        <f>F43</f>
        <v>2.777422482380032E-2</v>
      </c>
    </row>
    <row r="28" spans="1:21" ht="16" x14ac:dyDescent="0.2">
      <c r="A28" s="4" t="s">
        <v>78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2.6269999999999998</v>
      </c>
      <c r="U28" s="14">
        <f>E43</f>
        <v>6.3445990097498644E-3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14387</v>
      </c>
      <c r="D31" s="46">
        <v>0</v>
      </c>
      <c r="E31" s="46">
        <v>0</v>
      </c>
      <c r="F31" s="46">
        <v>1463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17840</v>
      </c>
      <c r="O31" s="46">
        <v>33690</v>
      </c>
      <c r="P31" s="16">
        <f>O31/O$39</f>
        <v>8.4908941523975628E-2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0</v>
      </c>
      <c r="C32" s="46">
        <v>1018</v>
      </c>
      <c r="D32" s="46">
        <v>0</v>
      </c>
      <c r="E32" s="46">
        <v>2627</v>
      </c>
      <c r="F32" s="46">
        <v>0</v>
      </c>
      <c r="G32" s="46">
        <v>107</v>
      </c>
      <c r="H32" s="46">
        <v>0</v>
      </c>
      <c r="I32" s="46"/>
      <c r="J32" s="46"/>
      <c r="K32" s="46"/>
      <c r="L32" s="46"/>
      <c r="M32" s="45"/>
      <c r="N32" s="46">
        <v>27126</v>
      </c>
      <c r="O32" s="46">
        <v>30878</v>
      </c>
      <c r="P32" s="16">
        <f>O32/O$39</f>
        <v>7.7821855042366259E-2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62">
        <v>0</v>
      </c>
      <c r="C33" s="46">
        <v>431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f>O33-C33</f>
        <v>16884</v>
      </c>
      <c r="O33" s="46">
        <v>17315</v>
      </c>
      <c r="P33" s="16">
        <f>O33/O$39</f>
        <v>4.3639012243622377E-2</v>
      </c>
      <c r="Q33" s="17" t="s">
        <v>39</v>
      </c>
      <c r="R33" s="67"/>
      <c r="S33" s="3" t="s">
        <v>35</v>
      </c>
      <c r="T33" s="13">
        <f>C42/1000</f>
        <v>149.46</v>
      </c>
      <c r="U33" s="15">
        <f>C43</f>
        <v>0.36096831671001706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130621</v>
      </c>
      <c r="D34" s="46">
        <v>0</v>
      </c>
      <c r="E34" s="46">
        <v>0</v>
      </c>
      <c r="F34" s="46">
        <v>10036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996</v>
      </c>
      <c r="O34" s="46">
        <v>141654</v>
      </c>
      <c r="P34" s="16">
        <f>O34/O$39</f>
        <v>0.35701072136055928</v>
      </c>
      <c r="Q34" s="17" t="s">
        <v>41</v>
      </c>
      <c r="R34" s="67"/>
      <c r="S34" s="3"/>
      <c r="T34" s="13">
        <f>SUM(T24:T33)</f>
        <v>414.05295999999998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1986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33682</v>
      </c>
      <c r="O35" s="46">
        <v>35668</v>
      </c>
      <c r="P35" s="16">
        <f>O35/O$39</f>
        <v>8.989409695093982E-2</v>
      </c>
      <c r="Q35" s="17" t="s">
        <v>43</v>
      </c>
      <c r="R35" s="67"/>
    </row>
    <row r="36" spans="1:48" ht="16" x14ac:dyDescent="0.2">
      <c r="A36" s="8" t="s">
        <v>44</v>
      </c>
      <c r="B36" s="46">
        <v>0</v>
      </c>
      <c r="C36" s="46">
        <v>470</v>
      </c>
      <c r="D36" s="46">
        <v>0</v>
      </c>
      <c r="E36" s="46">
        <v>0</v>
      </c>
      <c r="F36" s="46">
        <v>0</v>
      </c>
      <c r="G36" s="46">
        <v>17147</v>
      </c>
      <c r="H36" s="46">
        <v>0</v>
      </c>
      <c r="I36" s="46"/>
      <c r="J36" s="46"/>
      <c r="K36" s="46"/>
      <c r="L36" s="46"/>
      <c r="M36" s="45"/>
      <c r="N36" s="46">
        <v>76686</v>
      </c>
      <c r="O36" s="46">
        <v>94303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2">
        <v>0</v>
      </c>
      <c r="C37" s="46">
        <v>547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60">
        <f>O37-C37</f>
        <v>9241</v>
      </c>
      <c r="O37" s="46">
        <v>9788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33482</v>
      </c>
      <c r="O38" s="46">
        <v>33482</v>
      </c>
      <c r="P38" s="17">
        <f>SUM(P31:P35)</f>
        <v>0.65327462712146334</v>
      </c>
      <c r="Q38" s="17"/>
      <c r="R38" s="67"/>
      <c r="S38" s="7" t="s">
        <v>47</v>
      </c>
      <c r="T38" s="19">
        <f>O45/1000</f>
        <v>17.27496</v>
      </c>
      <c r="U38" s="7"/>
    </row>
    <row r="39" spans="1:48" ht="16" x14ac:dyDescent="0.2">
      <c r="A39" s="8" t="s">
        <v>16</v>
      </c>
      <c r="B39" s="62">
        <v>0</v>
      </c>
      <c r="C39" s="46">
        <v>149460</v>
      </c>
      <c r="D39" s="46">
        <v>0</v>
      </c>
      <c r="E39" s="46">
        <v>2627</v>
      </c>
      <c r="F39" s="46">
        <v>11500</v>
      </c>
      <c r="G39" s="46">
        <v>17254</v>
      </c>
      <c r="H39" s="46">
        <v>0</v>
      </c>
      <c r="I39" s="46"/>
      <c r="J39" s="46"/>
      <c r="K39" s="46"/>
      <c r="L39" s="46"/>
      <c r="M39" s="45"/>
      <c r="N39" s="60">
        <f>SUM(N31:N38)</f>
        <v>215937</v>
      </c>
      <c r="O39" s="46">
        <v>396778</v>
      </c>
      <c r="P39" s="3"/>
      <c r="Q39" s="3"/>
      <c r="R39" s="67"/>
      <c r="S39" s="7" t="s">
        <v>48</v>
      </c>
      <c r="T39" s="20">
        <f>O41/1000</f>
        <v>137.57300000000001</v>
      </c>
      <c r="U39" s="14">
        <f>P41</f>
        <v>0.34672537287853661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35.667999999999999</v>
      </c>
      <c r="U40" s="15">
        <f>P35</f>
        <v>8.989409695093982E-2</v>
      </c>
    </row>
    <row r="41" spans="1:48" ht="16" x14ac:dyDescent="0.2">
      <c r="A41" s="21" t="s">
        <v>50</v>
      </c>
      <c r="B41" s="22">
        <f>B38+B37+B36</f>
        <v>0</v>
      </c>
      <c r="C41" s="22">
        <f t="shared" ref="C41:O41" si="0">C38+C37+C36</f>
        <v>1017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17147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119409</v>
      </c>
      <c r="O41" s="22">
        <f t="shared" si="0"/>
        <v>137573</v>
      </c>
      <c r="P41" s="16">
        <f>O41/O$39</f>
        <v>0.34672537287853661</v>
      </c>
      <c r="Q41" s="16" t="s">
        <v>51</v>
      </c>
      <c r="R41" s="7"/>
      <c r="S41" s="7" t="s">
        <v>52</v>
      </c>
      <c r="T41" s="20">
        <f>O33/1000</f>
        <v>17.315000000000001</v>
      </c>
      <c r="U41" s="14">
        <f>P33</f>
        <v>4.3639012243622377E-2</v>
      </c>
    </row>
    <row r="42" spans="1:48" ht="16" x14ac:dyDescent="0.2">
      <c r="A42" s="23" t="s">
        <v>53</v>
      </c>
      <c r="B42" s="22"/>
      <c r="C42" s="24">
        <f>C39+C23+C10</f>
        <v>149460</v>
      </c>
      <c r="D42" s="24">
        <f t="shared" ref="D42:M42" si="1">D39+D23+D10</f>
        <v>0</v>
      </c>
      <c r="E42" s="24">
        <f t="shared" si="1"/>
        <v>2627</v>
      </c>
      <c r="F42" s="24">
        <f t="shared" si="1"/>
        <v>11500</v>
      </c>
      <c r="G42" s="24">
        <f t="shared" si="1"/>
        <v>17254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233211.96</v>
      </c>
      <c r="O42" s="25">
        <f>SUM(C42:N42)</f>
        <v>414052.95999999996</v>
      </c>
      <c r="P42" s="7"/>
      <c r="Q42" s="7"/>
      <c r="R42" s="7"/>
      <c r="S42" s="7" t="s">
        <v>34</v>
      </c>
      <c r="T42" s="20">
        <f>O31/1000</f>
        <v>33.69</v>
      </c>
      <c r="U42" s="14">
        <f>P31</f>
        <v>8.4908941523975628E-2</v>
      </c>
    </row>
    <row r="43" spans="1:48" ht="16" x14ac:dyDescent="0.2">
      <c r="A43" s="23" t="s">
        <v>54</v>
      </c>
      <c r="B43" s="22"/>
      <c r="C43" s="16">
        <f t="shared" ref="C43:N43" si="2">C42/$O42</f>
        <v>0.36096831671001706</v>
      </c>
      <c r="D43" s="16">
        <f t="shared" si="2"/>
        <v>0</v>
      </c>
      <c r="E43" s="16">
        <f t="shared" si="2"/>
        <v>6.3445990097498644E-3</v>
      </c>
      <c r="F43" s="16">
        <f t="shared" si="2"/>
        <v>2.777422482380032E-2</v>
      </c>
      <c r="G43" s="16">
        <f t="shared" si="2"/>
        <v>4.1670997835639191E-2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0.5632418616207937</v>
      </c>
      <c r="O43" s="16">
        <f>SUM(C43:N43)</f>
        <v>1.0000000000000002</v>
      </c>
      <c r="P43" s="7"/>
      <c r="Q43" s="7"/>
      <c r="R43" s="7"/>
      <c r="S43" s="7" t="s">
        <v>55</v>
      </c>
      <c r="T43" s="20">
        <f>O32/1000</f>
        <v>30.878</v>
      </c>
      <c r="U43" s="15">
        <f>P32</f>
        <v>7.7821855042366259E-2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141.654</v>
      </c>
      <c r="U44" s="15">
        <f>P34</f>
        <v>0.35701072136055928</v>
      </c>
    </row>
    <row r="45" spans="1:48" ht="16" x14ac:dyDescent="0.2">
      <c r="A45" s="6" t="s">
        <v>57</v>
      </c>
      <c r="B45" s="2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17274.96</v>
      </c>
      <c r="O45" s="25">
        <f>B45+N45</f>
        <v>17274.96</v>
      </c>
      <c r="P45" s="7"/>
      <c r="Q45" s="7"/>
      <c r="R45" s="7"/>
      <c r="S45" s="7" t="s">
        <v>58</v>
      </c>
      <c r="T45" s="20">
        <f>SUM(T39:T44)</f>
        <v>396.77800000000002</v>
      </c>
      <c r="U45" s="14">
        <f>SUM(U39:U44)</f>
        <v>1</v>
      </c>
    </row>
    <row r="46" spans="1:48" ht="16" x14ac:dyDescent="0.2">
      <c r="A46" s="9" t="s">
        <v>91</v>
      </c>
      <c r="B46" s="70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V70"/>
  <sheetViews>
    <sheetView topLeftCell="A12" workbookViewId="0">
      <selection activeCell="C52" sqref="C52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4" width="8.6640625" style="2"/>
    <col min="5" max="5" width="10.6640625" style="2" customWidth="1"/>
    <col min="6" max="10" width="8.6640625" style="2"/>
    <col min="11" max="11" width="9.6640625" style="2" customWidth="1"/>
    <col min="12" max="13" width="5.6640625" style="2" customWidth="1"/>
    <col min="14" max="14" width="10.1640625" style="2" customWidth="1"/>
    <col min="15" max="15" width="11.6640625" style="2" customWidth="1"/>
    <col min="16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79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2478</v>
      </c>
      <c r="Q4" s="45"/>
      <c r="R4" s="45"/>
      <c r="AH4" s="45"/>
      <c r="AI4" s="45"/>
    </row>
    <row r="5" spans="1:35" ht="16" x14ac:dyDescent="0.2">
      <c r="A5" s="8" t="s">
        <v>103</v>
      </c>
      <c r="B5" s="108">
        <v>4485</v>
      </c>
      <c r="Q5" s="45"/>
      <c r="R5" s="45"/>
      <c r="AH5" s="45"/>
      <c r="AI5" s="45"/>
    </row>
    <row r="6" spans="1:35" ht="16" x14ac:dyDescent="0.2">
      <c r="A6" s="8" t="s">
        <v>20</v>
      </c>
      <c r="B6" s="66">
        <v>961988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440</v>
      </c>
      <c r="C7" s="46">
        <v>3629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3629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364379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1333770</v>
      </c>
      <c r="C10" s="46">
        <f>SUM(C6:C9)</f>
        <v>3629</v>
      </c>
      <c r="D10" s="46">
        <f t="shared" ref="D10:H10" si="0">SUM(D6:D9)</f>
        <v>0</v>
      </c>
      <c r="E10" s="46">
        <f t="shared" si="0"/>
        <v>0</v>
      </c>
      <c r="F10" s="46">
        <f t="shared" si="0"/>
        <v>0</v>
      </c>
      <c r="G10" s="46">
        <f t="shared" si="0"/>
        <v>0</v>
      </c>
      <c r="H10" s="46">
        <f t="shared" si="0"/>
        <v>0</v>
      </c>
      <c r="I10" s="46"/>
      <c r="J10" s="46"/>
      <c r="K10" s="46"/>
      <c r="L10" s="46"/>
      <c r="M10" s="46"/>
      <c r="N10" s="46"/>
      <c r="O10" s="46">
        <f>SUM(O6:O9)</f>
        <v>3629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79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79">
        <v>2050147</v>
      </c>
      <c r="C17" s="61">
        <f>318+880</f>
        <v>1198</v>
      </c>
      <c r="D17" s="61">
        <v>0</v>
      </c>
      <c r="E17" s="61">
        <v>1387738</v>
      </c>
      <c r="F17" s="46">
        <v>0</v>
      </c>
      <c r="G17" s="104">
        <v>0</v>
      </c>
      <c r="H17" s="46">
        <v>0</v>
      </c>
      <c r="I17" s="46"/>
      <c r="J17" s="46"/>
      <c r="K17" s="61">
        <v>1831075</v>
      </c>
      <c r="L17" s="46"/>
      <c r="M17" s="46"/>
      <c r="N17" s="79">
        <v>27692</v>
      </c>
      <c r="O17" s="79">
        <f>SUM(C17:N17)</f>
        <v>3247703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1">
        <v>124214</v>
      </c>
      <c r="C18" s="61">
        <f>308+3045</f>
        <v>3353</v>
      </c>
      <c r="D18" s="61">
        <v>0</v>
      </c>
      <c r="E18" s="61">
        <v>51488</v>
      </c>
      <c r="F18" s="46">
        <v>0</v>
      </c>
      <c r="G18" s="61">
        <v>72213</v>
      </c>
      <c r="H18" s="46">
        <v>0</v>
      </c>
      <c r="I18" s="46"/>
      <c r="J18" s="46"/>
      <c r="K18" s="46"/>
      <c r="L18" s="46"/>
      <c r="M18" s="46"/>
      <c r="N18" s="46"/>
      <c r="O18" s="61">
        <f>SUM(C18:N18)</f>
        <v>127054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68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O20" s="46">
        <f>SUM(C20:N20)</f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61">
        <v>98996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7466.8241200000002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1">
        <f>SUM(B17:B22)</f>
        <v>2273357</v>
      </c>
      <c r="C23" s="61">
        <f t="shared" ref="C23:N23" si="1">SUM(C17:C22)</f>
        <v>4551</v>
      </c>
      <c r="D23" s="61">
        <f t="shared" si="1"/>
        <v>0</v>
      </c>
      <c r="E23" s="61">
        <f t="shared" si="1"/>
        <v>1439226</v>
      </c>
      <c r="F23" s="46">
        <f t="shared" si="1"/>
        <v>0</v>
      </c>
      <c r="G23" s="61">
        <f>SUM(G18:G22)</f>
        <v>72213</v>
      </c>
      <c r="H23" s="46">
        <f t="shared" si="1"/>
        <v>0</v>
      </c>
      <c r="I23" s="46"/>
      <c r="J23" s="46"/>
      <c r="K23" s="61">
        <f t="shared" si="1"/>
        <v>1831075</v>
      </c>
      <c r="L23" s="46"/>
      <c r="M23" s="46"/>
      <c r="N23" s="61">
        <f t="shared" si="1"/>
        <v>27692</v>
      </c>
      <c r="O23" s="61">
        <f>SUM(O17:O22)</f>
        <v>3374757</v>
      </c>
      <c r="P23" s="67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1686.0961200000002</v>
      </c>
      <c r="U24" s="14">
        <f>N43</f>
        <v>0.22581168283899528</v>
      </c>
    </row>
    <row r="25" spans="1:21" ht="16" x14ac:dyDescent="0.2">
      <c r="B25" s="46"/>
      <c r="C25" s="4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85.516999999999996</v>
      </c>
      <c r="U25" s="15">
        <f>G43</f>
        <v>1.1452928129235217E-2</v>
      </c>
    </row>
    <row r="26" spans="1:21" ht="16" x14ac:dyDescent="0.2">
      <c r="B26" s="10"/>
      <c r="C26" s="4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145.108</v>
      </c>
      <c r="U27" s="14">
        <f>F43</f>
        <v>1.9433697334764594E-2</v>
      </c>
    </row>
    <row r="28" spans="1:21" ht="16" x14ac:dyDescent="0.2">
      <c r="A28" s="4" t="s">
        <v>79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1764.155</v>
      </c>
      <c r="U28" s="14">
        <f>E43</f>
        <v>0.23626577667400581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1831.075</v>
      </c>
      <c r="U30" s="52">
        <f>K43</f>
        <v>0.24522808768127244</v>
      </c>
    </row>
    <row r="31" spans="1:21" ht="16" x14ac:dyDescent="0.2">
      <c r="A31" s="8" t="s">
        <v>33</v>
      </c>
      <c r="B31" s="46">
        <v>0</v>
      </c>
      <c r="C31" s="46">
        <v>6718</v>
      </c>
      <c r="D31" s="46">
        <v>0</v>
      </c>
      <c r="E31" s="46">
        <v>0</v>
      </c>
      <c r="F31" s="46">
        <v>684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12541</v>
      </c>
      <c r="O31" s="46">
        <v>19943</v>
      </c>
      <c r="P31" s="16">
        <f>O31/O$39</f>
        <v>2.8868076955869031E-3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69">
        <v>115519</v>
      </c>
      <c r="C32" s="46">
        <f>5839</f>
        <v>5839</v>
      </c>
      <c r="D32" s="46">
        <v>0</v>
      </c>
      <c r="E32" s="46">
        <v>324929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389809</v>
      </c>
      <c r="O32" s="61">
        <f>SUM(B32:N32)</f>
        <v>836096</v>
      </c>
      <c r="P32" s="16">
        <f>O32/O$39</f>
        <v>0.12102734628939614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69">
        <v>222671</v>
      </c>
      <c r="C33" s="46">
        <v>8352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424574</v>
      </c>
      <c r="O33" s="61">
        <f>SUM(B33:N33)</f>
        <v>655597</v>
      </c>
      <c r="P33" s="16">
        <f>O33/O$39</f>
        <v>9.4899587063314791E-2</v>
      </c>
      <c r="Q33" s="17" t="s">
        <v>39</v>
      </c>
      <c r="R33" s="67"/>
      <c r="S33" s="3" t="s">
        <v>35</v>
      </c>
      <c r="T33" s="13">
        <f>C42/1000</f>
        <v>1954.873</v>
      </c>
      <c r="U33" s="15">
        <f>C43</f>
        <v>0.26180782734172664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1807449</v>
      </c>
      <c r="D34" s="46">
        <v>0</v>
      </c>
      <c r="E34" s="46">
        <v>0</v>
      </c>
      <c r="F34" s="46">
        <v>144424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78212</v>
      </c>
      <c r="O34" s="46">
        <v>2030085</v>
      </c>
      <c r="P34" s="16">
        <f>O34/O$39</f>
        <v>0.29386075318134375</v>
      </c>
      <c r="Q34" s="17" t="s">
        <v>41</v>
      </c>
      <c r="R34" s="67"/>
      <c r="S34" s="3"/>
      <c r="T34" s="13">
        <f>SUM(T24:T33)</f>
        <v>7466.8241199999993</v>
      </c>
      <c r="U34" s="14">
        <f>SUM(U24:U33)</f>
        <v>1</v>
      </c>
    </row>
    <row r="35" spans="1:48" ht="16" x14ac:dyDescent="0.2">
      <c r="A35" s="8" t="s">
        <v>42</v>
      </c>
      <c r="B35" s="61">
        <v>309078</v>
      </c>
      <c r="C35" s="46">
        <v>114550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991351</v>
      </c>
      <c r="O35" s="61">
        <f>SUM(B35:N35)</f>
        <v>1414979</v>
      </c>
      <c r="P35" s="16">
        <f>O35/O$39</f>
        <v>0.20482235703223489</v>
      </c>
      <c r="Q35" s="17" t="s">
        <v>43</v>
      </c>
      <c r="R35" s="67"/>
    </row>
    <row r="36" spans="1:48" ht="16" x14ac:dyDescent="0.2">
      <c r="A36" s="8" t="s">
        <v>44</v>
      </c>
      <c r="B36" s="61">
        <v>151325</v>
      </c>
      <c r="C36" s="46">
        <v>2281</v>
      </c>
      <c r="D36" s="46">
        <v>0</v>
      </c>
      <c r="E36" s="46">
        <v>0</v>
      </c>
      <c r="F36" s="46">
        <v>0</v>
      </c>
      <c r="G36" s="46">
        <v>13304</v>
      </c>
      <c r="H36" s="46">
        <v>0</v>
      </c>
      <c r="I36" s="46"/>
      <c r="J36" s="46"/>
      <c r="K36" s="46"/>
      <c r="L36" s="46"/>
      <c r="M36" s="45"/>
      <c r="N36" s="46">
        <v>306096</v>
      </c>
      <c r="O36" s="61">
        <f t="shared" ref="O36:O37" si="2">SUM(B36:N36)</f>
        <v>473006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1">
        <v>1253407</v>
      </c>
      <c r="C37" s="46">
        <v>1504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216354</v>
      </c>
      <c r="O37" s="61">
        <f t="shared" si="2"/>
        <v>1471265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7352</v>
      </c>
      <c r="O38" s="46">
        <v>7352</v>
      </c>
      <c r="P38" s="17">
        <f>SUM(P31:P35)</f>
        <v>0.71749685126187646</v>
      </c>
      <c r="Q38" s="17"/>
      <c r="R38" s="67"/>
      <c r="S38" s="7" t="s">
        <v>47</v>
      </c>
      <c r="T38" s="19">
        <f>O45/1000</f>
        <v>347.04712000000001</v>
      </c>
      <c r="U38" s="7"/>
    </row>
    <row r="39" spans="1:48" ht="16" x14ac:dyDescent="0.2">
      <c r="A39" s="8" t="s">
        <v>16</v>
      </c>
      <c r="B39" s="61">
        <f>SUM(B31:B38)</f>
        <v>2052000</v>
      </c>
      <c r="C39" s="46">
        <f>SUM(C31:C38)</f>
        <v>1946693</v>
      </c>
      <c r="D39" s="46">
        <v>0</v>
      </c>
      <c r="E39" s="46">
        <v>324929</v>
      </c>
      <c r="F39" s="46">
        <v>145108</v>
      </c>
      <c r="G39" s="46">
        <v>13304</v>
      </c>
      <c r="H39" s="46">
        <v>0</v>
      </c>
      <c r="I39" s="46"/>
      <c r="J39" s="46"/>
      <c r="K39" s="46"/>
      <c r="L39" s="46"/>
      <c r="M39" s="45"/>
      <c r="N39" s="46">
        <v>2426289</v>
      </c>
      <c r="O39" s="61">
        <f>SUM(O31:O38)</f>
        <v>6908323</v>
      </c>
      <c r="P39" s="3"/>
      <c r="Q39" s="3"/>
      <c r="R39" s="67"/>
      <c r="S39" s="7" t="s">
        <v>48</v>
      </c>
      <c r="T39" s="20">
        <f>O41/1000</f>
        <v>1951.623</v>
      </c>
      <c r="U39" s="14">
        <f>P41</f>
        <v>0.28250314873812354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1414.979</v>
      </c>
      <c r="U40" s="15">
        <f>P35</f>
        <v>0.20482235703223489</v>
      </c>
    </row>
    <row r="41" spans="1:48" ht="16" x14ac:dyDescent="0.2">
      <c r="A41" s="21" t="s">
        <v>50</v>
      </c>
      <c r="B41" s="22">
        <f>B38+B37+B36</f>
        <v>1404732</v>
      </c>
      <c r="C41" s="22">
        <f t="shared" ref="C41:O41" si="3">C38+C37+C36</f>
        <v>3785</v>
      </c>
      <c r="D41" s="22">
        <f t="shared" si="3"/>
        <v>0</v>
      </c>
      <c r="E41" s="22">
        <f t="shared" si="3"/>
        <v>0</v>
      </c>
      <c r="F41" s="22">
        <f t="shared" si="3"/>
        <v>0</v>
      </c>
      <c r="G41" s="22">
        <f t="shared" si="3"/>
        <v>13304</v>
      </c>
      <c r="H41" s="22">
        <f t="shared" si="3"/>
        <v>0</v>
      </c>
      <c r="I41" s="22">
        <f t="shared" si="3"/>
        <v>0</v>
      </c>
      <c r="J41" s="22">
        <f t="shared" si="3"/>
        <v>0</v>
      </c>
      <c r="K41" s="22">
        <f t="shared" si="3"/>
        <v>0</v>
      </c>
      <c r="L41" s="22">
        <f t="shared" si="3"/>
        <v>0</v>
      </c>
      <c r="M41" s="22">
        <f t="shared" si="3"/>
        <v>0</v>
      </c>
      <c r="N41" s="22">
        <f t="shared" si="3"/>
        <v>529802</v>
      </c>
      <c r="O41" s="22">
        <f t="shared" si="3"/>
        <v>1951623</v>
      </c>
      <c r="P41" s="16">
        <f>O41/O$39</f>
        <v>0.28250314873812354</v>
      </c>
      <c r="Q41" s="16" t="s">
        <v>51</v>
      </c>
      <c r="R41" s="7"/>
      <c r="S41" s="7" t="s">
        <v>52</v>
      </c>
      <c r="T41" s="20">
        <f>O33/1000</f>
        <v>655.59699999999998</v>
      </c>
      <c r="U41" s="14">
        <f>P33</f>
        <v>9.4899587063314791E-2</v>
      </c>
    </row>
    <row r="42" spans="1:48" ht="16" x14ac:dyDescent="0.2">
      <c r="A42" s="23" t="s">
        <v>53</v>
      </c>
      <c r="B42" s="22"/>
      <c r="C42" s="24">
        <f>C39+C23+C10</f>
        <v>1954873</v>
      </c>
      <c r="D42" s="24">
        <f t="shared" ref="D42:M42" si="4">D39+D23+D10</f>
        <v>0</v>
      </c>
      <c r="E42" s="24">
        <f t="shared" si="4"/>
        <v>1764155</v>
      </c>
      <c r="F42" s="24">
        <f t="shared" si="4"/>
        <v>145108</v>
      </c>
      <c r="G42" s="24">
        <f t="shared" si="4"/>
        <v>85517</v>
      </c>
      <c r="H42" s="24">
        <f t="shared" si="4"/>
        <v>0</v>
      </c>
      <c r="I42" s="24">
        <f t="shared" si="4"/>
        <v>0</v>
      </c>
      <c r="J42" s="24">
        <f t="shared" si="4"/>
        <v>0</v>
      </c>
      <c r="K42" s="24">
        <f t="shared" si="4"/>
        <v>1831075</v>
      </c>
      <c r="L42" s="24">
        <f t="shared" si="4"/>
        <v>0</v>
      </c>
      <c r="M42" s="24">
        <f t="shared" si="4"/>
        <v>0</v>
      </c>
      <c r="N42" s="24">
        <f>N39+N23-B6+N45</f>
        <v>1686096.12</v>
      </c>
      <c r="O42" s="25">
        <f>SUM(C42:N42)</f>
        <v>7466824.1200000001</v>
      </c>
      <c r="P42" s="7"/>
      <c r="Q42" s="7"/>
      <c r="R42" s="7"/>
      <c r="S42" s="7" t="s">
        <v>34</v>
      </c>
      <c r="T42" s="20">
        <f>O31/1000</f>
        <v>19.943000000000001</v>
      </c>
      <c r="U42" s="14">
        <f>P31</f>
        <v>2.8868076955869031E-3</v>
      </c>
    </row>
    <row r="43" spans="1:48" ht="16" x14ac:dyDescent="0.2">
      <c r="A43" s="23" t="s">
        <v>54</v>
      </c>
      <c r="B43" s="22"/>
      <c r="C43" s="16">
        <f t="shared" ref="C43:N43" si="5">C42/$O42</f>
        <v>0.26180782734172664</v>
      </c>
      <c r="D43" s="16">
        <f t="shared" si="5"/>
        <v>0</v>
      </c>
      <c r="E43" s="16">
        <f t="shared" si="5"/>
        <v>0.23626577667400581</v>
      </c>
      <c r="F43" s="16">
        <f t="shared" si="5"/>
        <v>1.9433697334764594E-2</v>
      </c>
      <c r="G43" s="16">
        <f t="shared" si="5"/>
        <v>1.1452928129235217E-2</v>
      </c>
      <c r="H43" s="16">
        <f t="shared" si="5"/>
        <v>0</v>
      </c>
      <c r="I43" s="16">
        <f t="shared" si="5"/>
        <v>0</v>
      </c>
      <c r="J43" s="16">
        <f t="shared" si="5"/>
        <v>0</v>
      </c>
      <c r="K43" s="16">
        <f t="shared" si="5"/>
        <v>0.24522808768127244</v>
      </c>
      <c r="L43" s="16">
        <f t="shared" si="5"/>
        <v>0</v>
      </c>
      <c r="M43" s="16">
        <f t="shared" si="5"/>
        <v>0</v>
      </c>
      <c r="N43" s="16">
        <f t="shared" si="5"/>
        <v>0.22581168283899528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836.096</v>
      </c>
      <c r="U43" s="15">
        <f>P32</f>
        <v>0.12102734628939614</v>
      </c>
    </row>
    <row r="44" spans="1:48" ht="16" x14ac:dyDescent="0.2">
      <c r="A44" t="s">
        <v>93</v>
      </c>
      <c r="B44" s="46">
        <v>68413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2030.085</v>
      </c>
      <c r="U44" s="15">
        <f>P34</f>
        <v>0.29386075318134375</v>
      </c>
    </row>
    <row r="45" spans="1:48" ht="16" x14ac:dyDescent="0.2">
      <c r="A45" s="6" t="s">
        <v>57</v>
      </c>
      <c r="B45" s="26">
        <f>B23-B39-B44</f>
        <v>152944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194103.12</v>
      </c>
      <c r="O45" s="25">
        <f>B45+N45</f>
        <v>347047.12</v>
      </c>
      <c r="P45" s="7"/>
      <c r="Q45" s="7"/>
      <c r="R45" s="7"/>
      <c r="S45" s="7" t="s">
        <v>58</v>
      </c>
      <c r="T45" s="20">
        <f>SUM(T39:T44)</f>
        <v>6908.3229999999994</v>
      </c>
      <c r="U45" s="14">
        <f>SUM(U39:U44)</f>
        <v>1</v>
      </c>
    </row>
    <row r="46" spans="1:48" ht="16" x14ac:dyDescent="0.2">
      <c r="A46" s="9" t="s">
        <v>91</v>
      </c>
      <c r="B46" s="73">
        <f>B45/B23</f>
        <v>6.7276718966708698E-2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7"/>
      <c r="I48" s="28"/>
      <c r="J48" s="28"/>
      <c r="K48" s="28"/>
      <c r="L48" s="28"/>
      <c r="M48" s="28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10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7"/>
      <c r="I55" s="28"/>
      <c r="J55" s="28"/>
      <c r="K55" s="28"/>
      <c r="L55" s="28"/>
      <c r="M55" s="28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7"/>
      <c r="I56" s="28"/>
      <c r="J56" s="28"/>
      <c r="K56" s="28"/>
      <c r="L56" s="28"/>
      <c r="M56" s="28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V70"/>
  <sheetViews>
    <sheetView topLeftCell="A5"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4" width="11.1640625" style="2" bestFit="1" customWidth="1"/>
    <col min="5" max="5" width="12.6640625" style="2" bestFit="1" customWidth="1"/>
    <col min="6" max="9" width="11.1640625" style="2" bestFit="1" customWidth="1"/>
    <col min="10" max="10" width="8.6640625" style="2"/>
    <col min="11" max="11" width="11.1640625" style="2" bestFit="1" customWidth="1"/>
    <col min="12" max="13" width="5.6640625" style="2" customWidth="1"/>
    <col min="14" max="15" width="9.6640625" style="2" customWidth="1"/>
    <col min="16" max="17" width="8.6640625" style="2"/>
    <col min="18" max="18" width="11.6640625" style="2" customWidth="1"/>
    <col min="19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80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2736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61">
        <v>6215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25530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34481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2" ht="16" x14ac:dyDescent="0.2">
      <c r="A17" s="8" t="s">
        <v>20</v>
      </c>
      <c r="B17" s="79">
        <f>297184</f>
        <v>297184</v>
      </c>
      <c r="C17" s="46">
        <v>0</v>
      </c>
      <c r="D17" s="46">
        <v>0</v>
      </c>
      <c r="E17" s="61">
        <v>26192</v>
      </c>
      <c r="F17" s="61">
        <v>31661</v>
      </c>
      <c r="G17" s="61">
        <f>8489</f>
        <v>8489</v>
      </c>
      <c r="H17" s="46">
        <v>0</v>
      </c>
      <c r="I17" s="46"/>
      <c r="J17" s="46"/>
      <c r="L17" s="46"/>
      <c r="M17" s="46"/>
      <c r="N17" s="79">
        <v>92832</v>
      </c>
      <c r="O17" s="61">
        <f>SUM(C17:N17)</f>
        <v>159174</v>
      </c>
      <c r="P17" s="3"/>
      <c r="Q17" s="3"/>
      <c r="R17" s="3"/>
      <c r="S17" s="3"/>
      <c r="T17" s="3"/>
      <c r="U17" s="3"/>
      <c r="V17" s="3"/>
    </row>
    <row r="18" spans="1:22" ht="16" x14ac:dyDescent="0.2">
      <c r="A18" s="8" t="s">
        <v>21</v>
      </c>
      <c r="B18" s="61">
        <v>0</v>
      </c>
      <c r="C18" s="46">
        <v>0</v>
      </c>
      <c r="D18" s="46">
        <v>0</v>
      </c>
      <c r="E18" s="65">
        <v>0</v>
      </c>
      <c r="F18" s="46">
        <v>0</v>
      </c>
      <c r="G18" s="61">
        <v>0</v>
      </c>
      <c r="H18" s="46">
        <v>0</v>
      </c>
      <c r="I18" s="46"/>
      <c r="J18" s="46"/>
      <c r="K18" s="46"/>
      <c r="L18" s="46"/>
      <c r="M18" s="46"/>
      <c r="N18" s="46"/>
      <c r="O18" s="61">
        <f>G18</f>
        <v>0</v>
      </c>
      <c r="P18" s="3"/>
      <c r="Q18" s="3"/>
      <c r="R18" s="3"/>
      <c r="S18" s="3"/>
      <c r="T18" s="3"/>
      <c r="U18" s="3"/>
    </row>
    <row r="19" spans="1:22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2" ht="16" x14ac:dyDescent="0.2">
      <c r="A20" s="8" t="s">
        <v>23</v>
      </c>
      <c r="B20" s="7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48"/>
      <c r="S20" s="3"/>
      <c r="T20" s="3"/>
      <c r="U20" s="3"/>
    </row>
    <row r="21" spans="1:22" ht="16" x14ac:dyDescent="0.2">
      <c r="A21" s="8" t="s">
        <v>24</v>
      </c>
      <c r="B21" s="65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2086.84384</v>
      </c>
      <c r="U21" s="3"/>
    </row>
    <row r="22" spans="1:22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2" ht="16" x14ac:dyDescent="0.2">
      <c r="A23" s="8" t="s">
        <v>16</v>
      </c>
      <c r="B23" s="61">
        <f>B17</f>
        <v>297184</v>
      </c>
      <c r="C23" s="46">
        <v>0</v>
      </c>
      <c r="D23" s="46">
        <v>0</v>
      </c>
      <c r="E23" s="61">
        <f>SUM(E17:E22)</f>
        <v>26192</v>
      </c>
      <c r="F23" s="61">
        <f>SUM(F17:F22)</f>
        <v>31661</v>
      </c>
      <c r="G23" s="61">
        <v>8488</v>
      </c>
      <c r="H23" s="46">
        <v>0</v>
      </c>
      <c r="I23" s="46"/>
      <c r="J23" s="46"/>
      <c r="K23" s="46"/>
      <c r="L23" s="46"/>
      <c r="M23" s="46"/>
      <c r="N23" s="79">
        <f>SUM(N17:N22)</f>
        <v>92832</v>
      </c>
      <c r="O23" s="61">
        <f>SUM(O17:O22)</f>
        <v>159174</v>
      </c>
      <c r="P23" s="3"/>
      <c r="Q23" s="3"/>
      <c r="R23" s="3"/>
      <c r="S23" s="3"/>
      <c r="T23" s="3" t="s">
        <v>27</v>
      </c>
      <c r="U23" s="3" t="s">
        <v>28</v>
      </c>
    </row>
    <row r="24" spans="1:22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1225.3668400000001</v>
      </c>
      <c r="U24" s="14">
        <f>N43</f>
        <v>0.5871866483310989</v>
      </c>
    </row>
    <row r="25" spans="1:22" ht="16" x14ac:dyDescent="0.2">
      <c r="A25" s="2" t="s">
        <v>98</v>
      </c>
      <c r="B25" s="46">
        <v>442455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48.713999999999999</v>
      </c>
      <c r="U25" s="15">
        <f>G43</f>
        <v>2.3343385387188338E-2</v>
      </c>
    </row>
    <row r="26" spans="1:22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2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80.798000000000002</v>
      </c>
      <c r="U27" s="14">
        <f>F43</f>
        <v>3.8717798836351833E-2</v>
      </c>
    </row>
    <row r="28" spans="1:22" ht="16" x14ac:dyDescent="0.2">
      <c r="A28" s="4" t="s">
        <v>80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70.182000000000002</v>
      </c>
      <c r="U28" s="14">
        <f>E43</f>
        <v>3.3630690833100378E-2</v>
      </c>
    </row>
    <row r="29" spans="1:22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2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2" ht="16" x14ac:dyDescent="0.2">
      <c r="A31" s="8" t="s">
        <v>33</v>
      </c>
      <c r="B31" s="46">
        <v>0</v>
      </c>
      <c r="C31" s="46">
        <v>17430</v>
      </c>
      <c r="D31" s="46">
        <v>0</v>
      </c>
      <c r="E31" s="46">
        <v>0</v>
      </c>
      <c r="F31" s="46">
        <v>1757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23088</v>
      </c>
      <c r="O31" s="46">
        <v>42275</v>
      </c>
      <c r="P31" s="16">
        <f>O31/O$39</f>
        <v>1.6795568433151255E-2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2" ht="16" x14ac:dyDescent="0.2">
      <c r="A32" s="8" t="s">
        <v>36</v>
      </c>
      <c r="B32" s="46">
        <v>44520</v>
      </c>
      <c r="C32" s="46">
        <v>969</v>
      </c>
      <c r="D32" s="46">
        <v>0</v>
      </c>
      <c r="E32" s="46">
        <v>43990</v>
      </c>
      <c r="F32" s="46">
        <v>0</v>
      </c>
      <c r="G32" s="46">
        <v>66</v>
      </c>
      <c r="H32" s="46">
        <v>0</v>
      </c>
      <c r="I32" s="46"/>
      <c r="J32" s="46"/>
      <c r="K32" s="46"/>
      <c r="L32" s="46"/>
      <c r="M32" s="45"/>
      <c r="N32" s="46">
        <v>198004</v>
      </c>
      <c r="O32" s="46">
        <v>287550</v>
      </c>
      <c r="P32" s="16">
        <f>O32/O$39</f>
        <v>0.11424164879840669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51269</v>
      </c>
      <c r="C33" s="46">
        <v>6851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216521</v>
      </c>
      <c r="O33" s="46">
        <v>274640</v>
      </c>
      <c r="P33" s="16">
        <f>O33/O$39</f>
        <v>0.10911259407405464</v>
      </c>
      <c r="Q33" s="17" t="s">
        <v>39</v>
      </c>
      <c r="R33" s="67"/>
      <c r="S33" s="3" t="s">
        <v>35</v>
      </c>
      <c r="T33" s="13">
        <f>C42/1000</f>
        <v>661.78300000000002</v>
      </c>
      <c r="U33" s="15">
        <f>C43</f>
        <v>0.31712147661226053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631632</v>
      </c>
      <c r="D34" s="46">
        <v>0</v>
      </c>
      <c r="E34" s="46">
        <v>0</v>
      </c>
      <c r="F34" s="46">
        <v>47380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2638</v>
      </c>
      <c r="O34" s="46">
        <v>681650</v>
      </c>
      <c r="P34" s="16">
        <f>O34/O$39</f>
        <v>0.2708148840321124</v>
      </c>
      <c r="Q34" s="17" t="s">
        <v>41</v>
      </c>
      <c r="R34" s="67"/>
      <c r="S34" s="3"/>
      <c r="T34" s="13">
        <f>SUM(T24:T33)</f>
        <v>2086.84384</v>
      </c>
      <c r="U34" s="14">
        <f>SUM(U24:U33)</f>
        <v>1</v>
      </c>
    </row>
    <row r="35" spans="1:48" ht="16" x14ac:dyDescent="0.2">
      <c r="A35" s="8" t="s">
        <v>42</v>
      </c>
      <c r="B35" s="46">
        <v>367989</v>
      </c>
      <c r="C35" s="46">
        <v>2892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325402</v>
      </c>
      <c r="O35" s="46">
        <v>696282</v>
      </c>
      <c r="P35" s="16">
        <f>O35/O$39</f>
        <v>0.27662807758181956</v>
      </c>
      <c r="Q35" s="17" t="s">
        <v>43</v>
      </c>
      <c r="R35" s="67"/>
    </row>
    <row r="36" spans="1:48" ht="16" x14ac:dyDescent="0.2">
      <c r="A36" s="8" t="s">
        <v>44</v>
      </c>
      <c r="B36" s="46">
        <v>62185</v>
      </c>
      <c r="C36" s="46">
        <v>1715</v>
      </c>
      <c r="D36" s="46">
        <v>0</v>
      </c>
      <c r="E36" s="46">
        <v>0</v>
      </c>
      <c r="F36" s="46">
        <v>0</v>
      </c>
      <c r="G36" s="46">
        <v>40161</v>
      </c>
      <c r="H36" s="46">
        <v>0</v>
      </c>
      <c r="I36" s="46"/>
      <c r="J36" s="46"/>
      <c r="K36" s="46"/>
      <c r="L36" s="46"/>
      <c r="M36" s="45"/>
      <c r="N36" s="46">
        <v>183680</v>
      </c>
      <c r="O36" s="46">
        <v>287740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141535</v>
      </c>
      <c r="C37" s="46">
        <v>295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101015</v>
      </c>
      <c r="O37" s="46">
        <v>242845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4051</v>
      </c>
      <c r="O38" s="46">
        <v>4051</v>
      </c>
      <c r="P38" s="17">
        <f>SUM(P31:P35)</f>
        <v>0.78759277291954444</v>
      </c>
      <c r="Q38" s="17"/>
      <c r="R38" s="67"/>
      <c r="S38" s="7" t="s">
        <v>47</v>
      </c>
      <c r="T38" s="19">
        <f>O45/1000</f>
        <v>156.49284</v>
      </c>
      <c r="U38" s="7"/>
    </row>
    <row r="39" spans="1:48" ht="16" x14ac:dyDescent="0.2">
      <c r="A39" s="8" t="s">
        <v>16</v>
      </c>
      <c r="B39" s="46">
        <v>667498</v>
      </c>
      <c r="C39" s="46">
        <v>661783</v>
      </c>
      <c r="D39" s="46">
        <v>0</v>
      </c>
      <c r="E39" s="46">
        <v>43990</v>
      </c>
      <c r="F39" s="46">
        <v>49137</v>
      </c>
      <c r="G39" s="46">
        <v>40226</v>
      </c>
      <c r="H39" s="46">
        <v>0</v>
      </c>
      <c r="I39" s="46"/>
      <c r="J39" s="46"/>
      <c r="K39" s="46"/>
      <c r="L39" s="46"/>
      <c r="M39" s="45"/>
      <c r="N39" s="84">
        <v>1054398</v>
      </c>
      <c r="O39" s="84">
        <v>2517033</v>
      </c>
      <c r="P39" s="3"/>
      <c r="Q39" s="3"/>
      <c r="R39" s="67"/>
      <c r="S39" s="7" t="s">
        <v>48</v>
      </c>
      <c r="T39" s="20">
        <f>O41/1000</f>
        <v>534.63599999999997</v>
      </c>
      <c r="U39" s="14">
        <f>P41</f>
        <v>0.21240722708045545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696.28200000000004</v>
      </c>
      <c r="U40" s="15">
        <f>P35</f>
        <v>0.27662807758181956</v>
      </c>
    </row>
    <row r="41" spans="1:48" ht="16" x14ac:dyDescent="0.2">
      <c r="A41" s="21" t="s">
        <v>50</v>
      </c>
      <c r="B41" s="22">
        <f>B38+B37+B36</f>
        <v>203720</v>
      </c>
      <c r="C41" s="22">
        <f t="shared" ref="C41:O41" si="0">C38+C37+C36</f>
        <v>2010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40161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288746</v>
      </c>
      <c r="O41" s="22">
        <f t="shared" si="0"/>
        <v>534636</v>
      </c>
      <c r="P41" s="16">
        <f>O41/O$39</f>
        <v>0.21240722708045545</v>
      </c>
      <c r="Q41" s="16" t="s">
        <v>51</v>
      </c>
      <c r="R41" s="7"/>
      <c r="S41" s="7" t="s">
        <v>52</v>
      </c>
      <c r="T41" s="20">
        <f>O33/1000</f>
        <v>274.64</v>
      </c>
      <c r="U41" s="14">
        <f>P33</f>
        <v>0.10911259407405464</v>
      </c>
    </row>
    <row r="42" spans="1:48" ht="16" x14ac:dyDescent="0.2">
      <c r="A42" s="23" t="s">
        <v>53</v>
      </c>
      <c r="B42" s="22"/>
      <c r="C42" s="24">
        <f>C39+C23+C10</f>
        <v>661783</v>
      </c>
      <c r="D42" s="24">
        <f t="shared" ref="D42:M42" si="1">D39+D23+D10</f>
        <v>0</v>
      </c>
      <c r="E42" s="24">
        <f t="shared" si="1"/>
        <v>70182</v>
      </c>
      <c r="F42" s="24">
        <f t="shared" si="1"/>
        <v>80798</v>
      </c>
      <c r="G42" s="24">
        <f t="shared" si="1"/>
        <v>48714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1225366.8400000001</v>
      </c>
      <c r="O42" s="25">
        <f>SUM(C42:N42)</f>
        <v>2086843.84</v>
      </c>
      <c r="P42" s="7"/>
      <c r="Q42" s="7"/>
      <c r="R42" s="7"/>
      <c r="S42" s="7" t="s">
        <v>34</v>
      </c>
      <c r="T42" s="20">
        <f>O31/1000</f>
        <v>42.274999999999999</v>
      </c>
      <c r="U42" s="14">
        <f>P31</f>
        <v>1.6795568433151255E-2</v>
      </c>
    </row>
    <row r="43" spans="1:48" ht="16" x14ac:dyDescent="0.2">
      <c r="A43" s="23" t="s">
        <v>54</v>
      </c>
      <c r="B43" s="22"/>
      <c r="C43" s="16">
        <f t="shared" ref="C43:N43" si="2">C42/$O42</f>
        <v>0.31712147661226053</v>
      </c>
      <c r="D43" s="16">
        <f t="shared" si="2"/>
        <v>0</v>
      </c>
      <c r="E43" s="16">
        <f t="shared" si="2"/>
        <v>3.3630690833100378E-2</v>
      </c>
      <c r="F43" s="16">
        <f t="shared" si="2"/>
        <v>3.8717798836351833E-2</v>
      </c>
      <c r="G43" s="16">
        <f t="shared" si="2"/>
        <v>2.3343385387188338E-2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0.5871866483310989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287.55</v>
      </c>
      <c r="U43" s="15">
        <f>P32</f>
        <v>0.11424164879840669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681.65</v>
      </c>
      <c r="U44" s="15">
        <f>P34</f>
        <v>0.2708148840321124</v>
      </c>
    </row>
    <row r="45" spans="1:48" ht="16" x14ac:dyDescent="0.2">
      <c r="A45" s="6" t="s">
        <v>57</v>
      </c>
      <c r="B45" s="26">
        <f>B23+B25-B39</f>
        <v>72141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84351.84</v>
      </c>
      <c r="O45" s="25">
        <f>B45+N45</f>
        <v>156492.84</v>
      </c>
      <c r="P45" s="7"/>
      <c r="Q45" s="7"/>
      <c r="R45" s="7"/>
      <c r="S45" s="7" t="s">
        <v>58</v>
      </c>
      <c r="T45" s="20">
        <f>SUM(T39:T44)</f>
        <v>2517.0329999999999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0.24274860019381933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honeticPr fontId="20" type="noConversion"/>
  <pageMargins left="0.75" right="0.75" top="0.75" bottom="0.5" header="0.5" footer="0.75"/>
  <pageSetup paperSize="9" orientation="portrait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V70"/>
  <sheetViews>
    <sheetView topLeftCell="A4" workbookViewId="0">
      <selection activeCell="O32" sqref="O32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2" width="9.1640625" style="2" customWidth="1"/>
    <col min="13" max="13" width="10.6640625" style="91" customWidth="1"/>
    <col min="14" max="14" width="8.6640625" style="2"/>
    <col min="15" max="15" width="10.1640625" style="2" customWidth="1"/>
    <col min="16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81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92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145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61">
        <v>30879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84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84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84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98702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84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6">
        <f>SUM(B4:B9)</f>
        <v>129726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84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92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65">
        <v>184269</v>
      </c>
      <c r="C17" s="61">
        <v>560</v>
      </c>
      <c r="D17" s="61">
        <v>0</v>
      </c>
      <c r="E17" s="61">
        <v>132</v>
      </c>
      <c r="F17" s="46">
        <v>0</v>
      </c>
      <c r="G17" s="61">
        <v>31766</v>
      </c>
      <c r="H17" s="61">
        <v>8306</v>
      </c>
      <c r="I17" s="46"/>
      <c r="J17" s="46"/>
      <c r="K17" s="61">
        <v>164592</v>
      </c>
      <c r="L17" s="87">
        <v>55450</v>
      </c>
      <c r="M17" s="84"/>
      <c r="N17" s="61">
        <v>6440</v>
      </c>
      <c r="O17" s="61">
        <f>SUM(C17:N17)</f>
        <v>267246</v>
      </c>
      <c r="P17" s="3"/>
      <c r="Q17" s="67"/>
      <c r="R17" s="3"/>
      <c r="S17" s="3"/>
      <c r="T17" s="3"/>
      <c r="U17" s="3"/>
    </row>
    <row r="18" spans="1:21" ht="16" x14ac:dyDescent="0.2">
      <c r="A18" s="8" t="s">
        <v>21</v>
      </c>
      <c r="B18" s="46">
        <v>5330</v>
      </c>
      <c r="C18" s="46">
        <v>468</v>
      </c>
      <c r="D18" s="46">
        <v>0</v>
      </c>
      <c r="E18" s="46">
        <v>0</v>
      </c>
      <c r="F18" s="46">
        <v>0</v>
      </c>
      <c r="G18" s="46">
        <v>5887</v>
      </c>
      <c r="H18" s="46">
        <v>0</v>
      </c>
      <c r="I18" s="46"/>
      <c r="J18" s="46"/>
      <c r="K18" s="46"/>
      <c r="L18" s="46"/>
      <c r="M18" s="46"/>
      <c r="N18" s="46"/>
      <c r="O18" s="46">
        <v>6355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84"/>
      <c r="M19" s="84"/>
      <c r="N19" s="46"/>
      <c r="O19" s="46">
        <f t="shared" ref="O19:O22" si="0">SUM(C19:N19)</f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84"/>
      <c r="M20" s="84"/>
      <c r="N20" s="46"/>
      <c r="O20" s="46">
        <f t="shared" si="0"/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60297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84"/>
      <c r="M21" s="84"/>
      <c r="N21" s="46"/>
      <c r="O21" s="46">
        <f t="shared" si="0"/>
        <v>0</v>
      </c>
      <c r="P21" s="3"/>
      <c r="Q21" s="3"/>
      <c r="R21" s="3"/>
      <c r="S21" s="3" t="s">
        <v>26</v>
      </c>
      <c r="T21" s="12">
        <f>O42/1000</f>
        <v>1508.6733999999999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84"/>
      <c r="M22" s="84"/>
      <c r="N22" s="46"/>
      <c r="O22" s="46">
        <f t="shared" si="0"/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5">
        <f>SUM(B17:B22)</f>
        <v>249896</v>
      </c>
      <c r="C23" s="61">
        <f t="shared" ref="C23:L23" si="1">SUM(C17:C22)</f>
        <v>1028</v>
      </c>
      <c r="D23" s="65">
        <f t="shared" si="1"/>
        <v>0</v>
      </c>
      <c r="E23" s="61">
        <f t="shared" si="1"/>
        <v>132</v>
      </c>
      <c r="F23" s="65">
        <f t="shared" si="1"/>
        <v>0</v>
      </c>
      <c r="G23" s="61">
        <f t="shared" si="1"/>
        <v>37653</v>
      </c>
      <c r="H23" s="61">
        <f t="shared" si="1"/>
        <v>8306</v>
      </c>
      <c r="I23" s="61"/>
      <c r="J23" s="61"/>
      <c r="K23" s="61">
        <f t="shared" si="1"/>
        <v>164592</v>
      </c>
      <c r="L23" s="61">
        <f t="shared" si="1"/>
        <v>55450</v>
      </c>
      <c r="M23" s="87"/>
      <c r="N23" s="61">
        <v>6440</v>
      </c>
      <c r="O23" s="61">
        <f>SUM(O17:O22)</f>
        <v>273601</v>
      </c>
      <c r="P23" s="3"/>
      <c r="Q23" s="67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N24" s="10"/>
      <c r="O24" s="10"/>
      <c r="P24" s="3"/>
      <c r="Q24" s="3"/>
      <c r="R24" s="3"/>
      <c r="S24" s="3" t="s">
        <v>10</v>
      </c>
      <c r="T24" s="13">
        <f>N42/1000</f>
        <v>546.02240000000006</v>
      </c>
      <c r="U24" s="14">
        <f>N43</f>
        <v>0.36192220264505232</v>
      </c>
    </row>
    <row r="25" spans="1:21" ht="16" x14ac:dyDescent="0.2">
      <c r="A25" t="s">
        <v>98</v>
      </c>
      <c r="B25" s="77">
        <v>34120</v>
      </c>
      <c r="C25" s="10"/>
      <c r="D25" s="10"/>
      <c r="E25" s="13"/>
      <c r="F25" s="10"/>
      <c r="G25" s="10"/>
      <c r="H25" s="10"/>
      <c r="I25" s="10"/>
      <c r="J25" s="10"/>
      <c r="K25" s="10"/>
      <c r="L25" s="10"/>
      <c r="N25" s="10"/>
      <c r="O25" s="10"/>
      <c r="P25" s="3"/>
      <c r="Q25" s="3"/>
      <c r="R25" s="3"/>
      <c r="S25" s="3" t="s">
        <v>96</v>
      </c>
      <c r="T25" s="13">
        <f>G42/1000</f>
        <v>49.393999999999998</v>
      </c>
      <c r="U25" s="15">
        <f>G43</f>
        <v>3.2740021796632726E-2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N26" s="10"/>
      <c r="O26" s="10"/>
      <c r="P26" s="3"/>
      <c r="Q26" s="3"/>
      <c r="R26" s="3"/>
      <c r="S26" s="3" t="s">
        <v>97</v>
      </c>
      <c r="T26" s="13">
        <f>L42/1000</f>
        <v>55.45</v>
      </c>
      <c r="U26" s="14">
        <f>L43</f>
        <v>3.6754144402625512E-2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N27" s="10"/>
      <c r="O27" s="10"/>
      <c r="P27" s="3"/>
      <c r="Q27" s="3"/>
      <c r="R27" s="3"/>
      <c r="S27" s="3" t="s">
        <v>31</v>
      </c>
      <c r="T27" s="13">
        <f>F42/1000</f>
        <v>33.133000000000003</v>
      </c>
      <c r="U27" s="14">
        <f>F43</f>
        <v>2.1961678385792445E-2</v>
      </c>
    </row>
    <row r="28" spans="1:21" ht="15.75" x14ac:dyDescent="0.25">
      <c r="A28" s="4" t="s">
        <v>81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N28" s="10"/>
      <c r="O28" s="10"/>
      <c r="P28" s="3"/>
      <c r="Q28" s="3"/>
      <c r="R28" s="3"/>
      <c r="S28" s="3" t="s">
        <v>4</v>
      </c>
      <c r="T28" s="12">
        <f>E42/1000</f>
        <v>24.882000000000001</v>
      </c>
      <c r="U28" s="14">
        <f>E43</f>
        <v>1.6492635185322416E-2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92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127.158</v>
      </c>
      <c r="U29" s="52">
        <f>D43</f>
        <v>8.4284643714139865E-2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N30" s="10"/>
      <c r="O30" s="10"/>
      <c r="P30" s="3"/>
      <c r="Q30" s="3"/>
      <c r="R30" s="3"/>
      <c r="S30" s="2" t="s">
        <v>8</v>
      </c>
      <c r="T30" s="2">
        <f>K42/1000</f>
        <v>164.59200000000001</v>
      </c>
      <c r="U30" s="52">
        <f>K43</f>
        <v>0.10909717106432712</v>
      </c>
    </row>
    <row r="31" spans="1:21" ht="16" x14ac:dyDescent="0.2">
      <c r="A31" s="8" t="s">
        <v>33</v>
      </c>
      <c r="B31" s="46">
        <v>0</v>
      </c>
      <c r="C31" s="46">
        <v>12188</v>
      </c>
      <c r="D31" s="46">
        <v>0</v>
      </c>
      <c r="E31" s="46">
        <v>0</v>
      </c>
      <c r="F31" s="46">
        <v>1262</v>
      </c>
      <c r="G31" s="46">
        <v>0</v>
      </c>
      <c r="H31" s="46">
        <v>0</v>
      </c>
      <c r="I31" s="46"/>
      <c r="J31" s="46"/>
      <c r="K31" s="46"/>
      <c r="L31" s="46"/>
      <c r="M31" s="84"/>
      <c r="N31" s="46">
        <v>16944</v>
      </c>
      <c r="O31" s="46">
        <v>30394</v>
      </c>
      <c r="P31" s="16">
        <f>O31/O$39</f>
        <v>2.049639387819097E-2</v>
      </c>
      <c r="Q31" s="17" t="s">
        <v>34</v>
      </c>
      <c r="R31" s="67"/>
      <c r="S31" s="3" t="s">
        <v>9</v>
      </c>
      <c r="T31" s="13">
        <f>M42/1000</f>
        <v>73.167000000000002</v>
      </c>
      <c r="U31" s="14">
        <f>M43</f>
        <v>4.849757409390263E-2</v>
      </c>
    </row>
    <row r="32" spans="1:21" ht="16" x14ac:dyDescent="0.2">
      <c r="A32" s="8" t="s">
        <v>36</v>
      </c>
      <c r="B32" s="61">
        <v>30300</v>
      </c>
      <c r="C32" s="60">
        <f>C39-C36-C35-C34-C33-C31</f>
        <v>4932</v>
      </c>
      <c r="D32" s="85">
        <v>127158</v>
      </c>
      <c r="E32" s="85">
        <v>24750</v>
      </c>
      <c r="F32" s="46">
        <v>0</v>
      </c>
      <c r="G32" s="101">
        <v>0</v>
      </c>
      <c r="H32" s="46">
        <v>0</v>
      </c>
      <c r="I32" s="46"/>
      <c r="J32" s="46"/>
      <c r="L32" s="86"/>
      <c r="M32" s="86">
        <v>73167</v>
      </c>
      <c r="N32" s="46">
        <v>269553</v>
      </c>
      <c r="O32" s="102">
        <f>SUM(B32:N32)</f>
        <v>529860</v>
      </c>
      <c r="P32" s="16">
        <f>O32/O$39</f>
        <v>0.3573145772290014</v>
      </c>
      <c r="Q32" s="17" t="s">
        <v>37</v>
      </c>
      <c r="R32" s="67"/>
      <c r="S32" s="3" t="s">
        <v>6</v>
      </c>
      <c r="T32" s="13">
        <f>H42/1000</f>
        <v>8.3059999999999992</v>
      </c>
      <c r="U32" s="14">
        <f>H43</f>
        <v>5.5054990695799369E-3</v>
      </c>
    </row>
    <row r="33" spans="1:48" ht="16" x14ac:dyDescent="0.2">
      <c r="A33" s="8" t="s">
        <v>38</v>
      </c>
      <c r="B33" s="61">
        <v>22000</v>
      </c>
      <c r="C33" s="46">
        <v>235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84"/>
      <c r="N33" s="46">
        <v>29510</v>
      </c>
      <c r="O33" s="61">
        <f>SUM(B33:N33)</f>
        <v>51745</v>
      </c>
      <c r="P33" s="16">
        <f>O33/O$39</f>
        <v>3.4894581207705201E-2</v>
      </c>
      <c r="Q33" s="17" t="s">
        <v>39</v>
      </c>
      <c r="R33" s="67"/>
      <c r="S33" s="3" t="s">
        <v>35</v>
      </c>
      <c r="T33" s="13">
        <f>C42/1000</f>
        <v>426.56900000000002</v>
      </c>
      <c r="U33" s="15">
        <f>C43</f>
        <v>0.28274442964262514</v>
      </c>
      <c r="W33" s="43"/>
      <c r="X33" s="60"/>
    </row>
    <row r="34" spans="1:48" ht="16" x14ac:dyDescent="0.2">
      <c r="A34" s="8" t="s">
        <v>40</v>
      </c>
      <c r="B34" s="46">
        <v>0</v>
      </c>
      <c r="C34" s="46">
        <v>382312</v>
      </c>
      <c r="D34" s="46">
        <v>0</v>
      </c>
      <c r="E34" s="46">
        <v>0</v>
      </c>
      <c r="F34" s="46">
        <v>31872</v>
      </c>
      <c r="G34" s="46">
        <v>0</v>
      </c>
      <c r="H34" s="46">
        <v>0</v>
      </c>
      <c r="I34" s="46"/>
      <c r="J34" s="46"/>
      <c r="K34" s="46"/>
      <c r="L34" s="46"/>
      <c r="M34" s="84"/>
      <c r="N34" s="46">
        <v>1005</v>
      </c>
      <c r="O34" s="46">
        <v>415188</v>
      </c>
      <c r="P34" s="16">
        <f>O34/O$39</f>
        <v>0.27998475954130264</v>
      </c>
      <c r="Q34" s="17" t="s">
        <v>41</v>
      </c>
      <c r="R34" s="67"/>
      <c r="S34" s="3"/>
      <c r="T34" s="13">
        <f>SUM(T24:T33)</f>
        <v>1508.6734000000001</v>
      </c>
      <c r="U34" s="14">
        <f>SUM(U24:U33)</f>
        <v>1.0000000000000002</v>
      </c>
    </row>
    <row r="35" spans="1:48" ht="16" x14ac:dyDescent="0.2">
      <c r="A35" s="8" t="s">
        <v>42</v>
      </c>
      <c r="B35" s="61">
        <v>27900</v>
      </c>
      <c r="C35" s="46">
        <v>25674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84"/>
      <c r="N35" s="46">
        <v>89779</v>
      </c>
      <c r="O35" s="61">
        <f>SUM(B35:N35)</f>
        <v>143353</v>
      </c>
      <c r="P35" s="16">
        <f>O35/O$39</f>
        <v>9.667103874515727E-2</v>
      </c>
      <c r="Q35" s="17" t="s">
        <v>43</v>
      </c>
      <c r="R35" s="67"/>
    </row>
    <row r="36" spans="1:48" ht="16" x14ac:dyDescent="0.2">
      <c r="A36" s="8" t="s">
        <v>44</v>
      </c>
      <c r="B36" s="77">
        <f>B41-B37</f>
        <v>30430</v>
      </c>
      <c r="C36" s="60">
        <v>200</v>
      </c>
      <c r="D36" s="46">
        <v>0</v>
      </c>
      <c r="E36" s="46">
        <v>0</v>
      </c>
      <c r="F36" s="46">
        <v>0</v>
      </c>
      <c r="G36" s="60">
        <v>11741</v>
      </c>
      <c r="H36" s="46">
        <v>0</v>
      </c>
      <c r="I36" s="46"/>
      <c r="J36" s="46"/>
      <c r="K36" s="46"/>
      <c r="L36" s="46"/>
      <c r="M36" s="84"/>
      <c r="N36" s="46">
        <v>84751</v>
      </c>
      <c r="O36" s="61">
        <f>SUM(B36:N36)</f>
        <v>127122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77">
        <f>B41*0.83</f>
        <v>148570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84"/>
      <c r="N37" s="46">
        <v>29028</v>
      </c>
      <c r="O37" s="77">
        <f>SUM(B37:N37)</f>
        <v>177598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84"/>
      <c r="N38" s="46">
        <v>7635</v>
      </c>
      <c r="O38" s="46">
        <v>7635</v>
      </c>
      <c r="P38" s="17">
        <f>SUM(P31:P35)</f>
        <v>0.78936135060135748</v>
      </c>
      <c r="Q38" s="17"/>
      <c r="R38" s="67"/>
      <c r="S38" s="7" t="s">
        <v>47</v>
      </c>
      <c r="T38" s="19">
        <f>O45/1000</f>
        <v>67.072399999999988</v>
      </c>
      <c r="U38" s="7"/>
    </row>
    <row r="39" spans="1:48" ht="16" x14ac:dyDescent="0.2">
      <c r="A39" s="8" t="s">
        <v>16</v>
      </c>
      <c r="B39" s="61">
        <f>SUM(B31:B38)</f>
        <v>259200</v>
      </c>
      <c r="C39" s="46">
        <v>425541</v>
      </c>
      <c r="D39" s="85">
        <f>D32</f>
        <v>127158</v>
      </c>
      <c r="E39" s="85">
        <f>E32</f>
        <v>24750</v>
      </c>
      <c r="F39" s="46">
        <v>33133</v>
      </c>
      <c r="G39" s="60">
        <f>SUM(G31:G38)</f>
        <v>11741</v>
      </c>
      <c r="H39" s="46">
        <v>0</v>
      </c>
      <c r="I39" s="46"/>
      <c r="J39" s="46"/>
      <c r="K39" s="46"/>
      <c r="L39" s="46">
        <f>SUM(L32:L38)</f>
        <v>0</v>
      </c>
      <c r="M39" s="46">
        <f>SUM(M32:M38)</f>
        <v>73167</v>
      </c>
      <c r="N39" s="46">
        <v>528205</v>
      </c>
      <c r="O39" s="77">
        <f>SUM(O31:O38)</f>
        <v>1482895</v>
      </c>
      <c r="P39" s="3"/>
      <c r="Q39" s="3"/>
      <c r="R39" s="67"/>
      <c r="S39" s="7" t="s">
        <v>48</v>
      </c>
      <c r="T39" s="20">
        <f>O41/1000</f>
        <v>312.35500000000002</v>
      </c>
      <c r="U39" s="14">
        <f>P41</f>
        <v>0.21063864939864252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143.35300000000001</v>
      </c>
      <c r="U40" s="15">
        <f>P35</f>
        <v>9.667103874515727E-2</v>
      </c>
    </row>
    <row r="41" spans="1:48" ht="16" x14ac:dyDescent="0.2">
      <c r="A41" s="21" t="s">
        <v>50</v>
      </c>
      <c r="B41" s="80">
        <v>179000</v>
      </c>
      <c r="C41" s="22">
        <f t="shared" ref="C41:O41" si="2">C38+C37+C36</f>
        <v>200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11741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93">
        <f t="shared" si="2"/>
        <v>0</v>
      </c>
      <c r="N41" s="22">
        <f t="shared" si="2"/>
        <v>121414</v>
      </c>
      <c r="O41" s="22">
        <f t="shared" si="2"/>
        <v>312355</v>
      </c>
      <c r="P41" s="16">
        <f>O41/O$39</f>
        <v>0.21063864939864252</v>
      </c>
      <c r="Q41" s="16" t="s">
        <v>51</v>
      </c>
      <c r="R41" s="7"/>
      <c r="S41" s="7" t="s">
        <v>52</v>
      </c>
      <c r="T41" s="20">
        <f>O33/1000</f>
        <v>51.744999999999997</v>
      </c>
      <c r="U41" s="14">
        <f>P33</f>
        <v>3.4894581207705201E-2</v>
      </c>
    </row>
    <row r="42" spans="1:48" ht="16" x14ac:dyDescent="0.2">
      <c r="A42" s="23" t="s">
        <v>53</v>
      </c>
      <c r="B42" s="22"/>
      <c r="C42" s="24">
        <f>C39+C23+C10</f>
        <v>426569</v>
      </c>
      <c r="D42" s="24">
        <f t="shared" ref="D42:M42" si="3">D39+D23+D10</f>
        <v>127158</v>
      </c>
      <c r="E42" s="24">
        <f t="shared" si="3"/>
        <v>24882</v>
      </c>
      <c r="F42" s="24">
        <f t="shared" si="3"/>
        <v>33133</v>
      </c>
      <c r="G42" s="24">
        <f t="shared" si="3"/>
        <v>49394</v>
      </c>
      <c r="H42" s="24">
        <f t="shared" si="3"/>
        <v>8306</v>
      </c>
      <c r="I42" s="24">
        <f t="shared" si="3"/>
        <v>0</v>
      </c>
      <c r="J42" s="24">
        <f t="shared" si="3"/>
        <v>0</v>
      </c>
      <c r="K42" s="24">
        <f t="shared" si="3"/>
        <v>164592</v>
      </c>
      <c r="L42" s="24">
        <f t="shared" si="3"/>
        <v>55450</v>
      </c>
      <c r="M42" s="94">
        <f t="shared" si="3"/>
        <v>73167</v>
      </c>
      <c r="N42" s="24">
        <f>N39+N23-B6+N45</f>
        <v>546022.40000000002</v>
      </c>
      <c r="O42" s="25">
        <f>SUM(C42:N42)</f>
        <v>1508673.4</v>
      </c>
      <c r="P42" s="7"/>
      <c r="Q42" s="7"/>
      <c r="R42" s="7"/>
      <c r="S42" s="7" t="s">
        <v>34</v>
      </c>
      <c r="T42" s="20">
        <f>O31/1000</f>
        <v>30.393999999999998</v>
      </c>
      <c r="U42" s="14">
        <f>P31</f>
        <v>2.049639387819097E-2</v>
      </c>
    </row>
    <row r="43" spans="1:48" ht="16" x14ac:dyDescent="0.2">
      <c r="A43" s="23" t="s">
        <v>54</v>
      </c>
      <c r="B43" s="22"/>
      <c r="C43" s="16">
        <f t="shared" ref="C43:N43" si="4">C42/$O42</f>
        <v>0.28274442964262514</v>
      </c>
      <c r="D43" s="16">
        <f t="shared" si="4"/>
        <v>8.4284643714139865E-2</v>
      </c>
      <c r="E43" s="16">
        <f t="shared" si="4"/>
        <v>1.6492635185322416E-2</v>
      </c>
      <c r="F43" s="16">
        <f t="shared" si="4"/>
        <v>2.1961678385792445E-2</v>
      </c>
      <c r="G43" s="16">
        <f t="shared" si="4"/>
        <v>3.2740021796632726E-2</v>
      </c>
      <c r="H43" s="16">
        <f t="shared" si="4"/>
        <v>5.5054990695799369E-3</v>
      </c>
      <c r="I43" s="16">
        <f t="shared" si="4"/>
        <v>0</v>
      </c>
      <c r="J43" s="16">
        <f t="shared" si="4"/>
        <v>0</v>
      </c>
      <c r="K43" s="16">
        <f t="shared" si="4"/>
        <v>0.10909717106432712</v>
      </c>
      <c r="L43" s="16">
        <f t="shared" si="4"/>
        <v>3.6754144402625512E-2</v>
      </c>
      <c r="M43" s="16">
        <f t="shared" si="4"/>
        <v>4.849757409390263E-2</v>
      </c>
      <c r="N43" s="16">
        <f t="shared" si="4"/>
        <v>0.36192220264505232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529.86</v>
      </c>
      <c r="U43" s="15">
        <f>P32</f>
        <v>0.3573145772290014</v>
      </c>
    </row>
    <row r="44" spans="1:48" ht="16" x14ac:dyDescent="0.2">
      <c r="A44" s="6"/>
      <c r="B44" s="77"/>
      <c r="C44" s="6"/>
      <c r="D44" s="6"/>
      <c r="E44" s="6"/>
      <c r="F44" s="6"/>
      <c r="G44" s="6"/>
      <c r="H44" s="6"/>
      <c r="I44" s="6"/>
      <c r="J44" s="6"/>
      <c r="K44" s="6"/>
      <c r="L44" s="6"/>
      <c r="M44" s="92"/>
      <c r="N44" s="6"/>
      <c r="O44" s="6"/>
      <c r="P44" s="7"/>
      <c r="Q44" s="7"/>
      <c r="R44" s="7"/>
      <c r="S44" s="7" t="s">
        <v>56</v>
      </c>
      <c r="T44" s="20">
        <f>O34/1000</f>
        <v>415.18799999999999</v>
      </c>
      <c r="U44" s="15">
        <f>P34</f>
        <v>0.27998475954130264</v>
      </c>
    </row>
    <row r="45" spans="1:48" ht="16" x14ac:dyDescent="0.2">
      <c r="A45" s="6" t="s">
        <v>57</v>
      </c>
      <c r="B45" s="26">
        <f>B23+B25-B39</f>
        <v>24816</v>
      </c>
      <c r="C45" s="6"/>
      <c r="D45" s="6"/>
      <c r="E45" s="6">
        <v>179000</v>
      </c>
      <c r="F45" s="6"/>
      <c r="G45" s="6"/>
      <c r="H45" s="6"/>
      <c r="I45" s="6"/>
      <c r="J45" s="6"/>
      <c r="K45" s="6"/>
      <c r="L45" s="6"/>
      <c r="M45" s="92"/>
      <c r="N45" s="26">
        <f>N39*0.08</f>
        <v>42256.4</v>
      </c>
      <c r="O45" s="25">
        <f>B45+N45</f>
        <v>67072.399999999994</v>
      </c>
      <c r="P45" s="7"/>
      <c r="Q45" s="7"/>
      <c r="R45" s="7"/>
      <c r="S45" s="7" t="s">
        <v>58</v>
      </c>
      <c r="T45" s="20">
        <f>SUM(T39:T44)</f>
        <v>1482.895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9.9305311009379907E-2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92"/>
      <c r="N46"/>
      <c r="O46" s="6"/>
      <c r="P46" s="7"/>
      <c r="Q46" s="7"/>
      <c r="R46" s="7"/>
    </row>
    <row r="47" spans="1:48" ht="16" x14ac:dyDescent="0.2">
      <c r="A47" s="4"/>
      <c r="B47" s="4"/>
      <c r="C47" s="27"/>
      <c r="D47" s="45"/>
      <c r="E47" s="45"/>
      <c r="F47" s="45"/>
      <c r="G47" s="45"/>
      <c r="H47" s="45"/>
      <c r="I47" s="45"/>
      <c r="J47" s="45"/>
      <c r="K47" s="45"/>
      <c r="L47" s="45"/>
      <c r="M47" s="95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ht="16" x14ac:dyDescent="0.2">
      <c r="A48" s="27"/>
      <c r="B48" s="4"/>
      <c r="C48" s="27"/>
      <c r="D48" s="45"/>
      <c r="E48" s="45"/>
      <c r="F48" s="45"/>
      <c r="G48" s="45"/>
      <c r="H48" s="45"/>
      <c r="I48" s="45"/>
      <c r="J48" s="45"/>
      <c r="K48" s="45"/>
      <c r="L48" s="45"/>
      <c r="M48" s="95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ht="16" x14ac:dyDescent="0.2">
      <c r="A49" s="27"/>
      <c r="B49" s="4"/>
      <c r="C49" s="27"/>
      <c r="D49" s="46"/>
      <c r="E49" s="45"/>
      <c r="F49" s="45"/>
      <c r="G49" s="45"/>
      <c r="H49" s="45"/>
      <c r="I49" s="45"/>
      <c r="J49" s="45"/>
      <c r="K49" s="45"/>
      <c r="L49" s="45"/>
      <c r="M49" s="95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27"/>
      <c r="B50" s="4"/>
      <c r="C50" s="27"/>
      <c r="D50" s="45"/>
      <c r="E50" s="45"/>
      <c r="F50" s="45"/>
      <c r="G50" s="45"/>
      <c r="H50" s="45"/>
      <c r="I50" s="45"/>
      <c r="J50" s="45"/>
      <c r="K50" s="45"/>
      <c r="L50" s="45"/>
      <c r="M50" s="95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27"/>
      <c r="B51" s="4"/>
      <c r="C51" s="27"/>
      <c r="D51" s="45"/>
      <c r="E51" s="47"/>
      <c r="F51" s="47"/>
      <c r="G51" s="45"/>
      <c r="H51" s="45"/>
      <c r="I51" s="45"/>
      <c r="J51" s="45"/>
      <c r="K51" s="45"/>
      <c r="L51" s="45"/>
      <c r="M51" s="95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27"/>
      <c r="B52" s="4"/>
      <c r="C52" s="27"/>
      <c r="D52" s="45"/>
      <c r="E52" s="45"/>
      <c r="F52" s="45"/>
      <c r="G52" s="45"/>
      <c r="H52" s="45"/>
      <c r="I52" s="45"/>
      <c r="J52" s="45"/>
      <c r="K52" s="45"/>
      <c r="L52" s="45"/>
      <c r="M52" s="95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27"/>
      <c r="B53" s="4"/>
      <c r="C53" s="27"/>
      <c r="D53" s="45"/>
      <c r="E53" s="45"/>
      <c r="F53" s="45"/>
      <c r="G53" s="46"/>
      <c r="H53" s="45"/>
      <c r="I53" s="45"/>
      <c r="J53" s="45"/>
      <c r="K53" s="45"/>
      <c r="L53" s="45"/>
      <c r="M53" s="95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27"/>
      <c r="B54" s="4"/>
      <c r="C54" s="27"/>
      <c r="D54" s="45"/>
      <c r="E54" s="45"/>
      <c r="F54" s="45"/>
      <c r="G54" s="45"/>
      <c r="H54" s="45"/>
      <c r="I54" s="45"/>
      <c r="J54" s="45"/>
      <c r="K54" s="45"/>
      <c r="L54" s="45"/>
      <c r="M54" s="95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ht="16" x14ac:dyDescent="0.2">
      <c r="A55" s="27"/>
      <c r="B55" s="4"/>
      <c r="C55" s="27"/>
      <c r="D55" s="45"/>
      <c r="E55" s="45"/>
      <c r="F55" s="45"/>
      <c r="G55" s="45"/>
      <c r="H55" s="45"/>
      <c r="I55" s="45"/>
      <c r="J55" s="46"/>
      <c r="K55" s="46"/>
      <c r="L55" s="46"/>
      <c r="M55" s="95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ht="16" x14ac:dyDescent="0.2">
      <c r="A56" s="27"/>
      <c r="B56" s="4"/>
      <c r="C56" s="27"/>
      <c r="D56" s="45"/>
      <c r="E56" s="46"/>
      <c r="F56" s="46"/>
      <c r="G56" s="46"/>
      <c r="H56" s="46"/>
      <c r="I56" s="45"/>
      <c r="J56" s="45"/>
      <c r="K56" s="45"/>
      <c r="L56" s="45"/>
      <c r="M56" s="95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45"/>
      <c r="E57" s="45"/>
      <c r="F57" s="45"/>
      <c r="G57" s="45"/>
      <c r="H57" s="45"/>
      <c r="I57" s="45"/>
      <c r="J57" s="45"/>
      <c r="K57" s="45"/>
      <c r="L57" s="45"/>
      <c r="M57" s="92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M58" s="92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M59" s="92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45"/>
      <c r="E60" s="45"/>
      <c r="F60" s="45"/>
      <c r="G60" s="45"/>
      <c r="H60" s="45"/>
      <c r="I60" s="45"/>
      <c r="J60" s="45"/>
      <c r="K60" s="45"/>
      <c r="L60" s="45"/>
      <c r="M60" s="92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45"/>
      <c r="E61" s="45"/>
      <c r="F61" s="45"/>
      <c r="G61" s="45"/>
      <c r="H61" s="45"/>
      <c r="I61" s="45"/>
      <c r="J61" s="45"/>
      <c r="K61" s="45"/>
      <c r="L61" s="45"/>
      <c r="M61" s="92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92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92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92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92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92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92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92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92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92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V70"/>
  <sheetViews>
    <sheetView topLeftCell="A6" workbookViewId="0">
      <selection activeCell="O39" sqref="O39"/>
    </sheetView>
  </sheetViews>
  <sheetFormatPr baseColWidth="10" defaultColWidth="8.6640625" defaultRowHeight="15" x14ac:dyDescent="0.2"/>
  <cols>
    <col min="1" max="1" width="16.6640625" style="2" customWidth="1"/>
    <col min="2" max="2" width="12" style="2" customWidth="1"/>
    <col min="3" max="3" width="13.6640625" style="2" customWidth="1"/>
    <col min="4" max="4" width="8.6640625" style="2"/>
    <col min="5" max="5" width="12.6640625" style="2" bestFit="1" customWidth="1"/>
    <col min="6" max="6" width="8.6640625" style="2"/>
    <col min="7" max="8" width="11.1640625" style="2" bestFit="1" customWidth="1"/>
    <col min="9" max="11" width="8.6640625" style="2"/>
    <col min="12" max="13" width="5.6640625" style="2" customWidth="1"/>
    <col min="14" max="14" width="9.6640625" style="2" bestFit="1" customWidth="1"/>
    <col min="15" max="15" width="10.1640625" style="2" customWidth="1"/>
    <col min="16" max="16" width="12.1640625" style="2" bestFit="1" customWidth="1"/>
    <col min="17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82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2898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85">
        <f>178451*0.97</f>
        <v>173097.47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4954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6" x14ac:dyDescent="0.2">
      <c r="A10" s="8" t="s">
        <v>16</v>
      </c>
      <c r="B10" s="111">
        <f>SUM(B4:B9)</f>
        <v>180949.47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30" ht="16" x14ac:dyDescent="0.2">
      <c r="A17" s="8" t="s">
        <v>20</v>
      </c>
      <c r="B17" s="79">
        <f>473003+126271+29200</f>
        <v>628474</v>
      </c>
      <c r="C17" s="61">
        <f>2810+2916</f>
        <v>5726</v>
      </c>
      <c r="D17" s="61">
        <v>0</v>
      </c>
      <c r="E17" s="46">
        <v>0</v>
      </c>
      <c r="F17" s="46">
        <v>0</v>
      </c>
      <c r="G17" s="61">
        <v>306268</v>
      </c>
      <c r="H17" s="46">
        <v>0</v>
      </c>
      <c r="I17" s="46"/>
      <c r="J17" s="46"/>
      <c r="K17" s="61">
        <v>510071</v>
      </c>
      <c r="L17" s="46"/>
      <c r="M17" s="46"/>
      <c r="N17" s="68"/>
      <c r="O17" s="61">
        <f>SUM(C17:N17)</f>
        <v>822065</v>
      </c>
      <c r="P17" s="67"/>
      <c r="Q17" s="3"/>
      <c r="R17" s="3"/>
      <c r="S17" s="3"/>
      <c r="T17" s="3"/>
      <c r="U17" s="3"/>
    </row>
    <row r="18" spans="1:30" ht="16" x14ac:dyDescent="0.2">
      <c r="A18" s="8" t="s">
        <v>21</v>
      </c>
      <c r="B18" s="61">
        <f>B23-B21-B17</f>
        <v>30748</v>
      </c>
      <c r="C18" s="61">
        <f>50+929</f>
        <v>979</v>
      </c>
      <c r="D18" s="46">
        <v>0</v>
      </c>
      <c r="E18" s="61">
        <v>187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61">
        <v>7887</v>
      </c>
      <c r="O18" s="61">
        <f t="shared" ref="O18:O22" si="0">SUM(C18:N18)</f>
        <v>9053</v>
      </c>
      <c r="P18" s="3"/>
      <c r="Q18" s="3"/>
      <c r="R18" s="3"/>
      <c r="S18" s="3"/>
      <c r="T18" s="3"/>
      <c r="U18" s="3"/>
    </row>
    <row r="19" spans="1:30" ht="16" x14ac:dyDescent="0.2">
      <c r="A19" s="8" t="s">
        <v>22</v>
      </c>
      <c r="B19" s="2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f t="shared" si="0"/>
        <v>0</v>
      </c>
      <c r="P19" s="3"/>
      <c r="Q19" s="3"/>
      <c r="R19" s="3"/>
      <c r="S19" s="3"/>
      <c r="T19" s="3"/>
      <c r="U19" s="3"/>
    </row>
    <row r="20" spans="1:30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f t="shared" si="0"/>
        <v>0</v>
      </c>
      <c r="P20" s="3"/>
      <c r="Q20" s="3"/>
      <c r="R20" s="3"/>
      <c r="S20" s="3"/>
      <c r="T20" s="3"/>
      <c r="U20" s="3"/>
    </row>
    <row r="21" spans="1:30" ht="16" x14ac:dyDescent="0.2">
      <c r="A21" s="8" t="s">
        <v>24</v>
      </c>
      <c r="B21" s="61">
        <v>364589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f>SUM(C21:N21)</f>
        <v>0</v>
      </c>
      <c r="P21" s="3"/>
      <c r="Q21" s="3"/>
      <c r="R21" s="3"/>
      <c r="S21" s="3" t="s">
        <v>26</v>
      </c>
      <c r="T21" s="12">
        <f>O42/1000</f>
        <v>4257.395818</v>
      </c>
      <c r="U21" s="3"/>
    </row>
    <row r="22" spans="1:30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f t="shared" si="0"/>
        <v>0</v>
      </c>
      <c r="P22" s="3"/>
      <c r="Q22" s="3"/>
      <c r="R22" s="3"/>
      <c r="S22" s="3"/>
      <c r="T22" s="3"/>
      <c r="U22" s="3"/>
    </row>
    <row r="23" spans="1:30" ht="16" x14ac:dyDescent="0.2">
      <c r="A23" s="8" t="s">
        <v>16</v>
      </c>
      <c r="B23" s="61">
        <v>1023811</v>
      </c>
      <c r="C23" s="61">
        <f>SUM(C17:C22)</f>
        <v>6705</v>
      </c>
      <c r="D23" s="61">
        <f>SUM(D17:D22)</f>
        <v>0</v>
      </c>
      <c r="E23" s="61">
        <f>E18</f>
        <v>187</v>
      </c>
      <c r="F23" s="46">
        <v>0</v>
      </c>
      <c r="G23" s="61">
        <f>SUM(G17:G22)</f>
        <v>306268</v>
      </c>
      <c r="H23" s="46">
        <v>0</v>
      </c>
      <c r="I23" s="46"/>
      <c r="J23" s="46"/>
      <c r="K23" s="61">
        <f>K17</f>
        <v>510071</v>
      </c>
      <c r="L23" s="46"/>
      <c r="M23" s="46"/>
      <c r="N23" s="79">
        <f>SUM(N17:N22)</f>
        <v>7887</v>
      </c>
      <c r="O23" s="61">
        <f>SUM(O17:O22)</f>
        <v>831118</v>
      </c>
      <c r="P23" s="3"/>
      <c r="Q23" s="3"/>
      <c r="R23" s="3"/>
      <c r="S23" s="3"/>
      <c r="T23" s="3" t="s">
        <v>27</v>
      </c>
      <c r="U23" s="3" t="s">
        <v>28</v>
      </c>
    </row>
    <row r="24" spans="1:30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1107.1144180000001</v>
      </c>
      <c r="U24" s="14">
        <f>N43</f>
        <v>0.26004498179830743</v>
      </c>
    </row>
    <row r="25" spans="1:30" ht="16" x14ac:dyDescent="0.2">
      <c r="B25" s="46"/>
      <c r="C25" s="4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325.72699999999998</v>
      </c>
      <c r="U25" s="15">
        <f>G43</f>
        <v>7.650850753008373E-2</v>
      </c>
    </row>
    <row r="26" spans="1:30" ht="16" x14ac:dyDescent="0.2">
      <c r="B26" s="10"/>
      <c r="C26" s="4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30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141.173</v>
      </c>
      <c r="U27" s="14">
        <f>F43</f>
        <v>3.3159472606030548E-2</v>
      </c>
    </row>
    <row r="28" spans="1:30" ht="16" x14ac:dyDescent="0.2">
      <c r="A28" s="4" t="s">
        <v>82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413.6814</v>
      </c>
      <c r="U28" s="14">
        <f>E43</f>
        <v>9.7167709483572395E-2</v>
      </c>
    </row>
    <row r="29" spans="1:30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30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510.07100000000003</v>
      </c>
      <c r="U30" s="52">
        <f>K43</f>
        <v>0.11980821652603972</v>
      </c>
    </row>
    <row r="31" spans="1:30" ht="16" x14ac:dyDescent="0.2">
      <c r="A31" s="8" t="s">
        <v>33</v>
      </c>
      <c r="B31" s="46">
        <v>0</v>
      </c>
      <c r="C31" s="46">
        <v>20401</v>
      </c>
      <c r="D31" s="46">
        <v>0</v>
      </c>
      <c r="E31" s="46">
        <v>0</v>
      </c>
      <c r="F31" s="46">
        <v>1873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33803</v>
      </c>
      <c r="O31" s="46">
        <v>56078</v>
      </c>
      <c r="P31" s="16">
        <f>O31/O$39</f>
        <v>1.2932807884681733E-2</v>
      </c>
      <c r="Q31" s="17" t="s">
        <v>34</v>
      </c>
      <c r="R31" s="3"/>
      <c r="S31" s="3" t="s">
        <v>5</v>
      </c>
      <c r="T31" s="13">
        <f>I42/1000</f>
        <v>0</v>
      </c>
      <c r="U31" s="14">
        <f>I43</f>
        <v>0</v>
      </c>
      <c r="X31"/>
      <c r="Y31"/>
      <c r="Z31"/>
      <c r="AA31"/>
      <c r="AB31"/>
      <c r="AC31"/>
      <c r="AD31"/>
    </row>
    <row r="32" spans="1:30" ht="16" x14ac:dyDescent="0.2">
      <c r="A32" s="8" t="s">
        <v>36</v>
      </c>
      <c r="B32" s="46">
        <v>42133</v>
      </c>
      <c r="C32" s="46">
        <v>5419</v>
      </c>
      <c r="D32" s="46">
        <v>0</v>
      </c>
      <c r="E32" s="89">
        <f>(799960-G32-C32-B32)*0.55</f>
        <v>413494.4</v>
      </c>
      <c r="F32" s="46">
        <v>0</v>
      </c>
      <c r="G32" s="60">
        <v>600</v>
      </c>
      <c r="H32" s="46">
        <v>0</v>
      </c>
      <c r="I32" s="46"/>
      <c r="J32" s="46"/>
      <c r="K32" s="46"/>
      <c r="L32" s="46"/>
      <c r="M32" s="45"/>
      <c r="N32" s="97">
        <f>(799960-G32-C32-B32)*0.45-45000*0.97</f>
        <v>294663.60000000003</v>
      </c>
      <c r="O32" s="90">
        <f>SUM(B32:N32)</f>
        <v>756310</v>
      </c>
      <c r="P32" s="16">
        <f>O32/O$39</f>
        <v>0.17442155446456081</v>
      </c>
      <c r="Q32" s="17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77772</v>
      </c>
      <c r="C33" s="46">
        <v>5285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101303</v>
      </c>
      <c r="O33" s="46">
        <v>184360</v>
      </c>
      <c r="P33" s="16">
        <f>O33/O$39</f>
        <v>4.2517430393735942E-2</v>
      </c>
      <c r="Q33" s="17" t="s">
        <v>39</v>
      </c>
      <c r="R33" s="3"/>
      <c r="S33" s="3" t="s">
        <v>35</v>
      </c>
      <c r="T33" s="13">
        <f>C42/1000</f>
        <v>1759.6289999999999</v>
      </c>
      <c r="U33" s="15">
        <f>C43</f>
        <v>0.41331111205596621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1557956</v>
      </c>
      <c r="D34" s="46">
        <v>0</v>
      </c>
      <c r="E34" s="46">
        <v>0</v>
      </c>
      <c r="F34" s="46">
        <v>139300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1832</v>
      </c>
      <c r="O34" s="46">
        <v>1699088</v>
      </c>
      <c r="P34" s="16">
        <f>O34/O$39</f>
        <v>0.39184669002403999</v>
      </c>
      <c r="Q34" s="17" t="s">
        <v>41</v>
      </c>
      <c r="R34" s="3"/>
      <c r="S34" s="3"/>
      <c r="T34" s="13">
        <f>SUM(T24:T33)</f>
        <v>4257.395818</v>
      </c>
      <c r="U34" s="14">
        <f>SUM(U24:U33)</f>
        <v>1</v>
      </c>
    </row>
    <row r="35" spans="1:48" ht="16" x14ac:dyDescent="0.2">
      <c r="A35" s="8" t="s">
        <v>42</v>
      </c>
      <c r="B35" s="46">
        <v>102761</v>
      </c>
      <c r="C35" s="46">
        <v>161529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431746</v>
      </c>
      <c r="O35" s="46">
        <v>696036</v>
      </c>
      <c r="P35" s="16">
        <f>O35/O$39</f>
        <v>0.16052105761300928</v>
      </c>
      <c r="Q35" s="17" t="s">
        <v>43</v>
      </c>
      <c r="R35" s="3"/>
    </row>
    <row r="36" spans="1:48" ht="16" x14ac:dyDescent="0.2">
      <c r="A36" s="8" t="s">
        <v>44</v>
      </c>
      <c r="B36" s="46">
        <v>145803</v>
      </c>
      <c r="C36" s="46">
        <v>1422</v>
      </c>
      <c r="D36" s="46">
        <v>0</v>
      </c>
      <c r="E36" s="46">
        <v>0</v>
      </c>
      <c r="F36" s="46">
        <v>0</v>
      </c>
      <c r="G36" s="46">
        <v>18859</v>
      </c>
      <c r="H36" s="46">
        <v>0</v>
      </c>
      <c r="I36" s="46"/>
      <c r="J36" s="46"/>
      <c r="K36" s="46"/>
      <c r="L36" s="46"/>
      <c r="M36" s="45"/>
      <c r="N36" s="46">
        <v>223035</v>
      </c>
      <c r="O36" s="46">
        <v>389119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45</v>
      </c>
      <c r="B37" s="46">
        <v>462506</v>
      </c>
      <c r="C37" s="46">
        <v>911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87033</v>
      </c>
      <c r="O37" s="46">
        <v>550450</v>
      </c>
      <c r="P37" s="17"/>
      <c r="Q37" s="17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4663</v>
      </c>
      <c r="O38" s="46">
        <v>4663</v>
      </c>
      <c r="P38" s="17">
        <f>SUM(P31:P35)</f>
        <v>0.78223954038002774</v>
      </c>
      <c r="Q38" s="17"/>
      <c r="R38" s="3"/>
      <c r="S38" s="7" t="s">
        <v>47</v>
      </c>
      <c r="T38" s="19">
        <f>O45/1000</f>
        <v>254.41328799999999</v>
      </c>
      <c r="U38" s="7"/>
    </row>
    <row r="39" spans="1:48" ht="16" x14ac:dyDescent="0.2">
      <c r="A39" s="8" t="s">
        <v>16</v>
      </c>
      <c r="B39" s="46">
        <v>830975</v>
      </c>
      <c r="C39" s="46">
        <v>1752924</v>
      </c>
      <c r="D39" s="46">
        <v>0</v>
      </c>
      <c r="E39" s="89">
        <f>E32</f>
        <v>413494.4</v>
      </c>
      <c r="F39" s="46">
        <v>141173</v>
      </c>
      <c r="G39" s="60">
        <f>SUM(G31:G38)</f>
        <v>19459</v>
      </c>
      <c r="H39" s="46">
        <v>0</v>
      </c>
      <c r="I39" s="46"/>
      <c r="J39" s="46"/>
      <c r="K39" s="46"/>
      <c r="L39" s="46"/>
      <c r="M39" s="45"/>
      <c r="N39" s="60">
        <f>SUM(N31:N38)</f>
        <v>1178078.6000000001</v>
      </c>
      <c r="O39" s="90">
        <f>SUM(O31:O38)</f>
        <v>4336104</v>
      </c>
      <c r="P39" s="3"/>
      <c r="Q39" s="3"/>
      <c r="R39" s="3"/>
      <c r="S39" s="7" t="s">
        <v>48</v>
      </c>
      <c r="T39" s="20">
        <f>O41/1000</f>
        <v>944.23199999999997</v>
      </c>
      <c r="U39" s="14">
        <f>P41</f>
        <v>0.2177604596199722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696.03599999999994</v>
      </c>
      <c r="U40" s="15">
        <f>P35</f>
        <v>0.16052105761300928</v>
      </c>
    </row>
    <row r="41" spans="1:48" ht="16" x14ac:dyDescent="0.2">
      <c r="A41" s="21" t="s">
        <v>50</v>
      </c>
      <c r="B41" s="22">
        <f>B38+B37+B36</f>
        <v>608309</v>
      </c>
      <c r="C41" s="22">
        <f t="shared" ref="C41:O41" si="1">C38+C37+C36</f>
        <v>2333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18859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314731</v>
      </c>
      <c r="O41" s="22">
        <f t="shared" si="1"/>
        <v>944232</v>
      </c>
      <c r="P41" s="16">
        <f>O41/O$39</f>
        <v>0.2177604596199722</v>
      </c>
      <c r="Q41" s="16" t="s">
        <v>51</v>
      </c>
      <c r="R41" s="7"/>
      <c r="S41" s="7" t="s">
        <v>52</v>
      </c>
      <c r="T41" s="20">
        <f>O33/1000</f>
        <v>184.36</v>
      </c>
      <c r="U41" s="14">
        <f>P33</f>
        <v>4.2517430393735942E-2</v>
      </c>
    </row>
    <row r="42" spans="1:48" ht="16" x14ac:dyDescent="0.2">
      <c r="A42" s="23" t="s">
        <v>53</v>
      </c>
      <c r="B42" s="22"/>
      <c r="C42" s="24">
        <f>C39+C23+C10</f>
        <v>1759629</v>
      </c>
      <c r="D42" s="24">
        <f t="shared" ref="D42:M42" si="2">D39+D23+D10</f>
        <v>0</v>
      </c>
      <c r="E42" s="24">
        <f t="shared" si="2"/>
        <v>413681.4</v>
      </c>
      <c r="F42" s="24">
        <f t="shared" si="2"/>
        <v>141173</v>
      </c>
      <c r="G42" s="24">
        <f t="shared" si="2"/>
        <v>325727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510071</v>
      </c>
      <c r="L42" s="24">
        <f t="shared" si="2"/>
        <v>0</v>
      </c>
      <c r="M42" s="24">
        <f t="shared" si="2"/>
        <v>0</v>
      </c>
      <c r="N42" s="24">
        <f>N39+N23-B6+N45</f>
        <v>1107114.4180000001</v>
      </c>
      <c r="O42" s="25">
        <f>SUM(C42:N42)</f>
        <v>4257395.818</v>
      </c>
      <c r="P42" s="7"/>
      <c r="Q42" s="7"/>
      <c r="R42" s="7"/>
      <c r="S42" s="7" t="s">
        <v>34</v>
      </c>
      <c r="T42" s="20">
        <f>O31/1000</f>
        <v>56.078000000000003</v>
      </c>
      <c r="U42" s="14">
        <f>P31</f>
        <v>1.2932807884681733E-2</v>
      </c>
    </row>
    <row r="43" spans="1:48" ht="16" x14ac:dyDescent="0.2">
      <c r="A43" s="23" t="s">
        <v>54</v>
      </c>
      <c r="B43" s="22"/>
      <c r="C43" s="16">
        <f t="shared" ref="C43:N43" si="3">C42/$O42</f>
        <v>0.41331111205596621</v>
      </c>
      <c r="D43" s="16">
        <f t="shared" si="3"/>
        <v>0</v>
      </c>
      <c r="E43" s="16">
        <f t="shared" si="3"/>
        <v>9.7167709483572395E-2</v>
      </c>
      <c r="F43" s="16">
        <f t="shared" si="3"/>
        <v>3.3159472606030548E-2</v>
      </c>
      <c r="G43" s="16">
        <f t="shared" si="3"/>
        <v>7.650850753008373E-2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0.11980821652603972</v>
      </c>
      <c r="L43" s="16">
        <f t="shared" si="3"/>
        <v>0</v>
      </c>
      <c r="M43" s="16">
        <f t="shared" si="3"/>
        <v>0</v>
      </c>
      <c r="N43" s="16">
        <f t="shared" si="3"/>
        <v>0.26004498179830743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756.31</v>
      </c>
      <c r="U43" s="15">
        <f>P32</f>
        <v>0.17442155446456081</v>
      </c>
    </row>
    <row r="44" spans="1:48" ht="16" x14ac:dyDescent="0.2">
      <c r="A44" s="6" t="s">
        <v>92</v>
      </c>
      <c r="B44" s="46">
        <v>32669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1699.088</v>
      </c>
      <c r="U44" s="15">
        <f>P34</f>
        <v>0.39184669002403999</v>
      </c>
    </row>
    <row r="45" spans="1:48" ht="16" x14ac:dyDescent="0.2">
      <c r="A45" s="6" t="s">
        <v>57</v>
      </c>
      <c r="B45" s="26">
        <f>B23-B44-B39</f>
        <v>160167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94246.288000000015</v>
      </c>
      <c r="O45" s="25">
        <f>B45+N45</f>
        <v>254413.288</v>
      </c>
      <c r="P45" s="7"/>
      <c r="Q45" s="7"/>
      <c r="R45" s="7"/>
      <c r="S45" s="7" t="s">
        <v>58</v>
      </c>
      <c r="T45" s="20">
        <f>SUM(T39:T44)</f>
        <v>4336.1040000000003</v>
      </c>
      <c r="U45" s="14">
        <f>SUM(U39:U44)</f>
        <v>1</v>
      </c>
    </row>
    <row r="46" spans="1:48" ht="16" x14ac:dyDescent="0.2">
      <c r="A46" s="9" t="s">
        <v>91</v>
      </c>
      <c r="B46" s="73">
        <f>B45/B23</f>
        <v>0.15644196047903372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9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49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V70"/>
  <sheetViews>
    <sheetView workbookViewId="0">
      <selection activeCell="H27" sqref="H27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83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327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55438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55765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83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5862</v>
      </c>
      <c r="C18" s="46">
        <v>0</v>
      </c>
      <c r="D18" s="46">
        <v>0</v>
      </c>
      <c r="E18" s="46">
        <v>1067</v>
      </c>
      <c r="F18" s="46">
        <v>5481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6548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51337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858.08543999999995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57199</v>
      </c>
      <c r="C23" s="46">
        <v>0</v>
      </c>
      <c r="D23" s="46">
        <v>0</v>
      </c>
      <c r="E23" s="46">
        <v>1067</v>
      </c>
      <c r="F23" s="46">
        <v>5481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46">
        <v>6548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345.16043999999999</v>
      </c>
      <c r="U24" s="14">
        <f>N43</f>
        <v>0.4022448393950141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21.651</v>
      </c>
      <c r="U25" s="15">
        <f>G43</f>
        <v>2.5231753145700739E-2</v>
      </c>
    </row>
    <row r="26" spans="1:21" ht="15.75" x14ac:dyDescent="0.25">
      <c r="B26" s="10"/>
      <c r="C26" s="10"/>
      <c r="D26" s="10"/>
      <c r="E26" s="10"/>
      <c r="F26" s="10"/>
      <c r="G26" s="10"/>
      <c r="H26" s="10">
        <f>294000*6/1000</f>
        <v>1764</v>
      </c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14.621</v>
      </c>
      <c r="U27" s="14">
        <f>F43</f>
        <v>1.7039095780485451E-2</v>
      </c>
    </row>
    <row r="28" spans="1:21" ht="16" x14ac:dyDescent="0.2">
      <c r="A28" s="4" t="s">
        <v>83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269.745</v>
      </c>
      <c r="U28" s="14">
        <f>E43</f>
        <v>0.31435680810526284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74.742999999999995</v>
      </c>
      <c r="U29" s="52">
        <f>D43</f>
        <v>8.7104379722373573E-2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8743</v>
      </c>
      <c r="D31" s="46">
        <v>0</v>
      </c>
      <c r="E31" s="46">
        <v>0</v>
      </c>
      <c r="F31" s="46">
        <v>776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20006</v>
      </c>
      <c r="O31" s="46">
        <v>29525</v>
      </c>
      <c r="P31" s="16">
        <f>O31/O$39</f>
        <v>3.3717193541829879E-2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5898</v>
      </c>
      <c r="C32" s="46">
        <v>1692</v>
      </c>
      <c r="D32" s="60">
        <f>O32-N32-G32-E32-B32-C32</f>
        <v>74743</v>
      </c>
      <c r="E32" s="85">
        <v>268678</v>
      </c>
      <c r="F32" s="46">
        <v>0</v>
      </c>
      <c r="G32" s="60">
        <v>1</v>
      </c>
      <c r="H32" s="46">
        <v>0</v>
      </c>
      <c r="I32" s="46"/>
      <c r="J32" s="46"/>
      <c r="K32" s="46"/>
      <c r="L32" s="46"/>
      <c r="M32" s="45"/>
      <c r="N32" s="46">
        <v>90228</v>
      </c>
      <c r="O32" s="46">
        <v>441240</v>
      </c>
      <c r="P32" s="16">
        <f>O32/O$39</f>
        <v>0.50389075286696072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8565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19697</v>
      </c>
      <c r="O33" s="46">
        <v>28262</v>
      </c>
      <c r="P33" s="16">
        <f>O33/O$39</f>
        <v>3.2274862790150585E-2</v>
      </c>
      <c r="Q33" s="17" t="s">
        <v>39</v>
      </c>
      <c r="R33" s="67"/>
      <c r="S33" s="3" t="s">
        <v>35</v>
      </c>
      <c r="T33" s="13">
        <f>C42/1000</f>
        <v>132.16499999999999</v>
      </c>
      <c r="U33" s="15">
        <f>C43</f>
        <v>0.15402312385116337</v>
      </c>
      <c r="W33" s="43"/>
      <c r="X33" s="60"/>
    </row>
    <row r="34" spans="1:48" ht="16" x14ac:dyDescent="0.2">
      <c r="A34" s="8" t="s">
        <v>40</v>
      </c>
      <c r="B34" s="46">
        <v>0</v>
      </c>
      <c r="C34" s="46">
        <v>118413</v>
      </c>
      <c r="D34" s="46">
        <v>0</v>
      </c>
      <c r="E34" s="46">
        <v>0</v>
      </c>
      <c r="F34" s="46">
        <v>8364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15</v>
      </c>
      <c r="O34" s="46">
        <v>126792</v>
      </c>
      <c r="P34" s="16">
        <f>O34/O$39</f>
        <v>0.14479493322796591</v>
      </c>
      <c r="Q34" s="17" t="s">
        <v>41</v>
      </c>
      <c r="R34" s="67"/>
      <c r="S34" s="3"/>
      <c r="T34" s="13">
        <f>SUM(T24:T33)</f>
        <v>858.08543999999983</v>
      </c>
      <c r="U34" s="14">
        <f>SUM(U24:U33)</f>
        <v>1.0000000000000002</v>
      </c>
    </row>
    <row r="35" spans="1:48" ht="16" x14ac:dyDescent="0.2">
      <c r="A35" s="8" t="s">
        <v>42</v>
      </c>
      <c r="B35" s="46">
        <v>4332</v>
      </c>
      <c r="C35" s="46">
        <v>1661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40953</v>
      </c>
      <c r="O35" s="46">
        <v>46946</v>
      </c>
      <c r="P35" s="16">
        <f>O35/O$39</f>
        <v>5.3611765216418132E-2</v>
      </c>
      <c r="Q35" s="17" t="s">
        <v>43</v>
      </c>
      <c r="R35" s="67"/>
    </row>
    <row r="36" spans="1:48" ht="16" x14ac:dyDescent="0.2">
      <c r="A36" s="8" t="s">
        <v>44</v>
      </c>
      <c r="B36" s="46">
        <v>1372</v>
      </c>
      <c r="C36" s="60">
        <f>O36-N36-G36-B36</f>
        <v>1143</v>
      </c>
      <c r="D36" s="46">
        <v>0</v>
      </c>
      <c r="E36" s="46">
        <v>0</v>
      </c>
      <c r="F36" s="46">
        <v>0</v>
      </c>
      <c r="G36" s="60">
        <v>21650</v>
      </c>
      <c r="H36" s="46">
        <v>0</v>
      </c>
      <c r="I36" s="46"/>
      <c r="J36" s="46"/>
      <c r="K36" s="46"/>
      <c r="L36" s="46"/>
      <c r="M36" s="45"/>
      <c r="N36" s="46">
        <v>131034</v>
      </c>
      <c r="O36" s="46">
        <v>155199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29528</v>
      </c>
      <c r="C37" s="46">
        <v>513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6902</v>
      </c>
      <c r="O37" s="46">
        <v>36943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10758</v>
      </c>
      <c r="O38" s="46">
        <v>10758</v>
      </c>
      <c r="P38" s="17">
        <f>SUM(P31:P35)</f>
        <v>0.76828950764332515</v>
      </c>
      <c r="Q38" s="17"/>
      <c r="R38" s="67"/>
      <c r="S38" s="7" t="s">
        <v>47</v>
      </c>
      <c r="T38" s="19">
        <f>O45/1000</f>
        <v>33.071440000000003</v>
      </c>
      <c r="U38" s="7"/>
    </row>
    <row r="39" spans="1:48" ht="16" x14ac:dyDescent="0.2">
      <c r="A39" s="8" t="s">
        <v>16</v>
      </c>
      <c r="B39" s="46">
        <v>49695</v>
      </c>
      <c r="C39" s="60">
        <f>SUM(C31:C38)</f>
        <v>132165</v>
      </c>
      <c r="D39" s="60">
        <f>SUM(D31:D38)</f>
        <v>74743</v>
      </c>
      <c r="E39" s="85">
        <f>SUM(E31:E38)</f>
        <v>268678</v>
      </c>
      <c r="F39" s="46">
        <v>9140</v>
      </c>
      <c r="G39" s="60">
        <f>SUM(G31:G38)</f>
        <v>21651</v>
      </c>
      <c r="H39" s="46">
        <v>0</v>
      </c>
      <c r="I39" s="46"/>
      <c r="J39" s="46"/>
      <c r="K39" s="46"/>
      <c r="L39" s="46"/>
      <c r="M39" s="45"/>
      <c r="N39" s="46">
        <v>319593</v>
      </c>
      <c r="O39" s="46">
        <v>875666</v>
      </c>
      <c r="P39" s="3"/>
      <c r="Q39" s="3"/>
      <c r="R39" s="67"/>
      <c r="S39" s="7" t="s">
        <v>48</v>
      </c>
      <c r="T39" s="20">
        <f>O41/1000</f>
        <v>202.9</v>
      </c>
      <c r="U39" s="14">
        <f>P41</f>
        <v>0.2317093503687479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46.945999999999998</v>
      </c>
      <c r="U40" s="15">
        <f>P35</f>
        <v>5.3611765216418132E-2</v>
      </c>
    </row>
    <row r="41" spans="1:48" ht="16" x14ac:dyDescent="0.2">
      <c r="A41" s="21" t="s">
        <v>50</v>
      </c>
      <c r="B41" s="22">
        <f>B38+B37+B36</f>
        <v>30900</v>
      </c>
      <c r="C41" s="22">
        <f t="shared" ref="C41:O41" si="0">C38+C37+C36</f>
        <v>1656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21650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148694</v>
      </c>
      <c r="O41" s="22">
        <f t="shared" si="0"/>
        <v>202900</v>
      </c>
      <c r="P41" s="16">
        <f>O41/O$39</f>
        <v>0.2317093503687479</v>
      </c>
      <c r="Q41" s="16" t="s">
        <v>51</v>
      </c>
      <c r="R41" s="7"/>
      <c r="S41" s="7" t="s">
        <v>52</v>
      </c>
      <c r="T41" s="20">
        <f>O33/1000</f>
        <v>28.262</v>
      </c>
      <c r="U41" s="14">
        <f>P33</f>
        <v>3.2274862790150585E-2</v>
      </c>
    </row>
    <row r="42" spans="1:48" ht="16" x14ac:dyDescent="0.2">
      <c r="A42" s="23" t="s">
        <v>53</v>
      </c>
      <c r="B42" s="22"/>
      <c r="C42" s="24">
        <f>C39+C23+C10</f>
        <v>132165</v>
      </c>
      <c r="D42" s="24">
        <f t="shared" ref="D42:M42" si="1">D39+D23+D10</f>
        <v>74743</v>
      </c>
      <c r="E42" s="24">
        <f t="shared" si="1"/>
        <v>269745</v>
      </c>
      <c r="F42" s="24">
        <f t="shared" si="1"/>
        <v>14621</v>
      </c>
      <c r="G42" s="24">
        <f t="shared" si="1"/>
        <v>21651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345160.44</v>
      </c>
      <c r="O42" s="25">
        <f>SUM(C42:N42)</f>
        <v>858085.44</v>
      </c>
      <c r="P42" s="7"/>
      <c r="Q42" s="7"/>
      <c r="R42" s="7"/>
      <c r="S42" s="7" t="s">
        <v>34</v>
      </c>
      <c r="T42" s="20">
        <f>O31/1000</f>
        <v>29.524999999999999</v>
      </c>
      <c r="U42" s="14">
        <f>P31</f>
        <v>3.3717193541829879E-2</v>
      </c>
    </row>
    <row r="43" spans="1:48" ht="16" x14ac:dyDescent="0.2">
      <c r="A43" s="23" t="s">
        <v>54</v>
      </c>
      <c r="B43" s="22"/>
      <c r="C43" s="16">
        <f t="shared" ref="C43:N43" si="2">C42/$O42</f>
        <v>0.15402312385116337</v>
      </c>
      <c r="D43" s="16">
        <f t="shared" si="2"/>
        <v>8.7104379722373573E-2</v>
      </c>
      <c r="E43" s="16">
        <f t="shared" si="2"/>
        <v>0.31435680810526284</v>
      </c>
      <c r="F43" s="16">
        <f t="shared" si="2"/>
        <v>1.7039095780485451E-2</v>
      </c>
      <c r="G43" s="16">
        <f t="shared" si="2"/>
        <v>2.5231753145700739E-2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0.4022448393950141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441.24</v>
      </c>
      <c r="U43" s="15">
        <f>P32</f>
        <v>0.50389075286696072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126.792</v>
      </c>
      <c r="U44" s="15">
        <f>P34</f>
        <v>0.14479493322796591</v>
      </c>
    </row>
    <row r="45" spans="1:48" ht="16" x14ac:dyDescent="0.2">
      <c r="A45" s="6" t="s">
        <v>57</v>
      </c>
      <c r="B45" s="26">
        <f>B23-B39</f>
        <v>7504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25567.440000000002</v>
      </c>
      <c r="O45" s="25">
        <f>B45+N45</f>
        <v>33071.440000000002</v>
      </c>
      <c r="P45" s="7"/>
      <c r="Q45" s="7"/>
      <c r="R45" s="7"/>
      <c r="S45" s="7" t="s">
        <v>58</v>
      </c>
      <c r="T45" s="20">
        <f>SUM(T39:T44)</f>
        <v>875.66500000000008</v>
      </c>
      <c r="U45" s="14">
        <f>SUM(U39:U44)</f>
        <v>0.99999885801207311</v>
      </c>
    </row>
    <row r="46" spans="1:48" ht="16" x14ac:dyDescent="0.2">
      <c r="A46" s="9" t="s">
        <v>91</v>
      </c>
      <c r="B46" s="70">
        <f>B45/B23</f>
        <v>0.13119110473959336</v>
      </c>
      <c r="C46" s="6"/>
      <c r="D46" s="6"/>
      <c r="E46" s="6"/>
      <c r="F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8"/>
      <c r="F48" s="28"/>
      <c r="G48" s="27"/>
      <c r="H48" s="50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8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8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V70"/>
  <sheetViews>
    <sheetView topLeftCell="A2" workbookViewId="0">
      <selection activeCell="L43" sqref="L43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2" width="9" style="91" customWidth="1"/>
    <col min="13" max="13" width="5.6640625" style="2" customWidth="1"/>
    <col min="14" max="14" width="8.6640625" style="2"/>
    <col min="15" max="15" width="9.6640625" style="2" customWidth="1"/>
    <col min="16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84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92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394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61">
        <v>181590</v>
      </c>
      <c r="C6" s="46">
        <v>0</v>
      </c>
      <c r="D6" s="61">
        <v>0</v>
      </c>
      <c r="E6" s="61">
        <v>0</v>
      </c>
      <c r="F6" s="46">
        <v>0</v>
      </c>
      <c r="G6" s="61">
        <v>0</v>
      </c>
      <c r="H6" s="46">
        <v>0</v>
      </c>
      <c r="I6" s="46"/>
      <c r="J6" s="46"/>
      <c r="K6" s="46"/>
      <c r="L6" s="84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84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84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158811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84"/>
      <c r="M9" s="46"/>
      <c r="N9" s="46"/>
      <c r="O9" s="46">
        <v>0</v>
      </c>
      <c r="P9" s="46"/>
      <c r="Q9" s="45"/>
      <c r="R9" s="45"/>
      <c r="S9" s="8"/>
      <c r="T9" s="51"/>
      <c r="U9" s="51"/>
      <c r="V9" s="46"/>
      <c r="W9" s="46"/>
      <c r="X9" s="46"/>
      <c r="Y9" s="51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340795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84"/>
      <c r="M10" s="46"/>
      <c r="N10" s="46"/>
      <c r="O10" s="46">
        <v>0</v>
      </c>
      <c r="P10" s="46"/>
      <c r="Q10" s="45"/>
      <c r="R10" s="45"/>
      <c r="S10" s="8"/>
      <c r="T10" s="51"/>
      <c r="U10" s="51"/>
      <c r="V10" s="46"/>
      <c r="W10" s="46"/>
      <c r="X10" s="46"/>
      <c r="Y10" s="51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84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92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61">
        <v>601091</v>
      </c>
      <c r="C17" s="61">
        <v>0</v>
      </c>
      <c r="D17" s="61">
        <v>0</v>
      </c>
      <c r="E17" s="61">
        <v>1561</v>
      </c>
      <c r="F17" s="61">
        <v>1386</v>
      </c>
      <c r="G17" s="62">
        <f>631774-J17-L17</f>
        <v>366429</v>
      </c>
      <c r="H17" s="61">
        <v>4937</v>
      </c>
      <c r="I17" s="46"/>
      <c r="J17" s="61">
        <v>69495</v>
      </c>
      <c r="K17" s="46"/>
      <c r="L17" s="61">
        <v>195850</v>
      </c>
      <c r="M17" s="46"/>
      <c r="N17" s="61">
        <v>3916</v>
      </c>
      <c r="O17" s="83">
        <f>SUM(C17:N17)</f>
        <v>643574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0</v>
      </c>
      <c r="C18" s="51">
        <v>0</v>
      </c>
      <c r="D18" s="46">
        <v>0</v>
      </c>
      <c r="E18" s="46">
        <v>0</v>
      </c>
      <c r="F18" s="46">
        <v>0</v>
      </c>
      <c r="G18" s="2">
        <v>0</v>
      </c>
      <c r="H18" s="46">
        <v>0</v>
      </c>
      <c r="I18" s="46"/>
      <c r="J18" s="46"/>
      <c r="K18" s="46"/>
      <c r="L18" s="61"/>
      <c r="M18" s="46"/>
      <c r="N18" s="46"/>
      <c r="O18" s="83">
        <f t="shared" ref="O18:O22" si="0">SUM(C18:N18)</f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61"/>
      <c r="M19" s="46"/>
      <c r="N19" s="46"/>
      <c r="O19" s="82">
        <f t="shared" si="0"/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61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61"/>
      <c r="M20" s="46"/>
      <c r="N20" s="46"/>
      <c r="O20" s="82">
        <f t="shared" si="0"/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61"/>
      <c r="M21" s="46"/>
      <c r="N21" s="46"/>
      <c r="O21" s="82">
        <f t="shared" si="0"/>
        <v>0</v>
      </c>
      <c r="P21" s="3"/>
      <c r="Q21" s="3"/>
      <c r="R21" s="3"/>
      <c r="S21" s="3" t="s">
        <v>26</v>
      </c>
      <c r="T21" s="12">
        <f>O42/1000</f>
        <v>1580.2437600000001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61"/>
      <c r="M22" s="46"/>
      <c r="N22" s="46"/>
      <c r="O22" s="82">
        <f t="shared" si="0"/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2">
        <f>B17+B18</f>
        <v>601091</v>
      </c>
      <c r="C23" s="62">
        <v>0</v>
      </c>
      <c r="D23" s="61">
        <v>0</v>
      </c>
      <c r="E23" s="61">
        <f>E17</f>
        <v>1561</v>
      </c>
      <c r="F23" s="61">
        <f>F17</f>
        <v>1386</v>
      </c>
      <c r="G23" s="62">
        <f>G17</f>
        <v>366429</v>
      </c>
      <c r="H23" s="61">
        <f>H17</f>
        <v>4937</v>
      </c>
      <c r="I23" s="46"/>
      <c r="J23" s="61">
        <f>J17</f>
        <v>69495</v>
      </c>
      <c r="K23" s="46"/>
      <c r="L23" s="61">
        <f>L17</f>
        <v>195850</v>
      </c>
      <c r="M23" s="46"/>
      <c r="N23" s="61">
        <v>3916</v>
      </c>
      <c r="O23" s="62">
        <f>O17+O18</f>
        <v>643574</v>
      </c>
      <c r="P23" s="67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63"/>
      <c r="K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179.85676000000001</v>
      </c>
      <c r="U24" s="14">
        <f>N43</f>
        <v>0.11381583307122188</v>
      </c>
    </row>
    <row r="25" spans="1:21" ht="16" x14ac:dyDescent="0.2">
      <c r="B25" s="61"/>
      <c r="C25" s="10"/>
      <c r="D25" s="10"/>
      <c r="E25" s="10"/>
      <c r="F25" s="10"/>
      <c r="G25" s="72"/>
      <c r="H25" s="10"/>
      <c r="I25" s="10"/>
      <c r="J25" s="10"/>
      <c r="K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400.738</v>
      </c>
      <c r="U25" s="15">
        <f>G43</f>
        <v>0.25359252170057611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69.495000000000005</v>
      </c>
      <c r="U26" s="14">
        <f>J43</f>
        <v>4.3977392449883808E-2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18.956</v>
      </c>
      <c r="U27" s="14">
        <f>F43</f>
        <v>1.199561768875455E-2</v>
      </c>
    </row>
    <row r="28" spans="1:21" ht="16" x14ac:dyDescent="0.2">
      <c r="A28" s="4" t="s">
        <v>84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440.25599999999997</v>
      </c>
      <c r="U28" s="14">
        <f>E43</f>
        <v>0.27860005598123672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92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22.9</v>
      </c>
      <c r="U29" s="52">
        <f>D43</f>
        <v>1.449143516947031E-2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M30" s="10"/>
      <c r="N30" s="10"/>
      <c r="O30" s="10"/>
      <c r="P30" s="3"/>
      <c r="Q30" s="3"/>
      <c r="R30" s="3"/>
      <c r="S30" s="2" t="s">
        <v>97</v>
      </c>
      <c r="T30" s="2">
        <f>L42/1000</f>
        <v>195.85</v>
      </c>
      <c r="U30" s="52">
        <f>L43</f>
        <v>0.1239365754559284</v>
      </c>
    </row>
    <row r="31" spans="1:21" ht="16" x14ac:dyDescent="0.2">
      <c r="A31" s="8" t="s">
        <v>33</v>
      </c>
      <c r="B31" s="46">
        <v>0</v>
      </c>
      <c r="C31" s="46">
        <v>19471</v>
      </c>
      <c r="D31" s="46">
        <v>0</v>
      </c>
      <c r="E31" s="46">
        <v>0</v>
      </c>
      <c r="F31" s="46">
        <v>1876</v>
      </c>
      <c r="G31" s="46">
        <v>0</v>
      </c>
      <c r="H31" s="46">
        <v>0</v>
      </c>
      <c r="I31" s="46"/>
      <c r="J31" s="46"/>
      <c r="K31" s="46"/>
      <c r="L31" s="84"/>
      <c r="M31" s="45"/>
      <c r="N31" s="46">
        <v>26115</v>
      </c>
      <c r="O31" s="46">
        <v>47461</v>
      </c>
      <c r="P31" s="16">
        <f>O31/O$39</f>
        <v>4.008205415777099E-2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61">
        <v>6805</v>
      </c>
      <c r="C32" s="89">
        <f>2325-170</f>
        <v>2155</v>
      </c>
      <c r="D32" s="86">
        <v>22900</v>
      </c>
      <c r="E32" s="85">
        <v>438695</v>
      </c>
      <c r="F32" s="46">
        <v>0</v>
      </c>
      <c r="G32" s="46">
        <v>32</v>
      </c>
      <c r="H32" s="86">
        <v>15081</v>
      </c>
      <c r="I32" s="46"/>
      <c r="J32" s="46"/>
      <c r="K32" s="46"/>
      <c r="L32" s="84"/>
      <c r="M32" s="45"/>
      <c r="N32" s="46">
        <v>86272</v>
      </c>
      <c r="O32" s="90">
        <f>SUM(B32:N32)</f>
        <v>571940</v>
      </c>
      <c r="P32" s="16">
        <f>O32/O$39</f>
        <v>0.4830182687890171</v>
      </c>
      <c r="Q32" s="17" t="s">
        <v>37</v>
      </c>
      <c r="R32" s="67"/>
      <c r="S32" s="3" t="s">
        <v>6</v>
      </c>
      <c r="T32" s="13">
        <f>H42/1000</f>
        <v>20.018000000000001</v>
      </c>
      <c r="U32" s="14">
        <f>H43</f>
        <v>1.2667665904910771E-2</v>
      </c>
    </row>
    <row r="33" spans="1:48" ht="16" x14ac:dyDescent="0.2">
      <c r="A33" s="8" t="s">
        <v>38</v>
      </c>
      <c r="B33" s="62">
        <v>33881</v>
      </c>
      <c r="C33" s="46">
        <v>90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84"/>
      <c r="M33" s="45"/>
      <c r="N33" s="60">
        <v>40652</v>
      </c>
      <c r="O33" s="46">
        <f>SUM(B33:N33)</f>
        <v>74623</v>
      </c>
      <c r="P33" s="16">
        <f>O33/O$39</f>
        <v>6.3021072615733864E-2</v>
      </c>
      <c r="Q33" s="17" t="s">
        <v>39</v>
      </c>
      <c r="R33" s="67"/>
      <c r="S33" s="3" t="s">
        <v>35</v>
      </c>
      <c r="T33" s="13">
        <f>C42/1000</f>
        <v>232.17400000000001</v>
      </c>
      <c r="U33" s="15">
        <f>C43</f>
        <v>0.14692290257801746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209695</v>
      </c>
      <c r="D34" s="46">
        <v>0</v>
      </c>
      <c r="E34" s="46">
        <v>0</v>
      </c>
      <c r="F34" s="46">
        <v>15694</v>
      </c>
      <c r="G34" s="46">
        <v>0</v>
      </c>
      <c r="H34" s="46">
        <v>0</v>
      </c>
      <c r="I34" s="46"/>
      <c r="J34" s="46"/>
      <c r="K34" s="46"/>
      <c r="L34" s="84"/>
      <c r="M34" s="45"/>
      <c r="N34" s="46">
        <v>702</v>
      </c>
      <c r="O34" s="46">
        <v>226090</v>
      </c>
      <c r="P34" s="16">
        <f>O34/O$39</f>
        <v>0.19093891035861957</v>
      </c>
      <c r="Q34" s="17" t="s">
        <v>41</v>
      </c>
      <c r="R34" s="67"/>
      <c r="S34" s="3"/>
      <c r="T34" s="13">
        <f>SUM(T24:T33)</f>
        <v>1580.2437599999998</v>
      </c>
      <c r="U34" s="14">
        <f>SUM(U24:U33)</f>
        <v>0.99999999999999989</v>
      </c>
    </row>
    <row r="35" spans="1:48" ht="16" x14ac:dyDescent="0.2">
      <c r="A35" s="8" t="s">
        <v>42</v>
      </c>
      <c r="B35" s="61">
        <v>1804</v>
      </c>
      <c r="C35" s="60">
        <f>C39-C36-C34-C33-C32-C31</f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84"/>
      <c r="M35" s="45"/>
      <c r="N35" s="60">
        <f>O35-B35</f>
        <v>64403</v>
      </c>
      <c r="O35" s="61">
        <f>107706-41499</f>
        <v>66207</v>
      </c>
      <c r="P35" s="16">
        <f>O35/O$39</f>
        <v>5.5913540793989677E-2</v>
      </c>
      <c r="Q35" s="17" t="s">
        <v>43</v>
      </c>
      <c r="R35" s="67"/>
    </row>
    <row r="36" spans="1:48" ht="16" x14ac:dyDescent="0.2">
      <c r="A36" s="8" t="s">
        <v>44</v>
      </c>
      <c r="B36" s="61">
        <v>24572</v>
      </c>
      <c r="C36" s="46">
        <v>763</v>
      </c>
      <c r="D36" s="46">
        <v>0</v>
      </c>
      <c r="E36" s="46">
        <v>0</v>
      </c>
      <c r="F36" s="46">
        <v>0</v>
      </c>
      <c r="G36" s="46">
        <v>34277</v>
      </c>
      <c r="H36" s="46">
        <v>0</v>
      </c>
      <c r="I36" s="46"/>
      <c r="J36" s="46"/>
      <c r="K36" s="46"/>
      <c r="L36" s="84"/>
      <c r="M36" s="45"/>
      <c r="N36" s="46">
        <v>98539</v>
      </c>
      <c r="O36" s="61">
        <f>SUM(B36:N36)</f>
        <v>158151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2">
        <v>25260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84"/>
      <c r="M37" s="45"/>
      <c r="N37" s="60">
        <v>12656</v>
      </c>
      <c r="O37" s="61">
        <f>SUM(B37:N37)</f>
        <v>37916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84"/>
      <c r="M38" s="45"/>
      <c r="N38" s="46">
        <v>1708</v>
      </c>
      <c r="O38" s="46">
        <v>1708</v>
      </c>
      <c r="P38" s="17">
        <f>SUM(P31:P35)</f>
        <v>0.83297384671513119</v>
      </c>
      <c r="Q38" s="17"/>
      <c r="R38" s="67"/>
      <c r="S38" s="7" t="s">
        <v>47</v>
      </c>
      <c r="T38" s="19">
        <f>O45/1000</f>
        <v>72.951760000000007</v>
      </c>
      <c r="U38" s="7"/>
    </row>
    <row r="39" spans="1:48" ht="16" x14ac:dyDescent="0.2">
      <c r="A39" s="8" t="s">
        <v>16</v>
      </c>
      <c r="B39" s="62">
        <f>SUM(B31:B38)</f>
        <v>92322</v>
      </c>
      <c r="C39" s="46">
        <v>232174</v>
      </c>
      <c r="D39" s="86">
        <f>SUM(D31:D38)</f>
        <v>22900</v>
      </c>
      <c r="E39" s="51">
        <f>SUM(E31:E38)</f>
        <v>438695</v>
      </c>
      <c r="F39" s="46">
        <v>17570</v>
      </c>
      <c r="G39" s="46">
        <v>34309</v>
      </c>
      <c r="H39" s="86">
        <f>SUM(H31:H38)</f>
        <v>15081</v>
      </c>
      <c r="I39" s="46"/>
      <c r="J39" s="46"/>
      <c r="K39" s="46"/>
      <c r="L39" s="84"/>
      <c r="M39" s="45"/>
      <c r="N39" s="75">
        <f>331047</f>
        <v>331047</v>
      </c>
      <c r="O39" s="102">
        <f>SUM(O31:O38)</f>
        <v>1184096</v>
      </c>
      <c r="P39" s="3"/>
      <c r="Q39" s="3"/>
      <c r="R39" s="67"/>
      <c r="S39" s="7" t="s">
        <v>48</v>
      </c>
      <c r="T39" s="20">
        <f>O41/1000</f>
        <v>197.77500000000001</v>
      </c>
      <c r="U39" s="14">
        <f>P41</f>
        <v>0.16702615328486881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66.206999999999994</v>
      </c>
      <c r="U40" s="15">
        <f>P35</f>
        <v>5.5913540793989677E-2</v>
      </c>
    </row>
    <row r="41" spans="1:48" ht="16" x14ac:dyDescent="0.2">
      <c r="A41" s="21" t="s">
        <v>50</v>
      </c>
      <c r="B41" s="22">
        <f>B38+B37+B36</f>
        <v>49832</v>
      </c>
      <c r="C41" s="22">
        <f t="shared" ref="C41:O41" si="1">C38+C37+C36</f>
        <v>763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34277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93">
        <f t="shared" si="1"/>
        <v>0</v>
      </c>
      <c r="M41" s="22">
        <f t="shared" si="1"/>
        <v>0</v>
      </c>
      <c r="N41" s="22">
        <f t="shared" si="1"/>
        <v>112903</v>
      </c>
      <c r="O41" s="22">
        <f t="shared" si="1"/>
        <v>197775</v>
      </c>
      <c r="P41" s="16">
        <f>O41/O$39</f>
        <v>0.16702615328486881</v>
      </c>
      <c r="Q41" s="16" t="s">
        <v>51</v>
      </c>
      <c r="R41" s="7"/>
      <c r="S41" s="7" t="s">
        <v>52</v>
      </c>
      <c r="T41" s="20">
        <f>O33/1000</f>
        <v>74.623000000000005</v>
      </c>
      <c r="U41" s="14">
        <f>P33</f>
        <v>6.3021072615733864E-2</v>
      </c>
    </row>
    <row r="42" spans="1:48" ht="16" x14ac:dyDescent="0.2">
      <c r="A42" s="23" t="s">
        <v>53</v>
      </c>
      <c r="B42" s="22"/>
      <c r="C42" s="24">
        <f>C39+C23+C10</f>
        <v>232174</v>
      </c>
      <c r="D42" s="24">
        <f t="shared" ref="D42:M42" si="2">D39+D23+D10</f>
        <v>22900</v>
      </c>
      <c r="E42" s="24">
        <f t="shared" si="2"/>
        <v>440256</v>
      </c>
      <c r="F42" s="24">
        <f t="shared" si="2"/>
        <v>18956</v>
      </c>
      <c r="G42" s="24">
        <f t="shared" si="2"/>
        <v>400738</v>
      </c>
      <c r="H42" s="24">
        <f t="shared" si="2"/>
        <v>20018</v>
      </c>
      <c r="I42" s="24">
        <f t="shared" si="2"/>
        <v>0</v>
      </c>
      <c r="J42" s="24">
        <f t="shared" si="2"/>
        <v>69495</v>
      </c>
      <c r="K42" s="24">
        <f t="shared" si="2"/>
        <v>0</v>
      </c>
      <c r="L42" s="94">
        <f t="shared" si="2"/>
        <v>195850</v>
      </c>
      <c r="M42" s="24">
        <f t="shared" si="2"/>
        <v>0</v>
      </c>
      <c r="N42" s="24">
        <f>N39+N23-B6+N45</f>
        <v>179856.76</v>
      </c>
      <c r="O42" s="25">
        <f>SUM(C42:N42)</f>
        <v>1580243.76</v>
      </c>
      <c r="P42" s="7"/>
      <c r="Q42" s="7"/>
      <c r="R42" s="7"/>
      <c r="S42" s="7" t="s">
        <v>34</v>
      </c>
      <c r="T42" s="20">
        <f>O31/1000</f>
        <v>47.460999999999999</v>
      </c>
      <c r="U42" s="14">
        <f>P31</f>
        <v>4.008205415777099E-2</v>
      </c>
    </row>
    <row r="43" spans="1:48" ht="16" x14ac:dyDescent="0.2">
      <c r="A43" s="23" t="s">
        <v>54</v>
      </c>
      <c r="B43" s="22"/>
      <c r="C43" s="16">
        <f t="shared" ref="C43:N43" si="3">C42/$O42</f>
        <v>0.14692290257801746</v>
      </c>
      <c r="D43" s="16">
        <f t="shared" si="3"/>
        <v>1.449143516947031E-2</v>
      </c>
      <c r="E43" s="16">
        <f t="shared" si="3"/>
        <v>0.27860005598123672</v>
      </c>
      <c r="F43" s="16">
        <f t="shared" si="3"/>
        <v>1.199561768875455E-2</v>
      </c>
      <c r="G43" s="16">
        <f t="shared" si="3"/>
        <v>0.25359252170057611</v>
      </c>
      <c r="H43" s="16">
        <f t="shared" si="3"/>
        <v>1.2667665904910771E-2</v>
      </c>
      <c r="I43" s="16">
        <f t="shared" si="3"/>
        <v>0</v>
      </c>
      <c r="J43" s="16">
        <f t="shared" si="3"/>
        <v>4.3977392449883808E-2</v>
      </c>
      <c r="K43" s="16">
        <f t="shared" si="3"/>
        <v>0</v>
      </c>
      <c r="L43" s="16">
        <f t="shared" si="3"/>
        <v>0.1239365754559284</v>
      </c>
      <c r="M43" s="16">
        <f t="shared" si="3"/>
        <v>0</v>
      </c>
      <c r="N43" s="16">
        <f t="shared" si="3"/>
        <v>0.11381583307122188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571.94000000000005</v>
      </c>
      <c r="U43" s="15">
        <f>P32</f>
        <v>0.4830182687890171</v>
      </c>
    </row>
    <row r="44" spans="1:48" ht="16" x14ac:dyDescent="0.2">
      <c r="A44" s="6" t="s">
        <v>93</v>
      </c>
      <c r="B44" s="61">
        <v>462301</v>
      </c>
      <c r="C44" s="6"/>
      <c r="D44" s="6"/>
      <c r="E44" s="6"/>
      <c r="F44" s="6"/>
      <c r="G44" s="6"/>
      <c r="H44" s="6"/>
      <c r="I44" s="6"/>
      <c r="J44" s="6"/>
      <c r="K44" s="6"/>
      <c r="L44" s="92"/>
      <c r="M44" s="6"/>
      <c r="N44" s="6"/>
      <c r="O44" s="6"/>
      <c r="P44" s="7"/>
      <c r="Q44" s="7"/>
      <c r="R44" s="7"/>
      <c r="S44" s="7" t="s">
        <v>56</v>
      </c>
      <c r="T44" s="20">
        <f>O34/1000</f>
        <v>226.09</v>
      </c>
      <c r="U44" s="15">
        <f>P34</f>
        <v>0.19093891035861957</v>
      </c>
    </row>
    <row r="45" spans="1:48" ht="16" x14ac:dyDescent="0.2">
      <c r="A45" s="6" t="s">
        <v>57</v>
      </c>
      <c r="B45" s="26">
        <f>B23-B39-B44</f>
        <v>46468</v>
      </c>
      <c r="C45" s="6"/>
      <c r="D45" s="6"/>
      <c r="E45" s="6"/>
      <c r="F45" s="6"/>
      <c r="G45" s="6"/>
      <c r="H45" s="6"/>
      <c r="I45" s="6"/>
      <c r="J45" s="6"/>
      <c r="K45" s="6"/>
      <c r="L45" s="92"/>
      <c r="M45" s="6"/>
      <c r="N45" s="26">
        <f>N39*0.08</f>
        <v>26483.760000000002</v>
      </c>
      <c r="O45" s="25">
        <f>B45+N45</f>
        <v>72951.760000000009</v>
      </c>
      <c r="P45" s="7"/>
      <c r="Q45" s="6"/>
      <c r="R45" s="7"/>
      <c r="S45" s="7" t="s">
        <v>58</v>
      </c>
      <c r="T45" s="20">
        <f>SUM(T39:T44)</f>
        <v>1184.096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7.7306098411055901E-2</v>
      </c>
      <c r="C46" s="6"/>
      <c r="D46" s="6"/>
      <c r="E46" s="6"/>
      <c r="F46" s="6"/>
      <c r="G46" s="6"/>
      <c r="H46" s="6"/>
      <c r="I46" s="6"/>
      <c r="J46" s="6"/>
      <c r="K46" s="6"/>
      <c r="L46" s="92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9"/>
      <c r="K47" s="27"/>
      <c r="L47" s="95"/>
      <c r="M47" s="27"/>
      <c r="N47" s="9"/>
      <c r="O47" s="9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18"/>
      <c r="E48" s="28"/>
      <c r="F48" s="28"/>
      <c r="G48" s="27"/>
      <c r="H48" s="28"/>
      <c r="I48" s="28"/>
      <c r="J48" s="18"/>
      <c r="K48" s="28"/>
      <c r="L48" s="96"/>
      <c r="M48" s="28"/>
      <c r="N48" s="9"/>
      <c r="O48" s="9"/>
      <c r="P48" s="27"/>
      <c r="Q48" s="27"/>
      <c r="R48" s="27"/>
      <c r="S48" s="4"/>
      <c r="T48" s="28"/>
      <c r="U48" s="28"/>
      <c r="V48" s="27"/>
      <c r="W48" s="27"/>
      <c r="X48" s="27"/>
      <c r="Y48" s="28"/>
      <c r="Z48" s="27"/>
      <c r="AA48" s="27"/>
      <c r="AB48" s="27"/>
      <c r="AC48" s="27"/>
      <c r="AD48" s="27"/>
      <c r="AE48" s="27"/>
      <c r="AF48" s="28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8"/>
      <c r="D49" s="27"/>
      <c r="E49" s="27"/>
      <c r="F49" s="27"/>
      <c r="G49" s="27"/>
      <c r="H49" s="27"/>
      <c r="I49" s="27"/>
      <c r="J49" s="9"/>
      <c r="K49" s="27"/>
      <c r="L49" s="95"/>
      <c r="M49" s="27"/>
      <c r="N49" s="9"/>
      <c r="O49" s="27"/>
      <c r="P49" s="28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8"/>
      <c r="H50" s="27"/>
      <c r="I50" s="27"/>
      <c r="J50" s="27"/>
      <c r="K50" s="27"/>
      <c r="L50" s="9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95"/>
      <c r="M51" s="27"/>
      <c r="N51" s="9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95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8"/>
      <c r="D53" s="27"/>
      <c r="E53" s="27"/>
      <c r="F53" s="27"/>
      <c r="G53" s="27"/>
      <c r="H53" s="27"/>
      <c r="I53" s="27"/>
      <c r="J53" s="27"/>
      <c r="K53" s="27"/>
      <c r="L53" s="95"/>
      <c r="M53" s="27"/>
      <c r="N53" s="9"/>
      <c r="O53" s="27"/>
      <c r="P53" s="18"/>
      <c r="Q53" s="27"/>
      <c r="R53" s="27"/>
      <c r="S53" s="4"/>
      <c r="T53" s="28"/>
      <c r="U53" s="28"/>
      <c r="V53" s="27"/>
      <c r="W53" s="27"/>
      <c r="X53" s="27"/>
      <c r="Y53" s="28"/>
      <c r="Z53" s="27"/>
      <c r="AA53" s="27"/>
      <c r="AB53" s="27"/>
      <c r="AC53" s="27"/>
      <c r="AD53" s="27"/>
      <c r="AE53" s="27"/>
      <c r="AF53" s="28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95"/>
      <c r="M54" s="27"/>
      <c r="N54" s="27"/>
      <c r="O54" s="27"/>
      <c r="P54" s="27"/>
      <c r="Q54" s="27"/>
      <c r="R54" s="27"/>
      <c r="S54" s="4"/>
      <c r="T54" s="28"/>
      <c r="U54" s="28"/>
      <c r="V54" s="27"/>
      <c r="W54" s="27"/>
      <c r="X54" s="27"/>
      <c r="Y54" s="28"/>
      <c r="Z54" s="27"/>
      <c r="AA54" s="27"/>
      <c r="AB54" s="27"/>
      <c r="AC54" s="27"/>
      <c r="AD54" s="27"/>
      <c r="AE54" s="27"/>
      <c r="AF54" s="28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8"/>
      <c r="F55" s="28"/>
      <c r="G55" s="27"/>
      <c r="H55" s="28"/>
      <c r="I55" s="28"/>
      <c r="J55" s="28"/>
      <c r="K55" s="28"/>
      <c r="L55" s="96"/>
      <c r="M55" s="28"/>
      <c r="N55" s="27"/>
      <c r="O55" s="27"/>
      <c r="P55" s="27"/>
      <c r="Q55" s="27"/>
      <c r="R55" s="27"/>
      <c r="S55" s="4"/>
      <c r="T55" s="28"/>
      <c r="U55" s="28"/>
      <c r="V55" s="27"/>
      <c r="W55" s="27"/>
      <c r="X55" s="27"/>
      <c r="Y55" s="28"/>
      <c r="Z55" s="27"/>
      <c r="AA55" s="27"/>
      <c r="AB55" s="27"/>
      <c r="AC55" s="27"/>
      <c r="AD55" s="27"/>
      <c r="AE55" s="27"/>
      <c r="AF55" s="28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8"/>
      <c r="F56" s="28"/>
      <c r="G56" s="27"/>
      <c r="H56" s="28"/>
      <c r="I56" s="28"/>
      <c r="J56" s="28"/>
      <c r="K56" s="28"/>
      <c r="L56" s="96"/>
      <c r="M56" s="28"/>
      <c r="N56" s="27"/>
      <c r="O56" s="27"/>
      <c r="P56" s="27"/>
      <c r="Q56" s="27"/>
      <c r="R56" s="27"/>
      <c r="S56" s="4"/>
      <c r="T56" s="28"/>
      <c r="U56" s="28"/>
      <c r="V56" s="27"/>
      <c r="W56" s="27"/>
      <c r="X56" s="27"/>
      <c r="Y56" s="28"/>
      <c r="Z56" s="27"/>
      <c r="AA56" s="27"/>
      <c r="AB56" s="27"/>
      <c r="AC56" s="27"/>
      <c r="AD56" s="27"/>
      <c r="AE56" s="27"/>
      <c r="AF56" s="28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92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92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92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92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92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92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92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92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92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92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92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92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92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92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V70"/>
  <sheetViews>
    <sheetView workbookViewId="0">
      <selection activeCell="U34" sqref="U34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9.6640625" style="2" customWidth="1"/>
    <col min="4" max="11" width="8.6640625" style="2"/>
    <col min="12" max="13" width="5.6640625" style="2" customWidth="1"/>
    <col min="14" max="14" width="8.6640625" style="2"/>
    <col min="15" max="15" width="20.5" style="2" bestFit="1" customWidth="1"/>
    <col min="16" max="19" width="8.6640625" style="2"/>
    <col min="20" max="20" width="10.1640625" style="2" bestFit="1" customWidth="1"/>
    <col min="21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1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6">
        <v>448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79045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79493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21094</v>
      </c>
      <c r="C18" s="46">
        <v>448</v>
      </c>
      <c r="D18" s="46">
        <v>0</v>
      </c>
      <c r="E18" s="46">
        <v>0</v>
      </c>
      <c r="F18" s="46">
        <v>0</v>
      </c>
      <c r="G18" s="46">
        <v>23450</v>
      </c>
      <c r="H18" s="46">
        <v>0</v>
      </c>
      <c r="I18" s="46"/>
      <c r="J18" s="46"/>
      <c r="K18" s="46"/>
      <c r="L18" s="46"/>
      <c r="M18" s="46"/>
      <c r="N18" s="46"/>
      <c r="O18" s="46">
        <v>23898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289.53983999999997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21094</v>
      </c>
      <c r="C23" s="46">
        <v>448</v>
      </c>
      <c r="D23" s="46">
        <v>0</v>
      </c>
      <c r="E23" s="46">
        <v>0</v>
      </c>
      <c r="F23" s="46">
        <v>0</v>
      </c>
      <c r="G23" s="46">
        <v>23450</v>
      </c>
      <c r="H23" s="46">
        <v>0</v>
      </c>
      <c r="I23" s="46"/>
      <c r="J23" s="46"/>
      <c r="K23" s="46"/>
      <c r="L23" s="46"/>
      <c r="M23" s="46"/>
      <c r="N23" s="46"/>
      <c r="O23" s="46">
        <v>23898</v>
      </c>
      <c r="P23" s="3"/>
      <c r="Q23" s="3"/>
      <c r="R23" s="3"/>
      <c r="S23" s="3"/>
      <c r="T23" s="3" t="s">
        <v>27</v>
      </c>
      <c r="U23" s="3" t="s">
        <v>28</v>
      </c>
    </row>
    <row r="24" spans="1:21" ht="16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145.66283999999999</v>
      </c>
      <c r="U24" s="14">
        <f>N43</f>
        <v>0.5030839279319903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45.302</v>
      </c>
      <c r="U25" s="15">
        <f>G43</f>
        <v>0.156462060626959</v>
      </c>
    </row>
    <row r="26" spans="1:21" ht="16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5.1859999999999999</v>
      </c>
      <c r="U27" s="14">
        <f>F43</f>
        <v>1.7911179338912394E-2</v>
      </c>
    </row>
    <row r="28" spans="1:21" ht="16" x14ac:dyDescent="0.2">
      <c r="A28" s="4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28.798999999999999</v>
      </c>
      <c r="U28" s="14">
        <f>E43</f>
        <v>9.9464723058491716E-2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13981</v>
      </c>
      <c r="D31" s="46">
        <v>0</v>
      </c>
      <c r="E31" s="46">
        <v>0</v>
      </c>
      <c r="F31" s="46">
        <v>1326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23840</v>
      </c>
      <c r="O31" s="46">
        <v>39146</v>
      </c>
      <c r="P31" s="16">
        <f>O31/O$39</f>
        <v>0.14345342142969697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0</v>
      </c>
      <c r="C32" s="46">
        <v>99</v>
      </c>
      <c r="D32" s="46">
        <v>0</v>
      </c>
      <c r="E32" s="60">
        <f>O32-N32-C32</f>
        <v>28799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27994</v>
      </c>
      <c r="O32" s="60">
        <f>O39-O38-O37-O36-O35-O34-O33-O31</f>
        <v>56892</v>
      </c>
      <c r="P32" s="16">
        <f>O32/O$39</f>
        <v>0.20848495509064324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831</v>
      </c>
      <c r="C33" s="46">
        <v>187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11275</v>
      </c>
      <c r="O33" s="46">
        <v>12294</v>
      </c>
      <c r="P33" s="16">
        <f>O33/O$39</f>
        <v>4.5052275150888846E-2</v>
      </c>
      <c r="Q33" s="17" t="s">
        <v>39</v>
      </c>
      <c r="R33" s="67"/>
      <c r="S33" s="3" t="s">
        <v>35</v>
      </c>
      <c r="T33" s="13">
        <f>C42/1000</f>
        <v>64.59</v>
      </c>
      <c r="U33" s="15">
        <f>C43</f>
        <v>0.22307810904364667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48405</v>
      </c>
      <c r="D34" s="46">
        <v>0</v>
      </c>
      <c r="E34" s="46">
        <v>0</v>
      </c>
      <c r="F34" s="60">
        <v>3860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191</v>
      </c>
      <c r="O34" s="60">
        <f>SUM(B34:N34)</f>
        <v>52456</v>
      </c>
      <c r="P34" s="16">
        <f>O34/O$39</f>
        <v>0.19222890396250408</v>
      </c>
      <c r="Q34" s="17" t="s">
        <v>41</v>
      </c>
      <c r="R34" s="67"/>
      <c r="S34" s="3"/>
      <c r="T34" s="13">
        <f>SUM(T24:T33)</f>
        <v>289.53984000000003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934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14371</v>
      </c>
      <c r="O35" s="46">
        <v>15305</v>
      </c>
      <c r="P35" s="16">
        <f>O35/O$39</f>
        <v>5.6086308051435961E-2</v>
      </c>
      <c r="Q35" s="17" t="s">
        <v>43</v>
      </c>
      <c r="R35" s="67"/>
    </row>
    <row r="36" spans="1:48" ht="16" x14ac:dyDescent="0.2">
      <c r="A36" s="8" t="s">
        <v>44</v>
      </c>
      <c r="B36" s="46">
        <v>1280</v>
      </c>
      <c r="C36" s="46">
        <v>535</v>
      </c>
      <c r="D36" s="46">
        <v>0</v>
      </c>
      <c r="E36" s="46">
        <v>0</v>
      </c>
      <c r="F36" s="46">
        <v>0</v>
      </c>
      <c r="G36" s="46">
        <v>21852</v>
      </c>
      <c r="H36" s="46">
        <v>0</v>
      </c>
      <c r="I36" s="46"/>
      <c r="J36" s="46"/>
      <c r="K36" s="46"/>
      <c r="L36" s="46"/>
      <c r="M36" s="45"/>
      <c r="N36" s="46">
        <v>51065</v>
      </c>
      <c r="O36" s="46">
        <v>74733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15921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3201</v>
      </c>
      <c r="O37" s="46">
        <v>19122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2935</v>
      </c>
      <c r="O38" s="46">
        <v>2935</v>
      </c>
      <c r="P38" s="17">
        <f>SUM(P31:P35)</f>
        <v>0.64530586368516918</v>
      </c>
      <c r="Q38" s="17"/>
      <c r="R38" s="67"/>
      <c r="S38" s="7" t="s">
        <v>47</v>
      </c>
      <c r="T38" s="19">
        <f>O45/1000</f>
        <v>13.851839999999999</v>
      </c>
      <c r="U38" s="7"/>
    </row>
    <row r="39" spans="1:48" ht="16" x14ac:dyDescent="0.2">
      <c r="A39" s="8" t="s">
        <v>16</v>
      </c>
      <c r="B39" s="46">
        <v>18032</v>
      </c>
      <c r="C39" s="46">
        <v>64142</v>
      </c>
      <c r="D39" s="46">
        <v>0</v>
      </c>
      <c r="E39" s="60">
        <f>SUM(E31:E38)</f>
        <v>28799</v>
      </c>
      <c r="F39" s="60">
        <f>SUM(F31:F38)</f>
        <v>5186</v>
      </c>
      <c r="G39" s="46">
        <v>21852</v>
      </c>
      <c r="H39" s="46">
        <v>0</v>
      </c>
      <c r="I39" s="46"/>
      <c r="J39" s="46"/>
      <c r="K39" s="46"/>
      <c r="L39" s="46"/>
      <c r="M39" s="45"/>
      <c r="N39" s="46">
        <v>134873</v>
      </c>
      <c r="O39" s="46">
        <v>272883</v>
      </c>
      <c r="P39" s="3"/>
      <c r="Q39" s="3"/>
      <c r="R39" s="67"/>
      <c r="S39" s="7" t="s">
        <v>48</v>
      </c>
      <c r="T39" s="20">
        <f>O41/1000</f>
        <v>96.79</v>
      </c>
      <c r="U39" s="14">
        <f>P41</f>
        <v>0.35469413631483088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15.305</v>
      </c>
      <c r="U40" s="15">
        <f>P35</f>
        <v>5.6086308051435961E-2</v>
      </c>
    </row>
    <row r="41" spans="1:48" ht="16" x14ac:dyDescent="0.2">
      <c r="A41" s="21" t="s">
        <v>50</v>
      </c>
      <c r="B41" s="22">
        <f>B38+B37+B36</f>
        <v>17201</v>
      </c>
      <c r="C41" s="22">
        <f t="shared" ref="C41:O41" si="0">C38+C37+C36</f>
        <v>535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21852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57201</v>
      </c>
      <c r="O41" s="22">
        <f t="shared" si="0"/>
        <v>96790</v>
      </c>
      <c r="P41" s="16">
        <f>O41/O$39</f>
        <v>0.35469413631483088</v>
      </c>
      <c r="Q41" s="16" t="s">
        <v>51</v>
      </c>
      <c r="R41" s="7"/>
      <c r="S41" s="7" t="s">
        <v>52</v>
      </c>
      <c r="T41" s="20">
        <f>O33/1000</f>
        <v>12.294</v>
      </c>
      <c r="U41" s="14">
        <f>P33</f>
        <v>4.5052275150888846E-2</v>
      </c>
    </row>
    <row r="42" spans="1:48" ht="16" x14ac:dyDescent="0.2">
      <c r="A42" s="23" t="s">
        <v>53</v>
      </c>
      <c r="B42" s="22"/>
      <c r="C42" s="24">
        <f>C39+C23+C10</f>
        <v>64590</v>
      </c>
      <c r="D42" s="24">
        <f t="shared" ref="D42:M42" si="1">D39+D23+D10</f>
        <v>0</v>
      </c>
      <c r="E42" s="24">
        <f t="shared" si="1"/>
        <v>28799</v>
      </c>
      <c r="F42" s="24">
        <f t="shared" si="1"/>
        <v>5186</v>
      </c>
      <c r="G42" s="24">
        <f t="shared" si="1"/>
        <v>45302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145662.84</v>
      </c>
      <c r="O42" s="25">
        <f>SUM(C42:N42)</f>
        <v>289539.83999999997</v>
      </c>
      <c r="P42" s="7"/>
      <c r="Q42" s="7"/>
      <c r="R42" s="7"/>
      <c r="S42" s="7" t="s">
        <v>34</v>
      </c>
      <c r="T42" s="20">
        <f>O31/1000</f>
        <v>39.146000000000001</v>
      </c>
      <c r="U42" s="14">
        <f>P31</f>
        <v>0.14345342142969697</v>
      </c>
    </row>
    <row r="43" spans="1:48" ht="16" x14ac:dyDescent="0.2">
      <c r="A43" s="23" t="s">
        <v>54</v>
      </c>
      <c r="B43" s="22"/>
      <c r="C43" s="16">
        <f t="shared" ref="C43:N43" si="2">C42/$O42</f>
        <v>0.22307810904364667</v>
      </c>
      <c r="D43" s="16">
        <f t="shared" si="2"/>
        <v>0</v>
      </c>
      <c r="E43" s="16">
        <f t="shared" si="2"/>
        <v>9.9464723058491716E-2</v>
      </c>
      <c r="F43" s="16">
        <f t="shared" si="2"/>
        <v>1.7911179338912394E-2</v>
      </c>
      <c r="G43" s="16">
        <f t="shared" si="2"/>
        <v>0.156462060626959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0.5030839279319903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56.892000000000003</v>
      </c>
      <c r="U43" s="15">
        <f>P32</f>
        <v>0.20848495509064324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52.456000000000003</v>
      </c>
      <c r="U44" s="15">
        <f>P34</f>
        <v>0.19222890396250408</v>
      </c>
    </row>
    <row r="45" spans="1:48" ht="16" x14ac:dyDescent="0.2">
      <c r="A45" s="6" t="s">
        <v>57</v>
      </c>
      <c r="B45" s="26">
        <f>B23-B39</f>
        <v>3062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10789.84</v>
      </c>
      <c r="O45" s="25">
        <f>B45+N45</f>
        <v>13851.84</v>
      </c>
      <c r="P45" s="7"/>
      <c r="Q45" s="7"/>
      <c r="R45" s="7"/>
      <c r="S45" s="7" t="s">
        <v>58</v>
      </c>
      <c r="T45" s="20">
        <f>SUM(T39:T44)</f>
        <v>272.88299999999998</v>
      </c>
      <c r="U45" s="14">
        <f>SUM(U39:U44)</f>
        <v>1</v>
      </c>
    </row>
    <row r="46" spans="1:48" ht="16" x14ac:dyDescent="0.2">
      <c r="A46" s="6" t="s">
        <v>91</v>
      </c>
      <c r="B46" s="70">
        <f>B45/B23</f>
        <v>0.14515976106949843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8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V70"/>
  <sheetViews>
    <sheetView workbookViewId="0">
      <selection activeCell="O39" sqref="O39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85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955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66928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67883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107751+20315</f>
        <v>128066</v>
      </c>
      <c r="C18" s="46">
        <v>2597</v>
      </c>
      <c r="D18" s="46">
        <v>0</v>
      </c>
      <c r="E18" s="46">
        <v>0</v>
      </c>
      <c r="F18" s="46">
        <v>0</v>
      </c>
      <c r="G18" s="46">
        <v>121567</v>
      </c>
      <c r="H18" s="46">
        <v>4425</v>
      </c>
      <c r="I18" s="46"/>
      <c r="J18" s="46"/>
      <c r="K18" s="46"/>
      <c r="L18" s="46"/>
      <c r="M18" s="46"/>
      <c r="N18" s="46"/>
      <c r="O18" s="46">
        <v>128589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757.60843999999997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128066</v>
      </c>
      <c r="C23" s="46">
        <v>2597</v>
      </c>
      <c r="D23" s="46">
        <v>0</v>
      </c>
      <c r="E23" s="46">
        <v>0</v>
      </c>
      <c r="F23" s="46">
        <v>0</v>
      </c>
      <c r="G23" s="46">
        <v>121567</v>
      </c>
      <c r="H23" s="46">
        <v>4425</v>
      </c>
      <c r="I23" s="46"/>
      <c r="J23" s="46"/>
      <c r="K23" s="46"/>
      <c r="L23" s="46"/>
      <c r="M23" s="46"/>
      <c r="N23" s="46"/>
      <c r="O23" s="46">
        <v>128589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332.98344000000003</v>
      </c>
      <c r="U24" s="14">
        <f>N43</f>
        <v>0.43951917959097714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140.81299999999999</v>
      </c>
      <c r="U25" s="15">
        <f>G43</f>
        <v>0.18586514162909801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17.672999999999998</v>
      </c>
      <c r="U27" s="14">
        <f>F43</f>
        <v>2.332735363930212E-2</v>
      </c>
    </row>
    <row r="28" spans="1:21" ht="15.75" x14ac:dyDescent="0.25">
      <c r="A28" s="4" t="s">
        <v>85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7.83</v>
      </c>
      <c r="U28" s="14">
        <f>E43</f>
        <v>1.0335154133182572E-2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22520</v>
      </c>
      <c r="D31" s="46">
        <v>0</v>
      </c>
      <c r="E31" s="46">
        <v>0</v>
      </c>
      <c r="F31" s="46">
        <v>2319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24777</v>
      </c>
      <c r="O31" s="46">
        <v>49617</v>
      </c>
      <c r="P31" s="16">
        <f>O31/O$39</f>
        <v>6.7819568809859995E-2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4189</v>
      </c>
      <c r="C32" s="85">
        <f>4413+40+71</f>
        <v>4524</v>
      </c>
      <c r="D32" s="46">
        <v>0</v>
      </c>
      <c r="E32" s="85">
        <v>7830</v>
      </c>
      <c r="F32" s="46">
        <v>0</v>
      </c>
      <c r="G32" s="60">
        <f>G39-G36</f>
        <v>846</v>
      </c>
      <c r="H32" s="46">
        <v>0</v>
      </c>
      <c r="I32" s="46"/>
      <c r="J32" s="46"/>
      <c r="K32" s="46"/>
      <c r="L32" s="46"/>
      <c r="M32" s="45"/>
      <c r="N32" s="46">
        <v>43704</v>
      </c>
      <c r="O32" s="85">
        <f>SUM(B32:N32)</f>
        <v>61093</v>
      </c>
      <c r="P32" s="16">
        <f>O32/O$39</f>
        <v>8.3505671791941807E-2</v>
      </c>
      <c r="Q32" s="17" t="s">
        <v>37</v>
      </c>
      <c r="R32" s="67"/>
      <c r="S32" s="3" t="s">
        <v>6</v>
      </c>
      <c r="T32" s="13">
        <f>H42/1000</f>
        <v>4.4249999999999998</v>
      </c>
      <c r="U32" s="14">
        <f>H43</f>
        <v>5.8407480254575837E-3</v>
      </c>
    </row>
    <row r="33" spans="1:48" ht="16" x14ac:dyDescent="0.2">
      <c r="A33" s="8" t="s">
        <v>38</v>
      </c>
      <c r="B33" s="46">
        <v>23693</v>
      </c>
      <c r="C33" s="46">
        <v>884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33329</v>
      </c>
      <c r="O33" s="46">
        <v>57906</v>
      </c>
      <c r="P33" s="16">
        <f>O33/O$39</f>
        <v>7.9149484078113397E-2</v>
      </c>
      <c r="Q33" s="17" t="s">
        <v>39</v>
      </c>
      <c r="R33" s="67"/>
      <c r="S33" s="3" t="s">
        <v>35</v>
      </c>
      <c r="T33" s="13">
        <f>C42/1000</f>
        <v>253.88399999999999</v>
      </c>
      <c r="U33" s="15">
        <f>C43</f>
        <v>0.33511242298198263</v>
      </c>
      <c r="W33" s="43"/>
      <c r="X33" s="60"/>
    </row>
    <row r="34" spans="1:48" ht="15.75" x14ac:dyDescent="0.25">
      <c r="A34" s="8" t="s">
        <v>40</v>
      </c>
      <c r="B34" s="46">
        <v>0</v>
      </c>
      <c r="C34" s="46">
        <v>202982</v>
      </c>
      <c r="D34" s="46">
        <v>0</v>
      </c>
      <c r="E34" s="46">
        <v>0</v>
      </c>
      <c r="F34" s="46">
        <v>15354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19629</v>
      </c>
      <c r="O34" s="46">
        <v>237965</v>
      </c>
      <c r="P34" s="16">
        <f>O34/O$39</f>
        <v>0.32526520530943692</v>
      </c>
      <c r="Q34" s="17" t="s">
        <v>41</v>
      </c>
      <c r="R34" s="67"/>
      <c r="S34" s="3"/>
      <c r="T34" s="13">
        <f>SUM(T24:T33)</f>
        <v>757.60843999999997</v>
      </c>
      <c r="U34" s="14">
        <f>SUM(U24:U33)</f>
        <v>1</v>
      </c>
    </row>
    <row r="35" spans="1:48" ht="16" x14ac:dyDescent="0.2">
      <c r="A35" s="8" t="s">
        <v>42</v>
      </c>
      <c r="B35" s="46">
        <v>3745</v>
      </c>
      <c r="C35" s="46">
        <v>19999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50729</v>
      </c>
      <c r="O35" s="46">
        <v>74473</v>
      </c>
      <c r="P35" s="16">
        <f>O35/O$39</f>
        <v>0.10179427913772907</v>
      </c>
      <c r="Q35" s="17" t="s">
        <v>43</v>
      </c>
      <c r="R35" s="67"/>
    </row>
    <row r="36" spans="1:48" ht="16" x14ac:dyDescent="0.2">
      <c r="A36" s="8" t="s">
        <v>44</v>
      </c>
      <c r="B36" s="46">
        <v>24714</v>
      </c>
      <c r="C36" s="60">
        <f>O36-N36-G36-B36</f>
        <v>313</v>
      </c>
      <c r="D36" s="46">
        <v>0</v>
      </c>
      <c r="E36" s="46">
        <v>0</v>
      </c>
      <c r="F36" s="46">
        <v>0</v>
      </c>
      <c r="G36" s="60">
        <v>18400</v>
      </c>
      <c r="H36" s="46">
        <v>0</v>
      </c>
      <c r="I36" s="46"/>
      <c r="J36" s="46"/>
      <c r="K36" s="46"/>
      <c r="L36" s="46"/>
      <c r="M36" s="45"/>
      <c r="N36" s="46">
        <v>106413</v>
      </c>
      <c r="O36" s="46">
        <v>149840</v>
      </c>
      <c r="P36" s="17"/>
      <c r="Q36" s="17"/>
      <c r="R36" s="67"/>
      <c r="S36" s="7"/>
      <c r="T36" s="7"/>
      <c r="U36" s="7"/>
    </row>
    <row r="37" spans="1:48" ht="15.75" x14ac:dyDescent="0.25">
      <c r="A37" s="8" t="s">
        <v>45</v>
      </c>
      <c r="B37" s="46">
        <v>70907</v>
      </c>
      <c r="C37" s="46">
        <v>65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16257</v>
      </c>
      <c r="O37" s="46">
        <v>87229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13480</v>
      </c>
      <c r="O38" s="46">
        <v>13480</v>
      </c>
      <c r="P38" s="17">
        <f>SUM(P31:P35)</f>
        <v>0.65753420912708127</v>
      </c>
      <c r="Q38" s="17"/>
      <c r="R38" s="67"/>
      <c r="S38" s="7" t="s">
        <v>47</v>
      </c>
      <c r="T38" s="19">
        <f>O45/1000</f>
        <v>25.483440000000002</v>
      </c>
      <c r="U38" s="7"/>
    </row>
    <row r="39" spans="1:48" ht="16" x14ac:dyDescent="0.2">
      <c r="A39" s="8" t="s">
        <v>16</v>
      </c>
      <c r="B39" s="46">
        <v>127248</v>
      </c>
      <c r="C39" s="89">
        <f>SUM(C31:C38)</f>
        <v>251287</v>
      </c>
      <c r="D39" s="46">
        <v>0</v>
      </c>
      <c r="E39" s="85">
        <f>SUM(E31:E38)</f>
        <v>7830</v>
      </c>
      <c r="F39" s="46">
        <v>17673</v>
      </c>
      <c r="G39" s="46">
        <v>19246</v>
      </c>
      <c r="H39" s="46">
        <v>0</v>
      </c>
      <c r="I39" s="46"/>
      <c r="J39" s="46"/>
      <c r="K39" s="46"/>
      <c r="L39" s="46"/>
      <c r="M39" s="45"/>
      <c r="N39" s="46">
        <v>308318</v>
      </c>
      <c r="O39" s="85">
        <f>SUM(O31:O38)</f>
        <v>731603</v>
      </c>
      <c r="P39" s="3"/>
      <c r="Q39" s="3"/>
      <c r="R39" s="67"/>
      <c r="S39" s="7" t="s">
        <v>48</v>
      </c>
      <c r="T39" s="20">
        <f>O41/1000</f>
        <v>250.54900000000001</v>
      </c>
      <c r="U39" s="14">
        <f>P41</f>
        <v>0.34246579087291878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74.472999999999999</v>
      </c>
      <c r="U40" s="15">
        <f>P35</f>
        <v>0.10179427913772907</v>
      </c>
    </row>
    <row r="41" spans="1:48" ht="16" x14ac:dyDescent="0.2">
      <c r="A41" s="21" t="s">
        <v>50</v>
      </c>
      <c r="B41" s="22">
        <f>B38+B37+B36</f>
        <v>95621</v>
      </c>
      <c r="C41" s="22">
        <f t="shared" ref="C41:O41" si="0">C38+C37+C36</f>
        <v>378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18400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136150</v>
      </c>
      <c r="O41" s="22">
        <f t="shared" si="0"/>
        <v>250549</v>
      </c>
      <c r="P41" s="16">
        <f>O41/O$39</f>
        <v>0.34246579087291878</v>
      </c>
      <c r="Q41" s="16" t="s">
        <v>51</v>
      </c>
      <c r="R41" s="7"/>
      <c r="S41" s="7" t="s">
        <v>52</v>
      </c>
      <c r="T41" s="20">
        <f>O33/1000</f>
        <v>57.905999999999999</v>
      </c>
      <c r="U41" s="14">
        <f>P33</f>
        <v>7.9149484078113397E-2</v>
      </c>
    </row>
    <row r="42" spans="1:48" ht="16" x14ac:dyDescent="0.2">
      <c r="A42" s="23" t="s">
        <v>53</v>
      </c>
      <c r="B42" s="22"/>
      <c r="C42" s="24">
        <f>C39+C23+C10</f>
        <v>253884</v>
      </c>
      <c r="D42" s="24">
        <f t="shared" ref="D42:M42" si="1">D39+D23+D10</f>
        <v>0</v>
      </c>
      <c r="E42" s="24">
        <f t="shared" si="1"/>
        <v>7830</v>
      </c>
      <c r="F42" s="24">
        <f t="shared" si="1"/>
        <v>17673</v>
      </c>
      <c r="G42" s="24">
        <f t="shared" si="1"/>
        <v>140813</v>
      </c>
      <c r="H42" s="24">
        <f t="shared" si="1"/>
        <v>4425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332983.44</v>
      </c>
      <c r="O42" s="25">
        <f>SUM(C42:N42)</f>
        <v>757608.44</v>
      </c>
      <c r="P42" s="7"/>
      <c r="Q42" s="7"/>
      <c r="R42" s="7"/>
      <c r="S42" s="7" t="s">
        <v>34</v>
      </c>
      <c r="T42" s="20">
        <f>O31/1000</f>
        <v>49.616999999999997</v>
      </c>
      <c r="U42" s="14">
        <f>P31</f>
        <v>6.7819568809859995E-2</v>
      </c>
    </row>
    <row r="43" spans="1:48" ht="16" x14ac:dyDescent="0.2">
      <c r="A43" s="23" t="s">
        <v>54</v>
      </c>
      <c r="B43" s="22"/>
      <c r="C43" s="16">
        <f t="shared" ref="C43:N43" si="2">C42/$O42</f>
        <v>0.33511242298198263</v>
      </c>
      <c r="D43" s="16">
        <f t="shared" si="2"/>
        <v>0</v>
      </c>
      <c r="E43" s="16">
        <f t="shared" si="2"/>
        <v>1.0335154133182572E-2</v>
      </c>
      <c r="F43" s="16">
        <f t="shared" si="2"/>
        <v>2.332735363930212E-2</v>
      </c>
      <c r="G43" s="16">
        <f t="shared" si="2"/>
        <v>0.18586514162909801</v>
      </c>
      <c r="H43" s="16">
        <f t="shared" si="2"/>
        <v>5.8407480254575837E-3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0.43951917959097714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61.093000000000004</v>
      </c>
      <c r="U43" s="15">
        <f>P32</f>
        <v>8.3505671791941807E-2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237.965</v>
      </c>
      <c r="U44" s="15">
        <f>P34</f>
        <v>0.32526520530943692</v>
      </c>
    </row>
    <row r="45" spans="1:48" ht="16" x14ac:dyDescent="0.2">
      <c r="A45" s="6" t="s">
        <v>57</v>
      </c>
      <c r="B45" s="26">
        <f>B23-B39</f>
        <v>818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24665.440000000002</v>
      </c>
      <c r="O45" s="25">
        <f>B45+N45</f>
        <v>25483.440000000002</v>
      </c>
      <c r="P45" s="7"/>
      <c r="Q45" s="7"/>
      <c r="R45" s="7"/>
      <c r="S45" s="7" t="s">
        <v>58</v>
      </c>
      <c r="T45" s="20">
        <f>SUM(T39:T44)</f>
        <v>731.60300000000007</v>
      </c>
      <c r="U45" s="14">
        <f>SUM(U39:U44)</f>
        <v>0.99999999999999989</v>
      </c>
    </row>
    <row r="46" spans="1:48" ht="16" x14ac:dyDescent="0.2">
      <c r="A46" s="9" t="s">
        <v>91</v>
      </c>
      <c r="B46" s="70">
        <f>B45/B23</f>
        <v>6.3873315321787199E-3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86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1002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87346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88348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80811+13875</f>
        <v>94686</v>
      </c>
      <c r="C18" s="46">
        <v>229</v>
      </c>
      <c r="D18" s="46">
        <v>0</v>
      </c>
      <c r="E18" s="46">
        <v>0</v>
      </c>
      <c r="F18" s="46">
        <v>0</v>
      </c>
      <c r="G18" s="46">
        <v>92356</v>
      </c>
      <c r="H18" s="46">
        <v>2482</v>
      </c>
      <c r="I18" s="46"/>
      <c r="J18" s="46"/>
      <c r="K18" s="46"/>
      <c r="L18" s="46"/>
      <c r="M18" s="46"/>
      <c r="N18" s="46"/>
      <c r="O18" s="46">
        <v>95067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950.79295999999999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94686</v>
      </c>
      <c r="C23" s="46">
        <v>229</v>
      </c>
      <c r="D23" s="46">
        <v>0</v>
      </c>
      <c r="E23" s="46">
        <v>0</v>
      </c>
      <c r="F23" s="46">
        <v>0</v>
      </c>
      <c r="G23" s="46">
        <v>92356</v>
      </c>
      <c r="H23" s="46">
        <v>2482</v>
      </c>
      <c r="I23" s="46"/>
      <c r="J23" s="46"/>
      <c r="K23" s="46"/>
      <c r="L23" s="46"/>
      <c r="M23" s="46"/>
      <c r="N23" s="46"/>
      <c r="O23" s="46">
        <v>95067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417.86496</v>
      </c>
      <c r="U24" s="14">
        <f>N43</f>
        <v>0.43949101179714251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128.804</v>
      </c>
      <c r="U25" s="15">
        <f>G43</f>
        <v>0.13547008173051681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26.710999999999999</v>
      </c>
      <c r="U27" s="14">
        <f>F43</f>
        <v>2.80933926982379E-2</v>
      </c>
    </row>
    <row r="28" spans="1:21" ht="15.75" x14ac:dyDescent="0.25">
      <c r="A28" s="4" t="s">
        <v>86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17.475999999999999</v>
      </c>
      <c r="U28" s="14">
        <f>E43</f>
        <v>1.8380447410969471E-2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31209</v>
      </c>
      <c r="D31" s="46">
        <v>0</v>
      </c>
      <c r="E31" s="46">
        <v>0</v>
      </c>
      <c r="F31" s="46">
        <v>3006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28934</v>
      </c>
      <c r="O31" s="46">
        <v>63149</v>
      </c>
      <c r="P31" s="16">
        <f>O31/O$39</f>
        <v>6.9457398787473493E-2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273</v>
      </c>
      <c r="C32" s="60">
        <f>O32-N32-E32-B32</f>
        <v>2209</v>
      </c>
      <c r="D32" s="46">
        <v>0</v>
      </c>
      <c r="E32" s="60">
        <v>17476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54279</v>
      </c>
      <c r="O32" s="46">
        <v>74237</v>
      </c>
      <c r="P32" s="16">
        <f>O32/O$39</f>
        <v>8.1653057273839175E-2</v>
      </c>
      <c r="Q32" s="17" t="s">
        <v>37</v>
      </c>
      <c r="R32" s="67"/>
      <c r="S32" s="3" t="s">
        <v>6</v>
      </c>
      <c r="T32" s="13">
        <f>H42/1000</f>
        <v>2.4820000000000002</v>
      </c>
      <c r="U32" s="14">
        <f>H43</f>
        <v>2.610452647861423E-3</v>
      </c>
    </row>
    <row r="33" spans="1:48" ht="16" x14ac:dyDescent="0.2">
      <c r="A33" s="8" t="s">
        <v>38</v>
      </c>
      <c r="B33" s="46">
        <v>23612</v>
      </c>
      <c r="C33" s="46">
        <v>1065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22366</v>
      </c>
      <c r="O33" s="46">
        <v>47043</v>
      </c>
      <c r="P33" s="16">
        <f>O33/O$39</f>
        <v>5.1742456906033595E-2</v>
      </c>
      <c r="Q33" s="17" t="s">
        <v>39</v>
      </c>
      <c r="R33" s="67"/>
      <c r="S33" s="3" t="s">
        <v>35</v>
      </c>
      <c r="T33" s="13">
        <f>C42/1000</f>
        <v>357.45499999999998</v>
      </c>
      <c r="U33" s="15">
        <f>C43</f>
        <v>0.37595461371527195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319703</v>
      </c>
      <c r="D34" s="46">
        <v>0</v>
      </c>
      <c r="E34" s="46">
        <v>0</v>
      </c>
      <c r="F34" s="46">
        <v>23705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1317</v>
      </c>
      <c r="O34" s="46">
        <v>344726</v>
      </c>
      <c r="P34" s="16">
        <f>O34/O$39</f>
        <v>0.37916311033287287</v>
      </c>
      <c r="Q34" s="17" t="s">
        <v>41</v>
      </c>
      <c r="R34" s="67"/>
      <c r="S34" s="3"/>
      <c r="T34" s="13">
        <f>SUM(T24:T33)</f>
        <v>950.79295999999999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1847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97307</v>
      </c>
      <c r="O35" s="46">
        <v>99154</v>
      </c>
      <c r="P35" s="16">
        <f>O35/O$39</f>
        <v>0.10905919205962322</v>
      </c>
      <c r="Q35" s="17" t="s">
        <v>43</v>
      </c>
      <c r="R35" s="67"/>
    </row>
    <row r="36" spans="1:48" ht="16" x14ac:dyDescent="0.2">
      <c r="A36" s="8" t="s">
        <v>44</v>
      </c>
      <c r="B36" s="46">
        <v>5286</v>
      </c>
      <c r="C36" s="46">
        <v>510</v>
      </c>
      <c r="D36" s="46">
        <v>0</v>
      </c>
      <c r="E36" s="46">
        <v>0</v>
      </c>
      <c r="F36" s="46">
        <v>0</v>
      </c>
      <c r="G36" s="46">
        <v>36448</v>
      </c>
      <c r="H36" s="46">
        <v>0</v>
      </c>
      <c r="I36" s="46"/>
      <c r="J36" s="46"/>
      <c r="K36" s="46"/>
      <c r="L36" s="46"/>
      <c r="M36" s="45"/>
      <c r="N36" s="46">
        <v>152269</v>
      </c>
      <c r="O36" s="46">
        <v>194513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55232</v>
      </c>
      <c r="C37" s="46">
        <v>683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17988</v>
      </c>
      <c r="O37" s="46">
        <v>73903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12452</v>
      </c>
      <c r="O38" s="46">
        <v>12452</v>
      </c>
      <c r="P38" s="17">
        <f>SUM(P31:P35)</f>
        <v>0.6910752153598424</v>
      </c>
      <c r="Q38" s="17"/>
      <c r="R38" s="67"/>
      <c r="S38" s="7" t="s">
        <v>47</v>
      </c>
      <c r="T38" s="19">
        <f>O45/1000</f>
        <v>41.235959999999999</v>
      </c>
      <c r="U38" s="7"/>
    </row>
    <row r="39" spans="1:48" ht="16" x14ac:dyDescent="0.2">
      <c r="A39" s="8" t="s">
        <v>16</v>
      </c>
      <c r="B39" s="46">
        <v>84403</v>
      </c>
      <c r="C39" s="60">
        <f>SUM(C31:C38)</f>
        <v>357226</v>
      </c>
      <c r="D39" s="46">
        <v>0</v>
      </c>
      <c r="E39" s="60">
        <f>SUM(E31:E38)</f>
        <v>17476</v>
      </c>
      <c r="F39" s="46">
        <v>26711</v>
      </c>
      <c r="G39" s="46">
        <v>36448</v>
      </c>
      <c r="H39" s="46">
        <v>0</v>
      </c>
      <c r="I39" s="46"/>
      <c r="J39" s="46"/>
      <c r="K39" s="46"/>
      <c r="L39" s="46"/>
      <c r="M39" s="45"/>
      <c r="N39" s="46">
        <v>386912</v>
      </c>
      <c r="O39" s="46">
        <v>909176</v>
      </c>
      <c r="P39" s="3"/>
      <c r="Q39" s="3"/>
      <c r="R39" s="67"/>
      <c r="S39" s="7" t="s">
        <v>48</v>
      </c>
      <c r="T39" s="20">
        <f>O41/1000</f>
        <v>280.86799999999999</v>
      </c>
      <c r="U39" s="14">
        <f>P41</f>
        <v>0.30892588453720732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99.153999999999996</v>
      </c>
      <c r="U40" s="15">
        <f>P35</f>
        <v>0.10905919205962322</v>
      </c>
    </row>
    <row r="41" spans="1:48" ht="16" x14ac:dyDescent="0.2">
      <c r="A41" s="21" t="s">
        <v>50</v>
      </c>
      <c r="B41" s="22">
        <f>B38+B37+B36</f>
        <v>60518</v>
      </c>
      <c r="C41" s="22">
        <f t="shared" ref="C41:O41" si="0">C38+C37+C36</f>
        <v>1193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36448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182709</v>
      </c>
      <c r="O41" s="22">
        <f t="shared" si="0"/>
        <v>280868</v>
      </c>
      <c r="P41" s="16">
        <f>O41/O$39</f>
        <v>0.30892588453720732</v>
      </c>
      <c r="Q41" s="16" t="s">
        <v>51</v>
      </c>
      <c r="R41" s="7"/>
      <c r="S41" s="7" t="s">
        <v>52</v>
      </c>
      <c r="T41" s="20">
        <f>O33/1000</f>
        <v>47.042999999999999</v>
      </c>
      <c r="U41" s="14">
        <f>P33</f>
        <v>5.1742456906033595E-2</v>
      </c>
    </row>
    <row r="42" spans="1:48" ht="16" x14ac:dyDescent="0.2">
      <c r="A42" s="23" t="s">
        <v>53</v>
      </c>
      <c r="B42" s="22"/>
      <c r="C42" s="24">
        <f>C39+C23+C10</f>
        <v>357455</v>
      </c>
      <c r="D42" s="24">
        <f t="shared" ref="D42:M42" si="1">D39+D23+D10</f>
        <v>0</v>
      </c>
      <c r="E42" s="24">
        <f t="shared" si="1"/>
        <v>17476</v>
      </c>
      <c r="F42" s="24">
        <f t="shared" si="1"/>
        <v>26711</v>
      </c>
      <c r="G42" s="24">
        <f t="shared" si="1"/>
        <v>128804</v>
      </c>
      <c r="H42" s="24">
        <f t="shared" si="1"/>
        <v>2482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417864.96000000002</v>
      </c>
      <c r="O42" s="25">
        <f>SUM(C42:N42)</f>
        <v>950792.96</v>
      </c>
      <c r="P42" s="7"/>
      <c r="Q42" s="7"/>
      <c r="R42" s="7"/>
      <c r="S42" s="7" t="s">
        <v>34</v>
      </c>
      <c r="T42" s="20">
        <f>O31/1000</f>
        <v>63.149000000000001</v>
      </c>
      <c r="U42" s="14">
        <f>P31</f>
        <v>6.9457398787473493E-2</v>
      </c>
    </row>
    <row r="43" spans="1:48" ht="16" x14ac:dyDescent="0.2">
      <c r="A43" s="23" t="s">
        <v>54</v>
      </c>
      <c r="B43" s="22"/>
      <c r="C43" s="16">
        <f t="shared" ref="C43:N43" si="2">C42/$O42</f>
        <v>0.37595461371527195</v>
      </c>
      <c r="D43" s="16">
        <f t="shared" si="2"/>
        <v>0</v>
      </c>
      <c r="E43" s="16">
        <f t="shared" si="2"/>
        <v>1.8380447410969471E-2</v>
      </c>
      <c r="F43" s="16">
        <f t="shared" si="2"/>
        <v>2.80933926982379E-2</v>
      </c>
      <c r="G43" s="16">
        <f t="shared" si="2"/>
        <v>0.13547008173051681</v>
      </c>
      <c r="H43" s="16">
        <f t="shared" si="2"/>
        <v>2.610452647861423E-3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0.43949101179714251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74.236999999999995</v>
      </c>
      <c r="U43" s="15">
        <f>P32</f>
        <v>8.1653057273839175E-2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344.726</v>
      </c>
      <c r="U44" s="15">
        <f>P34</f>
        <v>0.37916311033287287</v>
      </c>
    </row>
    <row r="45" spans="1:48" ht="16" x14ac:dyDescent="0.2">
      <c r="A45" s="6" t="s">
        <v>57</v>
      </c>
      <c r="B45" s="26">
        <f>B23-B39</f>
        <v>10283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30952.959999999999</v>
      </c>
      <c r="O45" s="25">
        <f>B45+N45</f>
        <v>41235.96</v>
      </c>
      <c r="P45" s="7"/>
      <c r="Q45" s="7"/>
      <c r="R45" s="7"/>
      <c r="S45" s="7" t="s">
        <v>58</v>
      </c>
      <c r="T45" s="20">
        <f>SUM(T39:T44)</f>
        <v>909.17700000000002</v>
      </c>
      <c r="U45" s="14">
        <f>SUM(U39:U44)</f>
        <v>1.0000010998970497</v>
      </c>
    </row>
    <row r="46" spans="1:48" ht="16" x14ac:dyDescent="0.2">
      <c r="A46" s="9" t="s">
        <v>91</v>
      </c>
      <c r="B46" s="70">
        <f>B45/B23</f>
        <v>0.10860106034683058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V70"/>
  <sheetViews>
    <sheetView topLeftCell="A9"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87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1820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87274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23838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165143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278075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f>345753+69843</f>
        <v>415596</v>
      </c>
      <c r="C17" s="46">
        <v>746</v>
      </c>
      <c r="D17" s="46">
        <v>0</v>
      </c>
      <c r="E17" s="46">
        <v>102</v>
      </c>
      <c r="F17" s="46">
        <v>20877</v>
      </c>
      <c r="G17" s="46">
        <v>436282</v>
      </c>
      <c r="H17" s="46">
        <v>22164</v>
      </c>
      <c r="I17" s="46"/>
      <c r="J17" s="46"/>
      <c r="K17" s="46"/>
      <c r="L17" s="46"/>
      <c r="M17" s="46"/>
      <c r="N17" s="46"/>
      <c r="O17" s="46">
        <f>SUM(C17:N17)</f>
        <v>480171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607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2322.3788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416203</v>
      </c>
      <c r="C23" s="46">
        <f>SUM(C17:C22)</f>
        <v>746</v>
      </c>
      <c r="D23" s="46">
        <f t="shared" ref="D23:G23" si="0">SUM(D17:D22)</f>
        <v>0</v>
      </c>
      <c r="E23" s="46">
        <f t="shared" si="0"/>
        <v>102</v>
      </c>
      <c r="F23" s="46">
        <f t="shared" si="0"/>
        <v>20877</v>
      </c>
      <c r="G23" s="46">
        <f t="shared" si="0"/>
        <v>436282</v>
      </c>
      <c r="H23" s="46">
        <f>SUM(H17:H22)</f>
        <v>22164</v>
      </c>
      <c r="I23" s="46"/>
      <c r="J23" s="46"/>
      <c r="K23" s="46"/>
      <c r="L23" s="46"/>
      <c r="M23" s="46"/>
      <c r="N23" s="46"/>
      <c r="O23" s="46">
        <f>SUM(O17:O22)</f>
        <v>480171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841.42880000000002</v>
      </c>
      <c r="U24" s="14">
        <f>N43</f>
        <v>0.36231333148580247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512.29399999999998</v>
      </c>
      <c r="U25" s="15">
        <f>G43</f>
        <v>0.22059019829151044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73.293000000000006</v>
      </c>
      <c r="U27" s="14">
        <f>F43</f>
        <v>3.1559451024957691E-2</v>
      </c>
    </row>
    <row r="28" spans="1:21" ht="15.75" x14ac:dyDescent="0.25">
      <c r="A28" s="4" t="s">
        <v>87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172.971</v>
      </c>
      <c r="U28" s="14">
        <f>E43</f>
        <v>7.448009773427143E-2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44528</v>
      </c>
      <c r="D31" s="46">
        <v>0</v>
      </c>
      <c r="E31" s="46">
        <v>0</v>
      </c>
      <c r="F31" s="46">
        <v>4461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69565</v>
      </c>
      <c r="O31" s="46">
        <v>118554</v>
      </c>
      <c r="P31" s="16">
        <f>O31/O$39</f>
        <v>5.3852614614075339E-2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47466</v>
      </c>
      <c r="C32" s="46">
        <v>12868</v>
      </c>
      <c r="D32" s="46">
        <v>0</v>
      </c>
      <c r="E32" s="60">
        <v>172869</v>
      </c>
      <c r="F32" s="46">
        <v>0</v>
      </c>
      <c r="G32" s="60">
        <v>977</v>
      </c>
      <c r="H32" s="46">
        <v>0</v>
      </c>
      <c r="I32" s="46"/>
      <c r="J32" s="46"/>
      <c r="K32" s="46"/>
      <c r="L32" s="46"/>
      <c r="M32" s="45"/>
      <c r="N32" s="46">
        <v>174899</v>
      </c>
      <c r="O32" s="46">
        <v>409079</v>
      </c>
      <c r="P32" s="16">
        <f>O32/O$39</f>
        <v>0.18582227283525926</v>
      </c>
      <c r="Q32" s="17" t="s">
        <v>37</v>
      </c>
      <c r="R32" s="67"/>
      <c r="S32" s="3" t="s">
        <v>6</v>
      </c>
      <c r="T32" s="13">
        <f>H42/1000</f>
        <v>22.164000000000001</v>
      </c>
      <c r="U32" s="14">
        <f>H43</f>
        <v>9.5436627306449764E-3</v>
      </c>
    </row>
    <row r="33" spans="1:48" ht="16" x14ac:dyDescent="0.2">
      <c r="A33" s="8" t="s">
        <v>38</v>
      </c>
      <c r="B33" s="46">
        <v>54152</v>
      </c>
      <c r="C33" s="46">
        <v>1083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100643</v>
      </c>
      <c r="O33" s="46">
        <v>155878</v>
      </c>
      <c r="P33" s="16">
        <f>O33/O$39</f>
        <v>7.0806871643410055E-2</v>
      </c>
      <c r="Q33" s="17" t="s">
        <v>39</v>
      </c>
      <c r="R33" s="67"/>
      <c r="S33" s="3" t="s">
        <v>35</v>
      </c>
      <c r="T33" s="13">
        <f>C42/1000</f>
        <v>700.22799999999995</v>
      </c>
      <c r="U33" s="15">
        <f>C43</f>
        <v>0.30151325873281309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629993</v>
      </c>
      <c r="D34" s="46">
        <v>0</v>
      </c>
      <c r="E34" s="46">
        <v>0</v>
      </c>
      <c r="F34" s="46">
        <v>47954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479</v>
      </c>
      <c r="O34" s="46">
        <v>678426</v>
      </c>
      <c r="P34" s="16">
        <f>O34/O$39</f>
        <v>0.30817192099944901</v>
      </c>
      <c r="Q34" s="17" t="s">
        <v>41</v>
      </c>
      <c r="R34" s="67"/>
      <c r="S34" s="3"/>
      <c r="T34" s="13">
        <f>SUM(T24:T33)</f>
        <v>2322.3788</v>
      </c>
      <c r="U34" s="14">
        <f>SUM(U24:U33)</f>
        <v>1</v>
      </c>
    </row>
    <row r="35" spans="1:48" ht="16" x14ac:dyDescent="0.2">
      <c r="A35" s="8" t="s">
        <v>42</v>
      </c>
      <c r="B35" s="46">
        <v>55670</v>
      </c>
      <c r="C35" s="46">
        <v>9457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210665</v>
      </c>
      <c r="O35" s="46">
        <v>275792</v>
      </c>
      <c r="P35" s="16">
        <f>O35/O$39</f>
        <v>0.12527726006414855</v>
      </c>
      <c r="Q35" s="17" t="s">
        <v>43</v>
      </c>
      <c r="R35" s="67"/>
    </row>
    <row r="36" spans="1:48" ht="16" x14ac:dyDescent="0.2">
      <c r="A36" s="8" t="s">
        <v>44</v>
      </c>
      <c r="B36" s="46">
        <v>41973</v>
      </c>
      <c r="C36" s="46">
        <v>1188</v>
      </c>
      <c r="D36" s="46">
        <v>0</v>
      </c>
      <c r="E36" s="46">
        <v>0</v>
      </c>
      <c r="F36" s="46">
        <v>0</v>
      </c>
      <c r="G36" s="46">
        <v>75035</v>
      </c>
      <c r="H36" s="46">
        <v>0</v>
      </c>
      <c r="I36" s="46"/>
      <c r="J36" s="46"/>
      <c r="K36" s="46"/>
      <c r="L36" s="46"/>
      <c r="M36" s="45"/>
      <c r="N36" s="46">
        <v>239106</v>
      </c>
      <c r="O36" s="46">
        <v>357302</v>
      </c>
      <c r="P36" s="17"/>
      <c r="Q36" s="17"/>
      <c r="R36" s="67"/>
      <c r="S36" s="7"/>
      <c r="T36" s="7"/>
      <c r="U36" s="7"/>
    </row>
    <row r="37" spans="1:48" ht="15.75" x14ac:dyDescent="0.25">
      <c r="A37" s="8" t="s">
        <v>45</v>
      </c>
      <c r="B37" s="46">
        <v>141503</v>
      </c>
      <c r="C37" s="46">
        <v>365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35143</v>
      </c>
      <c r="O37" s="46">
        <v>177011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29410</v>
      </c>
      <c r="O38" s="46">
        <v>29410</v>
      </c>
      <c r="P38" s="17">
        <f>SUM(P31:P35)</f>
        <v>0.7439309401563422</v>
      </c>
      <c r="Q38" s="17"/>
      <c r="R38" s="67"/>
      <c r="S38" s="7" t="s">
        <v>47</v>
      </c>
      <c r="T38" s="19">
        <f>O45/1000</f>
        <v>144.23179999999999</v>
      </c>
      <c r="U38" s="7"/>
    </row>
    <row r="39" spans="1:48" ht="16" x14ac:dyDescent="0.2">
      <c r="A39" s="8" t="s">
        <v>16</v>
      </c>
      <c r="B39" s="46">
        <v>340764</v>
      </c>
      <c r="C39" s="46">
        <v>699482</v>
      </c>
      <c r="D39" s="46">
        <v>0</v>
      </c>
      <c r="E39" s="60">
        <f>SUM(E31:E38)</f>
        <v>172869</v>
      </c>
      <c r="F39" s="46">
        <v>52416</v>
      </c>
      <c r="G39" s="60">
        <f>SUM(G31:G38)</f>
        <v>76012</v>
      </c>
      <c r="H39" s="46">
        <v>0</v>
      </c>
      <c r="I39" s="46"/>
      <c r="J39" s="46"/>
      <c r="K39" s="46"/>
      <c r="L39" s="46"/>
      <c r="M39" s="45"/>
      <c r="N39" s="46">
        <v>859910</v>
      </c>
      <c r="O39" s="46">
        <v>2201453</v>
      </c>
      <c r="P39" s="3"/>
      <c r="Q39" s="3"/>
      <c r="R39" s="67"/>
      <c r="S39" s="7" t="s">
        <v>48</v>
      </c>
      <c r="T39" s="20">
        <f>O41/1000</f>
        <v>563.72299999999996</v>
      </c>
      <c r="U39" s="14">
        <f>P41</f>
        <v>0.25606860559821171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275.79199999999997</v>
      </c>
      <c r="U40" s="15">
        <f>P35</f>
        <v>0.12527726006414855</v>
      </c>
    </row>
    <row r="41" spans="1:48" ht="16" x14ac:dyDescent="0.2">
      <c r="A41" s="21" t="s">
        <v>50</v>
      </c>
      <c r="B41" s="22">
        <f>B38+B37+B36</f>
        <v>183476</v>
      </c>
      <c r="C41" s="22">
        <f t="shared" ref="C41:O41" si="1">C38+C37+C36</f>
        <v>1553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75035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303659</v>
      </c>
      <c r="O41" s="22">
        <f t="shared" si="1"/>
        <v>563723</v>
      </c>
      <c r="P41" s="16">
        <f>O41/O$39</f>
        <v>0.25606860559821171</v>
      </c>
      <c r="Q41" s="16" t="s">
        <v>51</v>
      </c>
      <c r="R41" s="7"/>
      <c r="S41" s="7" t="s">
        <v>52</v>
      </c>
      <c r="T41" s="20">
        <f>O33/1000</f>
        <v>155.87799999999999</v>
      </c>
      <c r="U41" s="14">
        <f>P33</f>
        <v>7.0806871643410055E-2</v>
      </c>
    </row>
    <row r="42" spans="1:48" ht="16" x14ac:dyDescent="0.2">
      <c r="A42" s="23" t="s">
        <v>53</v>
      </c>
      <c r="B42" s="22"/>
      <c r="C42" s="24">
        <f>C39+C23+C10</f>
        <v>700228</v>
      </c>
      <c r="D42" s="24">
        <f t="shared" ref="D42:M42" si="2">D39+D23+D10</f>
        <v>0</v>
      </c>
      <c r="E42" s="24">
        <f t="shared" si="2"/>
        <v>172971</v>
      </c>
      <c r="F42" s="24">
        <f t="shared" si="2"/>
        <v>73293</v>
      </c>
      <c r="G42" s="24">
        <f t="shared" si="2"/>
        <v>512294</v>
      </c>
      <c r="H42" s="24">
        <f t="shared" si="2"/>
        <v>22164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841428.8</v>
      </c>
      <c r="O42" s="25">
        <f>SUM(C42:N42)</f>
        <v>2322378.7999999998</v>
      </c>
      <c r="P42" s="7"/>
      <c r="Q42" s="7"/>
      <c r="R42" s="7"/>
      <c r="S42" s="7" t="s">
        <v>34</v>
      </c>
      <c r="T42" s="20">
        <f>O31/1000</f>
        <v>118.554</v>
      </c>
      <c r="U42" s="14">
        <f>P31</f>
        <v>5.3852614614075339E-2</v>
      </c>
    </row>
    <row r="43" spans="1:48" ht="16" x14ac:dyDescent="0.2">
      <c r="A43" s="23" t="s">
        <v>54</v>
      </c>
      <c r="B43" s="22"/>
      <c r="C43" s="16">
        <f t="shared" ref="C43:N43" si="3">C42/$O42</f>
        <v>0.30151325873281309</v>
      </c>
      <c r="D43" s="16">
        <f t="shared" si="3"/>
        <v>0</v>
      </c>
      <c r="E43" s="16">
        <f t="shared" si="3"/>
        <v>7.448009773427143E-2</v>
      </c>
      <c r="F43" s="16">
        <f t="shared" si="3"/>
        <v>3.1559451024957691E-2</v>
      </c>
      <c r="G43" s="16">
        <f t="shared" si="3"/>
        <v>0.22059019829151044</v>
      </c>
      <c r="H43" s="16">
        <f t="shared" si="3"/>
        <v>9.5436627306449764E-3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0.36231333148580247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409.07900000000001</v>
      </c>
      <c r="U43" s="15">
        <f>P32</f>
        <v>0.18582227283525926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678.42600000000004</v>
      </c>
      <c r="U44" s="15">
        <f>P34</f>
        <v>0.30817192099944901</v>
      </c>
    </row>
    <row r="45" spans="1:48" ht="16" x14ac:dyDescent="0.2">
      <c r="A45" s="6" t="s">
        <v>57</v>
      </c>
      <c r="B45" s="26">
        <f>B23-B39</f>
        <v>75439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68792.800000000003</v>
      </c>
      <c r="O45" s="25">
        <f>B45+N45</f>
        <v>144231.79999999999</v>
      </c>
      <c r="P45" s="7"/>
      <c r="Q45" s="7"/>
      <c r="R45" s="7"/>
      <c r="S45" s="7" t="s">
        <v>58</v>
      </c>
      <c r="T45" s="20">
        <f>SUM(T39:T44)</f>
        <v>2201.4519999999998</v>
      </c>
      <c r="U45" s="14">
        <f>SUM(U39:U44)</f>
        <v>0.99999954575455396</v>
      </c>
    </row>
    <row r="46" spans="1:48" ht="16" x14ac:dyDescent="0.2">
      <c r="A46" s="9" t="s">
        <v>91</v>
      </c>
      <c r="B46" s="70">
        <f>B45/B23</f>
        <v>0.18125530089884023</v>
      </c>
      <c r="C46" s="6"/>
      <c r="D46" s="6"/>
      <c r="E46" s="6"/>
      <c r="F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18">
        <f>O32-N32-C32-B32</f>
        <v>173846</v>
      </c>
      <c r="J48" s="28"/>
      <c r="K48" s="28"/>
      <c r="L48" s="28"/>
      <c r="M48" s="28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 t="s">
        <v>100</v>
      </c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9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8"/>
      <c r="J55" s="28"/>
      <c r="K55" s="28"/>
      <c r="L55" s="28"/>
      <c r="M55" s="28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8"/>
      <c r="J56" s="28"/>
      <c r="K56" s="28"/>
      <c r="L56" s="28"/>
      <c r="M56" s="28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88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1186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78888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51"/>
      <c r="U9" s="51"/>
      <c r="V9" s="46"/>
      <c r="W9" s="46"/>
      <c r="X9" s="46"/>
      <c r="Y9" s="51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1">
        <f>SUM(B4:B9)</f>
        <v>80074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51"/>
      <c r="U10" s="51"/>
      <c r="V10" s="46"/>
      <c r="W10" s="46"/>
      <c r="X10" s="46"/>
      <c r="Y10" s="51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88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2">
        <v>51400</v>
      </c>
      <c r="C18" s="62">
        <v>1500</v>
      </c>
      <c r="D18" s="46">
        <v>0</v>
      </c>
      <c r="E18" s="46">
        <v>0</v>
      </c>
      <c r="F18" s="46">
        <v>0</v>
      </c>
      <c r="G18" s="62">
        <v>54000</v>
      </c>
      <c r="H18" s="46">
        <v>0</v>
      </c>
      <c r="I18" s="46"/>
      <c r="J18" s="46"/>
      <c r="K18" s="46"/>
      <c r="L18" s="46"/>
      <c r="M18" s="46"/>
      <c r="N18" s="46"/>
      <c r="O18" s="62">
        <f>G18+C18</f>
        <v>55500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860.26371999999992</v>
      </c>
      <c r="U21" s="3"/>
    </row>
    <row r="22" spans="1:21" ht="16" x14ac:dyDescent="0.2">
      <c r="A22" s="8" t="s">
        <v>25</v>
      </c>
      <c r="B22" s="51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2">
        <f>SUM(B17:B22)</f>
        <v>51400</v>
      </c>
      <c r="C23" s="62">
        <f t="shared" ref="C23:O23" si="0">SUM(C17:C22)</f>
        <v>1500</v>
      </c>
      <c r="D23" s="51">
        <f t="shared" si="0"/>
        <v>0</v>
      </c>
      <c r="E23" s="51">
        <f t="shared" si="0"/>
        <v>0</v>
      </c>
      <c r="F23" s="51">
        <f t="shared" si="0"/>
        <v>0</v>
      </c>
      <c r="G23" s="62">
        <f t="shared" si="0"/>
        <v>54000</v>
      </c>
      <c r="H23" s="51">
        <f t="shared" si="0"/>
        <v>0</v>
      </c>
      <c r="I23" s="51"/>
      <c r="J23" s="51"/>
      <c r="K23" s="51"/>
      <c r="L23" s="51"/>
      <c r="M23" s="51"/>
      <c r="N23" s="51"/>
      <c r="O23" s="62">
        <f t="shared" si="0"/>
        <v>55500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281.34971999999999</v>
      </c>
      <c r="U24" s="14">
        <f>N43</f>
        <v>0.32705054677884121</v>
      </c>
    </row>
    <row r="25" spans="1:21" ht="16" x14ac:dyDescent="0.2">
      <c r="B25" s="6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82.429000000000002</v>
      </c>
      <c r="U25" s="15">
        <f>G43</f>
        <v>9.5818291628060298E-2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34.003999999999998</v>
      </c>
      <c r="U27" s="14">
        <f>F43</f>
        <v>3.9527413756330447E-2</v>
      </c>
    </row>
    <row r="28" spans="1:21" ht="15.75" x14ac:dyDescent="0.25">
      <c r="A28" s="4" t="s">
        <v>88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1.0940000000000001</v>
      </c>
      <c r="U28" s="14">
        <f>E43</f>
        <v>1.2717030540355695E-3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19080</v>
      </c>
      <c r="D31" s="46">
        <v>0</v>
      </c>
      <c r="E31" s="46">
        <v>0</v>
      </c>
      <c r="F31" s="46">
        <v>1972</v>
      </c>
      <c r="G31" s="46">
        <v>0</v>
      </c>
      <c r="H31" s="46">
        <v>0</v>
      </c>
      <c r="I31" s="46"/>
      <c r="J31" s="46"/>
      <c r="K31" s="46"/>
      <c r="L31" s="46"/>
      <c r="M31" s="45"/>
      <c r="N31" s="60">
        <v>29150</v>
      </c>
      <c r="O31" s="60">
        <f>SUM(B31:N31)</f>
        <v>50202</v>
      </c>
      <c r="P31" s="16">
        <f>O31/O$39</f>
        <v>6.0488199848906014E-2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74">
        <v>2644</v>
      </c>
      <c r="C32" s="46">
        <v>6943</v>
      </c>
      <c r="D32" s="46">
        <v>0</v>
      </c>
      <c r="E32" s="60">
        <f>E39</f>
        <v>1094</v>
      </c>
      <c r="F32" s="46">
        <v>0</v>
      </c>
      <c r="G32" s="46">
        <v>6429</v>
      </c>
      <c r="H32" s="46">
        <v>0</v>
      </c>
      <c r="I32" s="46"/>
      <c r="J32" s="46"/>
      <c r="K32" s="46"/>
      <c r="L32" s="46"/>
      <c r="M32" s="45"/>
      <c r="N32" s="60">
        <f>O32-SUM(B32:M32)</f>
        <v>45772</v>
      </c>
      <c r="O32" s="46">
        <v>62882</v>
      </c>
      <c r="P32" s="16">
        <f>O32/O$39</f>
        <v>7.5766283871138762E-2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74">
        <v>9080</v>
      </c>
      <c r="C33" s="46">
        <v>829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f>O33-SUM(B33:M33)</f>
        <v>26477</v>
      </c>
      <c r="O33" s="46">
        <v>36386</v>
      </c>
      <c r="P33" s="16">
        <f>O33/O$39</f>
        <v>4.3841353724996895E-2</v>
      </c>
      <c r="Q33" s="17" t="s">
        <v>39</v>
      </c>
      <c r="R33" s="67"/>
      <c r="S33" s="3" t="s">
        <v>35</v>
      </c>
      <c r="T33" s="13">
        <f>C42/1000</f>
        <v>461.387</v>
      </c>
      <c r="U33" s="15">
        <f>C43</f>
        <v>0.53633204478273244</v>
      </c>
      <c r="W33" s="43"/>
      <c r="X33" s="60"/>
    </row>
    <row r="34" spans="1:48" ht="15.75" x14ac:dyDescent="0.25">
      <c r="A34" s="8" t="s">
        <v>40</v>
      </c>
      <c r="B34" s="46">
        <v>0</v>
      </c>
      <c r="C34" s="60">
        <f>O34-N34-F34</f>
        <v>359871</v>
      </c>
      <c r="D34" s="46">
        <v>0</v>
      </c>
      <c r="E34" s="46">
        <v>0</v>
      </c>
      <c r="F34" s="46">
        <v>32031</v>
      </c>
      <c r="G34" s="46">
        <v>0</v>
      </c>
      <c r="H34" s="46">
        <v>0</v>
      </c>
      <c r="I34" s="46"/>
      <c r="J34" s="46"/>
      <c r="K34" s="46"/>
      <c r="L34" s="46"/>
      <c r="M34" s="45"/>
      <c r="N34" s="60">
        <v>260</v>
      </c>
      <c r="O34" s="46">
        <v>392162</v>
      </c>
      <c r="P34" s="16">
        <f>O34/O$39</f>
        <v>0.47251450996268435</v>
      </c>
      <c r="Q34" s="17" t="s">
        <v>41</v>
      </c>
      <c r="R34" s="67"/>
      <c r="S34" s="3"/>
      <c r="T34" s="13">
        <f>SUM(T24:T33)</f>
        <v>860.26372000000003</v>
      </c>
      <c r="U34" s="14">
        <f>SUM(U24:U33)</f>
        <v>1</v>
      </c>
    </row>
    <row r="35" spans="1:48" ht="16" x14ac:dyDescent="0.2">
      <c r="A35" s="8" t="s">
        <v>42</v>
      </c>
      <c r="B35" s="62">
        <v>6700</v>
      </c>
      <c r="C35" s="46">
        <v>72597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60">
        <f>O35-SUM(B35:M35)</f>
        <v>35631</v>
      </c>
      <c r="O35" s="46">
        <v>114928</v>
      </c>
      <c r="P35" s="16">
        <f>O35/O$39</f>
        <v>0.13847631234283636</v>
      </c>
      <c r="Q35" s="17" t="s">
        <v>43</v>
      </c>
      <c r="R35" s="67"/>
    </row>
    <row r="36" spans="1:48" ht="16" x14ac:dyDescent="0.2">
      <c r="A36" s="8" t="s">
        <v>44</v>
      </c>
      <c r="B36" s="62">
        <v>3700</v>
      </c>
      <c r="C36" s="60">
        <f>C39-C37-SUM(C31:C35)</f>
        <v>512</v>
      </c>
      <c r="D36" s="46">
        <v>0</v>
      </c>
      <c r="E36" s="46">
        <v>0</v>
      </c>
      <c r="F36" s="46">
        <v>0</v>
      </c>
      <c r="G36" s="60">
        <v>22000</v>
      </c>
      <c r="H36" s="46">
        <v>0</v>
      </c>
      <c r="I36" s="46"/>
      <c r="J36" s="46"/>
      <c r="K36" s="46"/>
      <c r="L36" s="46"/>
      <c r="M36" s="45"/>
      <c r="N36" s="60">
        <f>O36-G36-C36-B36</f>
        <v>88909</v>
      </c>
      <c r="O36" s="46">
        <v>115121</v>
      </c>
      <c r="P36" s="17"/>
      <c r="Q36" s="17"/>
      <c r="R36" s="67"/>
      <c r="S36" s="7"/>
      <c r="T36" s="7"/>
      <c r="U36" s="7"/>
    </row>
    <row r="37" spans="1:48" ht="15.75" x14ac:dyDescent="0.25">
      <c r="A37" s="8" t="s">
        <v>45</v>
      </c>
      <c r="B37" s="62">
        <v>23900</v>
      </c>
      <c r="C37" s="46">
        <v>55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60">
        <v>7620</v>
      </c>
      <c r="O37" s="60">
        <f>SUM(B37:N37)</f>
        <v>31575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60">
        <v>26690</v>
      </c>
      <c r="O38" s="60">
        <f>SUM(B38:N38)</f>
        <v>26690</v>
      </c>
      <c r="P38" s="17">
        <f>SUM(P31:P35)</f>
        <v>0.79108665975056236</v>
      </c>
      <c r="Q38" s="17"/>
      <c r="R38" s="67"/>
      <c r="S38" s="7" t="s">
        <v>47</v>
      </c>
      <c r="T38" s="19">
        <f>O45/1000</f>
        <v>26.216720000000002</v>
      </c>
      <c r="U38" s="7"/>
    </row>
    <row r="39" spans="1:48" ht="16" x14ac:dyDescent="0.2">
      <c r="A39" s="8" t="s">
        <v>16</v>
      </c>
      <c r="B39" s="46">
        <v>46024</v>
      </c>
      <c r="C39" s="46">
        <v>459887</v>
      </c>
      <c r="D39" s="46">
        <v>0</v>
      </c>
      <c r="E39" s="60">
        <v>1094</v>
      </c>
      <c r="F39" s="46">
        <v>34004</v>
      </c>
      <c r="G39" s="60">
        <f>SUM(G31:G38)</f>
        <v>28429</v>
      </c>
      <c r="H39" s="46">
        <v>0</v>
      </c>
      <c r="I39" s="46"/>
      <c r="J39" s="46"/>
      <c r="K39" s="46"/>
      <c r="L39" s="46"/>
      <c r="M39" s="45"/>
      <c r="N39" s="46">
        <v>260509</v>
      </c>
      <c r="O39" s="46">
        <v>829947</v>
      </c>
      <c r="P39" s="67">
        <f>SUM(B39:N39)</f>
        <v>829947</v>
      </c>
      <c r="Q39" s="3"/>
      <c r="R39" s="67"/>
      <c r="S39" s="7" t="s">
        <v>48</v>
      </c>
      <c r="T39" s="20">
        <f>O41/1000</f>
        <v>173.386</v>
      </c>
      <c r="U39" s="14">
        <f>P41</f>
        <v>0.20891213535322134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114.928</v>
      </c>
      <c r="U40" s="15">
        <f>P35</f>
        <v>0.13847631234283636</v>
      </c>
    </row>
    <row r="41" spans="1:48" ht="16" x14ac:dyDescent="0.2">
      <c r="A41" s="21" t="s">
        <v>50</v>
      </c>
      <c r="B41" s="22">
        <f>B38+B37+B36</f>
        <v>27600</v>
      </c>
      <c r="C41" s="22">
        <f t="shared" ref="C41:O41" si="1">C38+C37+C36</f>
        <v>567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22000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123219</v>
      </c>
      <c r="O41" s="22">
        <f t="shared" si="1"/>
        <v>173386</v>
      </c>
      <c r="P41" s="16">
        <f>O41/O$39</f>
        <v>0.20891213535322134</v>
      </c>
      <c r="Q41" s="16" t="s">
        <v>51</v>
      </c>
      <c r="R41" s="7"/>
      <c r="S41" s="7" t="s">
        <v>52</v>
      </c>
      <c r="T41" s="20">
        <f>O33/1000</f>
        <v>36.386000000000003</v>
      </c>
      <c r="U41" s="14">
        <f>P33</f>
        <v>4.3841353724996895E-2</v>
      </c>
    </row>
    <row r="42" spans="1:48" ht="16" x14ac:dyDescent="0.2">
      <c r="A42" s="23" t="s">
        <v>53</v>
      </c>
      <c r="B42" s="22"/>
      <c r="C42" s="24">
        <f>C39+C23+C10</f>
        <v>461387</v>
      </c>
      <c r="D42" s="24">
        <f t="shared" ref="D42:M42" si="2">D39+D23+D10</f>
        <v>0</v>
      </c>
      <c r="E42" s="24">
        <f t="shared" si="2"/>
        <v>1094</v>
      </c>
      <c r="F42" s="24">
        <f t="shared" si="2"/>
        <v>34004</v>
      </c>
      <c r="G42" s="24">
        <f t="shared" si="2"/>
        <v>82429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281349.71999999997</v>
      </c>
      <c r="O42" s="25">
        <f>SUM(C42:N42)</f>
        <v>860263.72</v>
      </c>
      <c r="P42" s="7"/>
      <c r="Q42" s="7"/>
      <c r="R42" s="7"/>
      <c r="S42" s="7" t="s">
        <v>34</v>
      </c>
      <c r="T42" s="20">
        <f>O31/1000</f>
        <v>50.201999999999998</v>
      </c>
      <c r="U42" s="14">
        <f>P31</f>
        <v>6.0488199848906014E-2</v>
      </c>
    </row>
    <row r="43" spans="1:48" ht="16" x14ac:dyDescent="0.2">
      <c r="A43" s="23" t="s">
        <v>54</v>
      </c>
      <c r="B43" s="22"/>
      <c r="C43" s="16">
        <f t="shared" ref="C43:N43" si="3">C42/$O42</f>
        <v>0.53633204478273244</v>
      </c>
      <c r="D43" s="16">
        <f t="shared" si="3"/>
        <v>0</v>
      </c>
      <c r="E43" s="16">
        <f t="shared" si="3"/>
        <v>1.2717030540355695E-3</v>
      </c>
      <c r="F43" s="16">
        <f t="shared" si="3"/>
        <v>3.9527413756330447E-2</v>
      </c>
      <c r="G43" s="16">
        <f t="shared" si="3"/>
        <v>9.5818291628060298E-2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0.32705054677884121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62.881999999999998</v>
      </c>
      <c r="U43" s="15">
        <f>P32</f>
        <v>7.5766283871138762E-2</v>
      </c>
    </row>
    <row r="44" spans="1:48" ht="16" x14ac:dyDescent="0.2">
      <c r="A44" s="6"/>
      <c r="B44" s="6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392.16199999999998</v>
      </c>
      <c r="U44" s="15">
        <f>P34</f>
        <v>0.47251450996268435</v>
      </c>
    </row>
    <row r="45" spans="1:48" ht="16" x14ac:dyDescent="0.2">
      <c r="A45" s="6" t="s">
        <v>57</v>
      </c>
      <c r="B45" s="26">
        <f>B23-B39</f>
        <v>5376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20840.72</v>
      </c>
      <c r="O45" s="25">
        <f>B45+N45</f>
        <v>26216.720000000001</v>
      </c>
      <c r="P45" s="7"/>
      <c r="Q45" s="7"/>
      <c r="R45" s="7"/>
      <c r="S45" s="7" t="s">
        <v>58</v>
      </c>
      <c r="T45" s="20">
        <f>SUM(T39:T44)</f>
        <v>829.94599999999991</v>
      </c>
      <c r="U45" s="14">
        <f>SUM(U39:U44)</f>
        <v>0.99999879510378364</v>
      </c>
    </row>
    <row r="46" spans="1:48" ht="16" x14ac:dyDescent="0.2">
      <c r="A46" s="9" t="s">
        <v>91</v>
      </c>
      <c r="B46" s="70">
        <f>B45/B23</f>
        <v>0.10459143968871595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9"/>
      <c r="O47" s="27"/>
      <c r="P47" s="9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89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615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5218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5833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89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198476</v>
      </c>
      <c r="C17" s="46">
        <v>756</v>
      </c>
      <c r="D17" s="61">
        <v>0</v>
      </c>
      <c r="E17" s="46">
        <v>0</v>
      </c>
      <c r="F17" s="46">
        <v>188</v>
      </c>
      <c r="G17" s="79">
        <f>214352-16518</f>
        <v>197834</v>
      </c>
      <c r="H17" s="46">
        <v>0</v>
      </c>
      <c r="I17" s="46"/>
      <c r="J17" s="46"/>
      <c r="K17" s="61">
        <v>32279</v>
      </c>
      <c r="L17" s="46"/>
      <c r="M17" s="46"/>
      <c r="N17" s="46"/>
      <c r="O17" s="65">
        <f>SUM(C17:N17)</f>
        <v>231057</v>
      </c>
      <c r="P17" s="67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13629</v>
      </c>
      <c r="C18" s="46">
        <v>0</v>
      </c>
      <c r="D18" s="46">
        <v>0</v>
      </c>
      <c r="E18" s="46">
        <v>0</v>
      </c>
      <c r="F18" s="46">
        <v>0</v>
      </c>
      <c r="G18" s="46">
        <v>14093</v>
      </c>
      <c r="H18" s="46">
        <v>0</v>
      </c>
      <c r="I18" s="46"/>
      <c r="J18" s="46"/>
      <c r="K18" s="46"/>
      <c r="L18" s="46"/>
      <c r="M18" s="46"/>
      <c r="N18" s="46"/>
      <c r="O18" s="46">
        <v>14093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1143.4632799999999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212105</v>
      </c>
      <c r="C23" s="46">
        <v>756</v>
      </c>
      <c r="D23" s="65">
        <v>0</v>
      </c>
      <c r="E23" s="46">
        <v>0</v>
      </c>
      <c r="F23" s="46">
        <v>188</v>
      </c>
      <c r="G23" s="79">
        <f>SUM(G17:G22)</f>
        <v>211927</v>
      </c>
      <c r="H23" s="46">
        <v>0</v>
      </c>
      <c r="I23" s="46"/>
      <c r="J23" s="46"/>
      <c r="K23" s="61">
        <f>SUM(K17:K22)</f>
        <v>32279</v>
      </c>
      <c r="L23" s="46"/>
      <c r="M23" s="46"/>
      <c r="N23" s="46"/>
      <c r="O23" s="61">
        <f>SUM(O17:O22)</f>
        <v>245150</v>
      </c>
      <c r="P23" s="67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354.14928000000003</v>
      </c>
      <c r="U24" s="14">
        <f>N43</f>
        <v>0.3097163557364081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249.059</v>
      </c>
      <c r="U25" s="15">
        <f>G43</f>
        <v>0.21781110452449334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37.201000000000001</v>
      </c>
      <c r="U27" s="14">
        <f>F43</f>
        <v>3.2533620143884286E-2</v>
      </c>
    </row>
    <row r="28" spans="1:21" ht="16" x14ac:dyDescent="0.2">
      <c r="A28" s="4" t="s">
        <v>89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3.4140000000000001</v>
      </c>
      <c r="U28" s="14">
        <f>E43</f>
        <v>2.9856664920626047E-3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32.279000000000003</v>
      </c>
      <c r="U30" s="52">
        <f>K43</f>
        <v>2.8229153104068195E-2</v>
      </c>
    </row>
    <row r="31" spans="1:21" ht="15.75" x14ac:dyDescent="0.25">
      <c r="A31" s="8" t="s">
        <v>33</v>
      </c>
      <c r="B31" s="46">
        <v>0</v>
      </c>
      <c r="C31" s="46">
        <v>17311</v>
      </c>
      <c r="D31" s="46">
        <v>0</v>
      </c>
      <c r="E31" s="46">
        <v>0</v>
      </c>
      <c r="F31" s="46">
        <v>1758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24221</v>
      </c>
      <c r="O31" s="46">
        <v>43289</v>
      </c>
      <c r="P31" s="16">
        <f>O31/O$39</f>
        <v>4.1187921736383602E-2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9586</v>
      </c>
      <c r="C32" s="46">
        <v>910</v>
      </c>
      <c r="D32" s="46">
        <v>0</v>
      </c>
      <c r="E32" s="46">
        <v>3414</v>
      </c>
      <c r="F32" s="46">
        <v>0</v>
      </c>
      <c r="G32" s="46">
        <v>2106</v>
      </c>
      <c r="H32" s="46">
        <v>0</v>
      </c>
      <c r="I32" s="46"/>
      <c r="J32" s="46"/>
      <c r="K32" s="46"/>
      <c r="L32" s="46"/>
      <c r="M32" s="45"/>
      <c r="N32" s="46">
        <v>33567</v>
      </c>
      <c r="O32" s="46">
        <v>49583</v>
      </c>
      <c r="P32" s="16">
        <f>O32/O$39</f>
        <v>4.7176435663912497E-2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36615</v>
      </c>
      <c r="C33" s="46">
        <v>1275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38301</v>
      </c>
      <c r="O33" s="46">
        <v>76191</v>
      </c>
      <c r="P33" s="16">
        <f>O33/O$39</f>
        <v>7.2492987710891979E-2</v>
      </c>
      <c r="Q33" s="17" t="s">
        <v>39</v>
      </c>
      <c r="R33" s="67"/>
      <c r="S33" s="3" t="s">
        <v>35</v>
      </c>
      <c r="T33" s="13">
        <f>C42/1000</f>
        <v>467.36099999999999</v>
      </c>
      <c r="U33" s="15">
        <f>C43</f>
        <v>0.40872409999908349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444710</v>
      </c>
      <c r="D34" s="46">
        <v>0</v>
      </c>
      <c r="E34" s="46">
        <v>0</v>
      </c>
      <c r="F34" s="46">
        <v>35255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188</v>
      </c>
      <c r="O34" s="46">
        <v>480153</v>
      </c>
      <c r="P34" s="16">
        <f>O34/O$39</f>
        <v>0.45684825672780138</v>
      </c>
      <c r="Q34" s="17" t="s">
        <v>41</v>
      </c>
      <c r="R34" s="67"/>
      <c r="S34" s="3"/>
      <c r="T34" s="13">
        <f>SUM(T24:T33)</f>
        <v>1143.4632799999999</v>
      </c>
      <c r="U34" s="14">
        <f>SUM(U24:U33)</f>
        <v>1</v>
      </c>
    </row>
    <row r="35" spans="1:48" ht="16" x14ac:dyDescent="0.2">
      <c r="A35" s="8" t="s">
        <v>42</v>
      </c>
      <c r="B35" s="46">
        <v>9927</v>
      </c>
      <c r="C35" s="46">
        <v>1574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83461</v>
      </c>
      <c r="O35" s="46">
        <v>94962</v>
      </c>
      <c r="P35" s="16">
        <f>O35/O$39</f>
        <v>9.0352916998093266E-2</v>
      </c>
      <c r="Q35" s="17" t="s">
        <v>43</v>
      </c>
      <c r="R35" s="67"/>
    </row>
    <row r="36" spans="1:48" ht="16" x14ac:dyDescent="0.2">
      <c r="A36" s="8" t="s">
        <v>44</v>
      </c>
      <c r="B36" s="46">
        <v>39343</v>
      </c>
      <c r="C36" s="46">
        <v>745</v>
      </c>
      <c r="D36" s="46">
        <v>0</v>
      </c>
      <c r="E36" s="46">
        <v>0</v>
      </c>
      <c r="F36" s="46">
        <v>0</v>
      </c>
      <c r="G36" s="46">
        <v>35026</v>
      </c>
      <c r="H36" s="46">
        <v>0</v>
      </c>
      <c r="I36" s="46"/>
      <c r="J36" s="46"/>
      <c r="K36" s="46"/>
      <c r="L36" s="46"/>
      <c r="M36" s="45"/>
      <c r="N36" s="46">
        <v>119203</v>
      </c>
      <c r="O36" s="46">
        <v>194318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83461</v>
      </c>
      <c r="C37" s="46">
        <v>80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17892</v>
      </c>
      <c r="O37" s="46">
        <v>101433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11083</v>
      </c>
      <c r="O38" s="46">
        <v>11083</v>
      </c>
      <c r="P38" s="17">
        <f>SUM(P31:P35)</f>
        <v>0.70805851883708271</v>
      </c>
      <c r="Q38" s="17"/>
      <c r="R38" s="67"/>
      <c r="S38" s="7" t="s">
        <v>47</v>
      </c>
      <c r="T38" s="19">
        <f>O45/1000</f>
        <v>59.406279999999995</v>
      </c>
      <c r="U38" s="7"/>
    </row>
    <row r="39" spans="1:48" ht="16" x14ac:dyDescent="0.2">
      <c r="A39" s="8" t="s">
        <v>16</v>
      </c>
      <c r="B39" s="46">
        <v>178932</v>
      </c>
      <c r="C39" s="46">
        <v>466605</v>
      </c>
      <c r="D39" s="46">
        <v>0</v>
      </c>
      <c r="E39" s="46">
        <v>3414</v>
      </c>
      <c r="F39" s="46">
        <v>37013</v>
      </c>
      <c r="G39" s="46">
        <v>37132</v>
      </c>
      <c r="H39" s="46">
        <v>0</v>
      </c>
      <c r="I39" s="46"/>
      <c r="J39" s="46"/>
      <c r="K39" s="46"/>
      <c r="L39" s="46"/>
      <c r="M39" s="45"/>
      <c r="N39" s="46">
        <v>327916</v>
      </c>
      <c r="O39" s="46">
        <v>1051012</v>
      </c>
      <c r="P39" s="3"/>
      <c r="Q39" s="3"/>
      <c r="R39" s="67"/>
      <c r="S39" s="7" t="s">
        <v>48</v>
      </c>
      <c r="T39" s="20">
        <f>O41/1000</f>
        <v>306.834</v>
      </c>
      <c r="U39" s="14">
        <f>P41</f>
        <v>0.29194148116291724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94.962000000000003</v>
      </c>
      <c r="U40" s="15">
        <f>P35</f>
        <v>9.0352916998093266E-2</v>
      </c>
    </row>
    <row r="41" spans="1:48" ht="16" x14ac:dyDescent="0.2">
      <c r="A41" s="21" t="s">
        <v>50</v>
      </c>
      <c r="B41" s="22">
        <f>B38+B37+B36</f>
        <v>122804</v>
      </c>
      <c r="C41" s="22">
        <f t="shared" ref="C41:O41" si="0">C38+C37+C36</f>
        <v>825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35026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148178</v>
      </c>
      <c r="O41" s="22">
        <f t="shared" si="0"/>
        <v>306834</v>
      </c>
      <c r="P41" s="16">
        <f>O41/O$39</f>
        <v>0.29194148116291724</v>
      </c>
      <c r="Q41" s="16" t="s">
        <v>51</v>
      </c>
      <c r="R41" s="7"/>
      <c r="S41" s="7" t="s">
        <v>52</v>
      </c>
      <c r="T41" s="20">
        <f>O33/1000</f>
        <v>76.191000000000003</v>
      </c>
      <c r="U41" s="14">
        <f>P33</f>
        <v>7.2492987710891979E-2</v>
      </c>
    </row>
    <row r="42" spans="1:48" ht="16" x14ac:dyDescent="0.2">
      <c r="A42" s="23" t="s">
        <v>53</v>
      </c>
      <c r="B42" s="22"/>
      <c r="C42" s="24">
        <f>C39+C23+C10</f>
        <v>467361</v>
      </c>
      <c r="D42" s="24">
        <f t="shared" ref="D42:M42" si="1">D39+D23+D10</f>
        <v>0</v>
      </c>
      <c r="E42" s="24">
        <f t="shared" si="1"/>
        <v>3414</v>
      </c>
      <c r="F42" s="24">
        <f t="shared" si="1"/>
        <v>37201</v>
      </c>
      <c r="G42" s="24">
        <f t="shared" si="1"/>
        <v>249059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32279</v>
      </c>
      <c r="L42" s="24">
        <f t="shared" si="1"/>
        <v>0</v>
      </c>
      <c r="M42" s="24">
        <f t="shared" si="1"/>
        <v>0</v>
      </c>
      <c r="N42" s="24">
        <f>N39+N23-B6+N45</f>
        <v>354149.28</v>
      </c>
      <c r="O42" s="25">
        <f>SUM(C42:N42)</f>
        <v>1143463.28</v>
      </c>
      <c r="P42" s="7"/>
      <c r="Q42" s="7"/>
      <c r="R42" s="7"/>
      <c r="S42" s="7" t="s">
        <v>34</v>
      </c>
      <c r="T42" s="20">
        <f>O31/1000</f>
        <v>43.289000000000001</v>
      </c>
      <c r="U42" s="14">
        <f>P31</f>
        <v>4.1187921736383602E-2</v>
      </c>
    </row>
    <row r="43" spans="1:48" ht="16" x14ac:dyDescent="0.2">
      <c r="A43" s="23" t="s">
        <v>54</v>
      </c>
      <c r="B43" s="22"/>
      <c r="C43" s="16">
        <f t="shared" ref="C43:N43" si="2">C42/$O42</f>
        <v>0.40872409999908349</v>
      </c>
      <c r="D43" s="16">
        <f t="shared" si="2"/>
        <v>0</v>
      </c>
      <c r="E43" s="16">
        <f t="shared" si="2"/>
        <v>2.9856664920626047E-3</v>
      </c>
      <c r="F43" s="16">
        <f t="shared" si="2"/>
        <v>3.2533620143884286E-2</v>
      </c>
      <c r="G43" s="16">
        <f t="shared" si="2"/>
        <v>0.21781110452449334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2.8229153104068195E-2</v>
      </c>
      <c r="L43" s="16">
        <f t="shared" si="2"/>
        <v>0</v>
      </c>
      <c r="M43" s="16">
        <f t="shared" si="2"/>
        <v>0</v>
      </c>
      <c r="N43" s="16">
        <f t="shared" si="2"/>
        <v>0.3097163557364081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49.582999999999998</v>
      </c>
      <c r="U43" s="15">
        <f>P32</f>
        <v>4.7176435663912497E-2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480.15300000000002</v>
      </c>
      <c r="U44" s="15">
        <f>P34</f>
        <v>0.45684825672780138</v>
      </c>
    </row>
    <row r="45" spans="1:48" ht="16" x14ac:dyDescent="0.2">
      <c r="A45" s="6" t="s">
        <v>57</v>
      </c>
      <c r="B45" s="26">
        <f>B23-B39</f>
        <v>33173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26233.279999999999</v>
      </c>
      <c r="O45" s="25">
        <f>B45+N45</f>
        <v>59406.28</v>
      </c>
      <c r="P45" s="7"/>
      <c r="Q45" s="7"/>
      <c r="R45" s="7"/>
      <c r="S45" s="7" t="s">
        <v>58</v>
      </c>
      <c r="T45" s="20">
        <f>SUM(T39:T44)</f>
        <v>1051.0119999999999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0.15639895334857737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8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8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V70"/>
  <sheetViews>
    <sheetView tabSelected="1" workbookViewId="0">
      <selection activeCell="H25" sqref="H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1.1640625" style="2" customWidth="1"/>
    <col min="4" max="4" width="10" style="2" customWidth="1"/>
    <col min="5" max="11" width="8.6640625" style="2"/>
    <col min="12" max="13" width="5.6640625" style="2" customWidth="1"/>
    <col min="14" max="14" width="10.33203125" style="2" bestFit="1" customWidth="1"/>
    <col min="15" max="15" width="11.1640625" style="2" customWidth="1"/>
    <col min="16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90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1511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61">
        <v>9591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3006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2706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51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51"/>
      <c r="AH9" s="45"/>
      <c r="AI9" s="45"/>
    </row>
    <row r="10" spans="1:35" ht="16" x14ac:dyDescent="0.2">
      <c r="A10" s="8" t="s">
        <v>16</v>
      </c>
      <c r="B10" s="66">
        <f>SUM(B4:B9)</f>
        <v>16814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51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1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90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203953</v>
      </c>
      <c r="C17" s="61">
        <v>1528</v>
      </c>
      <c r="D17" s="61">
        <v>0</v>
      </c>
      <c r="E17" s="46">
        <v>0</v>
      </c>
      <c r="F17" s="46">
        <v>0</v>
      </c>
      <c r="G17" s="61">
        <v>81099</v>
      </c>
      <c r="H17" s="46">
        <v>0</v>
      </c>
      <c r="I17" s="46"/>
      <c r="J17" s="46"/>
      <c r="K17" s="61">
        <v>142038</v>
      </c>
      <c r="L17" s="46"/>
      <c r="M17" s="46"/>
      <c r="N17" s="61">
        <v>7865</v>
      </c>
      <c r="O17" s="61">
        <f>SUM(C17:N17)</f>
        <v>232530</v>
      </c>
      <c r="P17" s="67"/>
      <c r="Q17" s="3"/>
      <c r="R17" s="3"/>
      <c r="S17" s="3"/>
      <c r="T17" s="3"/>
      <c r="U17" s="3"/>
    </row>
    <row r="18" spans="1:21" ht="16" x14ac:dyDescent="0.2">
      <c r="A18" s="8" t="s">
        <v>21</v>
      </c>
      <c r="B18" s="61">
        <f>29740+10000</f>
        <v>39740</v>
      </c>
      <c r="C18" s="62">
        <v>1200</v>
      </c>
      <c r="D18" s="46">
        <v>0</v>
      </c>
      <c r="E18" s="46">
        <v>0</v>
      </c>
      <c r="F18" s="46">
        <v>0</v>
      </c>
      <c r="G18" s="61">
        <f>34599+11000</f>
        <v>45599</v>
      </c>
      <c r="H18" s="46">
        <v>0</v>
      </c>
      <c r="I18" s="46"/>
      <c r="J18" s="46"/>
      <c r="K18" s="46"/>
      <c r="L18" s="46"/>
      <c r="M18" s="46"/>
      <c r="N18" s="61">
        <v>800</v>
      </c>
      <c r="O18" s="62">
        <f>N18+G18+C18</f>
        <v>47599</v>
      </c>
      <c r="P18" s="3"/>
      <c r="Q18" s="3"/>
      <c r="R18" s="3"/>
      <c r="S18" s="3"/>
      <c r="T18" s="3"/>
      <c r="U18" s="3"/>
    </row>
    <row r="19" spans="1:21" ht="16" x14ac:dyDescent="0.2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1994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1507.02576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1">
        <f>SUM(B17:B22)</f>
        <v>245687</v>
      </c>
      <c r="C23" s="62">
        <f>C17+C18</f>
        <v>2728</v>
      </c>
      <c r="D23" s="61">
        <f t="shared" ref="D23:F23" si="0">SUM(D17:D22)</f>
        <v>0</v>
      </c>
      <c r="E23" s="46">
        <f t="shared" si="0"/>
        <v>0</v>
      </c>
      <c r="F23" s="46">
        <f t="shared" si="0"/>
        <v>0</v>
      </c>
      <c r="G23" s="61">
        <f>SUM(G17:G22)</f>
        <v>126698</v>
      </c>
      <c r="H23" s="46">
        <v>0</v>
      </c>
      <c r="I23" s="46"/>
      <c r="J23" s="46"/>
      <c r="K23" s="61">
        <f>K17</f>
        <v>142038</v>
      </c>
      <c r="L23" s="46"/>
      <c r="M23" s="46"/>
      <c r="N23" s="61">
        <f>N17+N18</f>
        <v>8665</v>
      </c>
      <c r="O23" s="62">
        <f>O17+O18</f>
        <v>280129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63"/>
      <c r="O24" s="10"/>
      <c r="P24" s="3"/>
      <c r="Q24" s="3"/>
      <c r="R24" s="3"/>
      <c r="S24" s="3" t="s">
        <v>10</v>
      </c>
      <c r="T24" s="13">
        <f>N42/1000</f>
        <v>536.15476000000001</v>
      </c>
      <c r="U24" s="14">
        <f>N43</f>
        <v>0.35577013627159232</v>
      </c>
    </row>
    <row r="25" spans="1:21" ht="16" x14ac:dyDescent="0.2">
      <c r="B25" s="77"/>
      <c r="C25" s="4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289.70999999999998</v>
      </c>
      <c r="U25" s="15">
        <f>G43</f>
        <v>0.19223958056297591</v>
      </c>
    </row>
    <row r="26" spans="1:21" ht="15.75" x14ac:dyDescent="0.25">
      <c r="B26" s="10"/>
      <c r="C26" s="4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32.561999999999998</v>
      </c>
      <c r="U27" s="14">
        <f>F43</f>
        <v>2.1606797218914162E-2</v>
      </c>
    </row>
    <row r="28" spans="1:21" ht="16" x14ac:dyDescent="0.2">
      <c r="A28" s="4" t="s">
        <v>90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0.38900000000000001</v>
      </c>
      <c r="U28" s="14">
        <f>E43</f>
        <v>2.5812432031686042E-4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45.667000000000002</v>
      </c>
      <c r="U29" s="52">
        <f>D43</f>
        <v>3.0302733511336926E-2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142.03800000000001</v>
      </c>
      <c r="U30" s="52">
        <f>K43</f>
        <v>9.4250545524848892E-2</v>
      </c>
    </row>
    <row r="31" spans="1:21" ht="16" x14ac:dyDescent="0.2">
      <c r="A31" s="8" t="s">
        <v>33</v>
      </c>
      <c r="B31" s="46">
        <v>0</v>
      </c>
      <c r="C31" s="46">
        <v>20666</v>
      </c>
      <c r="D31" s="46">
        <v>0</v>
      </c>
      <c r="E31" s="46">
        <v>0</v>
      </c>
      <c r="F31" s="46">
        <v>2005</v>
      </c>
      <c r="G31" s="46">
        <v>0</v>
      </c>
      <c r="H31" s="46">
        <v>0</v>
      </c>
      <c r="I31" s="46"/>
      <c r="J31" s="46"/>
      <c r="K31" s="46"/>
      <c r="L31" s="46"/>
      <c r="M31" s="46"/>
      <c r="N31" s="46">
        <v>26280</v>
      </c>
      <c r="O31" s="46">
        <v>48951</v>
      </c>
      <c r="P31" s="16">
        <f>O31/O$39</f>
        <v>3.4860369092196135E-2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60">
        <v>6944</v>
      </c>
      <c r="C32" s="46">
        <v>39014</v>
      </c>
      <c r="D32" s="86">
        <v>45667</v>
      </c>
      <c r="E32" s="86">
        <v>389</v>
      </c>
      <c r="F32" s="46">
        <v>0</v>
      </c>
      <c r="G32" s="68">
        <f>G39-G36</f>
        <v>61512</v>
      </c>
      <c r="H32" s="46">
        <v>0</v>
      </c>
      <c r="I32" s="46"/>
      <c r="J32" s="46"/>
      <c r="K32" s="46"/>
      <c r="L32" s="46"/>
      <c r="M32" s="46"/>
      <c r="N32" s="68">
        <f>O32-SUM(B32:H32)</f>
        <v>151432</v>
      </c>
      <c r="O32" s="114">
        <v>304958</v>
      </c>
      <c r="P32" s="16">
        <f>O32/O$39</f>
        <v>0.21717530668664481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61">
        <v>41114</v>
      </c>
      <c r="C33" s="46">
        <v>4299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6"/>
      <c r="N33" s="68">
        <f>N39-SUM(N34:N38)-N32-N31</f>
        <v>49879</v>
      </c>
      <c r="O33" s="68">
        <f>O39-SUM(O34:O38)-O32-O31</f>
        <v>95292</v>
      </c>
      <c r="P33" s="16">
        <f>O33/O$39</f>
        <v>6.7862031246216717E-2</v>
      </c>
      <c r="Q33" s="17" t="s">
        <v>39</v>
      </c>
      <c r="R33" s="67"/>
      <c r="S33" s="3" t="s">
        <v>35</v>
      </c>
      <c r="T33" s="13">
        <f>C42/1000</f>
        <v>460.505</v>
      </c>
      <c r="U33" s="15">
        <f>C43</f>
        <v>0.30557208259001489</v>
      </c>
      <c r="W33" s="43"/>
      <c r="X33" s="68"/>
    </row>
    <row r="34" spans="1:48" ht="16" x14ac:dyDescent="0.2">
      <c r="A34" s="8" t="s">
        <v>40</v>
      </c>
      <c r="B34" s="46">
        <v>0</v>
      </c>
      <c r="C34" s="46">
        <v>390580</v>
      </c>
      <c r="D34" s="46">
        <v>0</v>
      </c>
      <c r="E34" s="46">
        <v>0</v>
      </c>
      <c r="F34" s="46">
        <v>30556</v>
      </c>
      <c r="G34" s="46">
        <v>0</v>
      </c>
      <c r="H34" s="46">
        <v>0</v>
      </c>
      <c r="I34" s="46"/>
      <c r="J34" s="46"/>
      <c r="K34" s="46"/>
      <c r="L34" s="46"/>
      <c r="M34" s="46"/>
      <c r="N34" s="46">
        <v>868</v>
      </c>
      <c r="O34" s="46">
        <v>422005</v>
      </c>
      <c r="P34" s="16">
        <f>O34/O$39</f>
        <v>0.30053012315891875</v>
      </c>
      <c r="Q34" s="17" t="s">
        <v>41</v>
      </c>
      <c r="R34" s="67"/>
      <c r="S34" s="3"/>
      <c r="T34" s="13">
        <f>SUM(T24:T33)</f>
        <v>1507.02576</v>
      </c>
      <c r="U34" s="14">
        <f>SUM(U24:U33)</f>
        <v>1</v>
      </c>
    </row>
    <row r="35" spans="1:48" ht="16" x14ac:dyDescent="0.2">
      <c r="A35" s="8" t="s">
        <v>42</v>
      </c>
      <c r="B35" s="60">
        <f>B39-B37-B36-B33-B32</f>
        <v>27923</v>
      </c>
      <c r="C35" s="46">
        <v>2009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6"/>
      <c r="N35" s="46">
        <v>87653</v>
      </c>
      <c r="O35" s="68">
        <f>SUM(B35:N35)</f>
        <v>117585</v>
      </c>
      <c r="P35" s="16">
        <f>O35/O$39</f>
        <v>8.3737952231943844E-2</v>
      </c>
      <c r="Q35" s="17" t="s">
        <v>43</v>
      </c>
      <c r="R35" s="67"/>
    </row>
    <row r="36" spans="1:48" ht="16" x14ac:dyDescent="0.2">
      <c r="A36" s="8" t="s">
        <v>44</v>
      </c>
      <c r="B36" s="61">
        <v>49657</v>
      </c>
      <c r="C36" s="46">
        <v>1179</v>
      </c>
      <c r="D36" s="46">
        <v>0</v>
      </c>
      <c r="E36" s="46">
        <v>0</v>
      </c>
      <c r="F36" s="46">
        <v>0</v>
      </c>
      <c r="G36" s="68">
        <v>101500</v>
      </c>
      <c r="H36" s="46">
        <v>0</v>
      </c>
      <c r="I36" s="46"/>
      <c r="J36" s="46"/>
      <c r="K36" s="46"/>
      <c r="L36" s="46"/>
      <c r="M36" s="46"/>
      <c r="N36" s="68">
        <v>153836</v>
      </c>
      <c r="O36" s="66">
        <f>SUM(B36:N36)</f>
        <v>306172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1">
        <v>81860</v>
      </c>
      <c r="C37" s="46">
        <v>30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6"/>
      <c r="N37" s="46">
        <v>17030</v>
      </c>
      <c r="O37" s="66">
        <f>SUM(B37:N37)</f>
        <v>98920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6"/>
      <c r="N38" s="46">
        <v>10319</v>
      </c>
      <c r="O38" s="46">
        <v>10319</v>
      </c>
      <c r="P38" s="17">
        <f>SUM(P31:P35)</f>
        <v>0.70416578241592021</v>
      </c>
      <c r="Q38" s="17"/>
      <c r="R38" s="67"/>
      <c r="S38" s="7" t="s">
        <v>47</v>
      </c>
      <c r="T38" s="19">
        <f>O45/1000</f>
        <v>77.972760000000008</v>
      </c>
      <c r="U38" s="7"/>
    </row>
    <row r="39" spans="1:48" ht="16" x14ac:dyDescent="0.2">
      <c r="A39" s="8" t="s">
        <v>16</v>
      </c>
      <c r="B39" s="61">
        <f>198498+9000</f>
        <v>207498</v>
      </c>
      <c r="C39" s="46">
        <v>457777</v>
      </c>
      <c r="D39" s="86">
        <v>45667</v>
      </c>
      <c r="E39" s="86">
        <f>SUM(E31:E38)</f>
        <v>389</v>
      </c>
      <c r="F39" s="46">
        <v>32562</v>
      </c>
      <c r="G39" s="68">
        <f>O39-N39-SUM(B39:F39)</f>
        <v>163012</v>
      </c>
      <c r="H39" s="46">
        <v>0</v>
      </c>
      <c r="I39" s="46"/>
      <c r="J39" s="46"/>
      <c r="K39" s="46"/>
      <c r="L39" s="46"/>
      <c r="M39" s="46"/>
      <c r="N39" s="46">
        <v>497297</v>
      </c>
      <c r="O39" s="61">
        <f>1395202+9000</f>
        <v>1404202</v>
      </c>
      <c r="P39" s="3"/>
      <c r="Q39" s="3"/>
      <c r="R39" s="67"/>
      <c r="S39" s="7" t="s">
        <v>48</v>
      </c>
      <c r="T39" s="20">
        <f>O41/1000</f>
        <v>415.411</v>
      </c>
      <c r="U39" s="14">
        <f>P41</f>
        <v>0.29583421758407979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117.58499999999999</v>
      </c>
      <c r="U40" s="15">
        <f>P35</f>
        <v>8.3737952231943844E-2</v>
      </c>
    </row>
    <row r="41" spans="1:48" ht="16" x14ac:dyDescent="0.2">
      <c r="A41" s="21" t="s">
        <v>50</v>
      </c>
      <c r="B41" s="22">
        <v>45278</v>
      </c>
      <c r="C41" s="22">
        <f t="shared" ref="C41:O41" si="1">C38+C37+C36</f>
        <v>1209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101500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181185</v>
      </c>
      <c r="O41" s="22">
        <f t="shared" si="1"/>
        <v>415411</v>
      </c>
      <c r="P41" s="16">
        <f>O41/O$39</f>
        <v>0.29583421758407979</v>
      </c>
      <c r="Q41" s="16" t="s">
        <v>51</v>
      </c>
      <c r="R41" s="7"/>
      <c r="S41" s="7" t="s">
        <v>52</v>
      </c>
      <c r="T41" s="20">
        <f>O33/1000</f>
        <v>95.292000000000002</v>
      </c>
      <c r="U41" s="14">
        <f>P33</f>
        <v>6.7862031246216717E-2</v>
      </c>
    </row>
    <row r="42" spans="1:48" ht="16" x14ac:dyDescent="0.2">
      <c r="A42" s="23" t="s">
        <v>53</v>
      </c>
      <c r="B42" s="22"/>
      <c r="C42" s="24">
        <f>C39+C23+C10</f>
        <v>460505</v>
      </c>
      <c r="D42" s="24">
        <f t="shared" ref="D42:M42" si="2">D39+D23+D10</f>
        <v>45667</v>
      </c>
      <c r="E42" s="24">
        <f t="shared" si="2"/>
        <v>389</v>
      </c>
      <c r="F42" s="24">
        <f t="shared" si="2"/>
        <v>32562</v>
      </c>
      <c r="G42" s="24">
        <f t="shared" si="2"/>
        <v>289710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142038</v>
      </c>
      <c r="L42" s="24">
        <f t="shared" si="2"/>
        <v>0</v>
      </c>
      <c r="M42" s="24">
        <f t="shared" si="2"/>
        <v>0</v>
      </c>
      <c r="N42" s="24">
        <f>N39+N23-B6+N45</f>
        <v>536154.76</v>
      </c>
      <c r="O42" s="25">
        <f>SUM(C42:N42)</f>
        <v>1507025.76</v>
      </c>
      <c r="P42" s="7"/>
      <c r="Q42" s="7"/>
      <c r="R42" s="7"/>
      <c r="S42" s="7" t="s">
        <v>34</v>
      </c>
      <c r="T42" s="20">
        <f>O31/1000</f>
        <v>48.951000000000001</v>
      </c>
      <c r="U42" s="14">
        <f>P31</f>
        <v>3.4860369092196135E-2</v>
      </c>
    </row>
    <row r="43" spans="1:48" ht="16" x14ac:dyDescent="0.2">
      <c r="A43" s="23" t="s">
        <v>54</v>
      </c>
      <c r="B43" s="22"/>
      <c r="C43" s="16">
        <f t="shared" ref="C43:N43" si="3">C42/$O42</f>
        <v>0.30557208259001489</v>
      </c>
      <c r="D43" s="16">
        <f t="shared" si="3"/>
        <v>3.0302733511336926E-2</v>
      </c>
      <c r="E43" s="16">
        <f t="shared" si="3"/>
        <v>2.5812432031686042E-4</v>
      </c>
      <c r="F43" s="16">
        <f t="shared" si="3"/>
        <v>2.1606797218914162E-2</v>
      </c>
      <c r="G43" s="16">
        <f t="shared" si="3"/>
        <v>0.19223958056297591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9.4250545524848892E-2</v>
      </c>
      <c r="L43" s="16">
        <f t="shared" si="3"/>
        <v>0</v>
      </c>
      <c r="M43" s="16">
        <f t="shared" si="3"/>
        <v>0</v>
      </c>
      <c r="N43" s="16">
        <f t="shared" si="3"/>
        <v>0.35577013627159232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304.95800000000003</v>
      </c>
      <c r="U43" s="15">
        <f>P32</f>
        <v>0.21717530668664481</v>
      </c>
    </row>
    <row r="44" spans="1:48" ht="16" x14ac:dyDescent="0.2">
      <c r="A44" s="6"/>
      <c r="B44" s="7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422.005</v>
      </c>
      <c r="U44" s="15">
        <f>P34</f>
        <v>0.30053012315891875</v>
      </c>
    </row>
    <row r="45" spans="1:48" ht="16" x14ac:dyDescent="0.2">
      <c r="A45" s="6" t="s">
        <v>57</v>
      </c>
      <c r="B45" s="26">
        <f>B23-B39</f>
        <v>38189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39783.760000000002</v>
      </c>
      <c r="O45" s="25">
        <f>B45+N45</f>
        <v>77972.760000000009</v>
      </c>
      <c r="P45" s="7"/>
      <c r="Q45" s="7"/>
      <c r="R45" s="7"/>
      <c r="S45" s="7" t="s">
        <v>58</v>
      </c>
      <c r="T45" s="20">
        <f>SUM(T39:T44)</f>
        <v>1404.2020000000002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0.15543760964153577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8"/>
      <c r="D48" s="27"/>
      <c r="E48" s="28"/>
      <c r="F48" s="28"/>
      <c r="G48" s="27"/>
      <c r="H48" s="27"/>
      <c r="I48" s="27"/>
      <c r="J48" s="27"/>
      <c r="K48" s="27"/>
      <c r="L48" s="27"/>
      <c r="M48" s="27"/>
      <c r="N48" s="9"/>
      <c r="O48" s="18">
        <f>SUM(O31:O38)</f>
        <v>1404202</v>
      </c>
      <c r="P48" s="27"/>
      <c r="Q48" s="27"/>
      <c r="R48" s="27"/>
      <c r="S48" s="4"/>
      <c r="T48" s="27"/>
      <c r="U48" s="28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9"/>
      <c r="J49" s="27"/>
      <c r="K49" s="27"/>
      <c r="L49" s="27"/>
      <c r="M49" s="27"/>
      <c r="N49" s="9"/>
      <c r="O49" s="28"/>
      <c r="P49" s="28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5"/>
      <c r="B50" s="8"/>
      <c r="C50" s="8"/>
      <c r="D50" s="8"/>
      <c r="E50" s="8"/>
      <c r="F50" s="8"/>
      <c r="G50" s="8"/>
      <c r="H50" s="8"/>
      <c r="L50" s="27"/>
      <c r="M50" s="27"/>
      <c r="N50" s="8"/>
      <c r="O50" s="8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8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28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8"/>
      <c r="B52" s="62"/>
      <c r="C52" s="46"/>
      <c r="D52" s="86"/>
      <c r="E52" s="68"/>
      <c r="F52" s="46"/>
      <c r="G52" s="68"/>
      <c r="H52" s="46"/>
      <c r="I52" s="46"/>
      <c r="J52" s="46"/>
      <c r="K52" s="46"/>
      <c r="L52" s="46"/>
      <c r="M52" s="46"/>
      <c r="N52" s="68"/>
      <c r="O52" s="62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8"/>
      <c r="B53" s="61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68"/>
      <c r="O53" s="77"/>
      <c r="P53" s="27"/>
      <c r="Q53" s="27"/>
      <c r="R53" s="27"/>
      <c r="S53" s="4"/>
      <c r="T53" s="27"/>
      <c r="U53" s="28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8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8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27"/>
      <c r="Q54" s="27"/>
      <c r="R54" s="27"/>
      <c r="S54" s="4"/>
      <c r="T54" s="27"/>
      <c r="U54" s="28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8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ht="16" x14ac:dyDescent="0.2">
      <c r="A55" s="8"/>
      <c r="B55" s="62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66"/>
      <c r="P55" s="27"/>
      <c r="Q55" s="27"/>
      <c r="R55" s="27"/>
      <c r="S55" s="4"/>
      <c r="T55" s="27"/>
      <c r="U55" s="28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8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ht="16" x14ac:dyDescent="0.2">
      <c r="A56" s="8"/>
      <c r="B56" s="77"/>
      <c r="C56" s="46"/>
      <c r="D56" s="46"/>
      <c r="E56" s="46"/>
      <c r="F56" s="46"/>
      <c r="G56" s="68"/>
      <c r="H56" s="46"/>
      <c r="I56" s="46"/>
      <c r="J56" s="46"/>
      <c r="K56" s="46"/>
      <c r="L56" s="46"/>
      <c r="M56" s="46"/>
      <c r="N56" s="68"/>
      <c r="O56" s="77"/>
      <c r="P56" s="27"/>
      <c r="Q56" s="27"/>
      <c r="R56" s="27"/>
      <c r="S56" s="4"/>
      <c r="T56" s="27"/>
      <c r="U56" s="28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8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8"/>
      <c r="B57" s="77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77"/>
      <c r="P57" s="6"/>
      <c r="Q57" s="14"/>
      <c r="R57" s="7"/>
      <c r="S57" s="7"/>
      <c r="T57" s="6"/>
      <c r="U57" s="38"/>
    </row>
    <row r="58" spans="1:48" ht="16" x14ac:dyDescent="0.2">
      <c r="A58" s="8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6"/>
      <c r="Q58" s="14"/>
      <c r="R58" s="7"/>
      <c r="S58" s="7"/>
      <c r="T58" s="6"/>
      <c r="U58" s="38"/>
    </row>
    <row r="59" spans="1:48" ht="16" x14ac:dyDescent="0.2">
      <c r="A59" s="8"/>
      <c r="B59" s="61"/>
      <c r="C59" s="46"/>
      <c r="D59" s="86"/>
      <c r="E59" s="68"/>
      <c r="F59" s="46"/>
      <c r="G59" s="68"/>
      <c r="H59" s="46"/>
      <c r="I59" s="46"/>
      <c r="J59" s="46"/>
      <c r="K59" s="46"/>
      <c r="L59" s="46"/>
      <c r="M59" s="46"/>
      <c r="N59" s="46"/>
      <c r="O59" s="77"/>
      <c r="P59" s="6"/>
      <c r="Q59" s="14"/>
      <c r="R59" s="7"/>
      <c r="S59" s="7"/>
      <c r="T59" s="6"/>
      <c r="U59" s="38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8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8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8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8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8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8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8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9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 enableFormatConditionsCalculation="0"/>
  <dimension ref="A1:AV70"/>
  <sheetViews>
    <sheetView topLeftCell="A16" workbookViewId="0">
      <selection activeCell="U34" sqref="U34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8" width="8.83203125" style="2" bestFit="1" customWidth="1"/>
    <col min="9" max="11" width="8.6640625" style="2"/>
    <col min="12" max="13" width="5.6640625" style="2" customWidth="1"/>
    <col min="14" max="15" width="8.83203125" style="2" bestFit="1" customWidth="1"/>
    <col min="16" max="16" width="11.33203125" style="2" bestFit="1" customWidth="1"/>
    <col min="17" max="17" width="8.6640625" style="2"/>
    <col min="18" max="18" width="11" style="2" bestFit="1" customWidth="1"/>
    <col min="19" max="19" width="8.6640625" style="2"/>
    <col min="20" max="21" width="8.83203125" style="2" bestFit="1" customWidth="1"/>
    <col min="22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59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6">
        <v>488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16792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2">
        <f>SUM(B4:B9)</f>
        <v>17280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59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2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2" ht="16" x14ac:dyDescent="0.2">
      <c r="A18" s="8" t="s">
        <v>21</v>
      </c>
      <c r="B18" s="46">
        <f>22786+2180</f>
        <v>24966</v>
      </c>
      <c r="C18" s="46">
        <v>0</v>
      </c>
      <c r="D18" s="46">
        <v>0</v>
      </c>
      <c r="E18" s="46">
        <v>2145</v>
      </c>
      <c r="F18" s="46">
        <v>0</v>
      </c>
      <c r="G18" s="46">
        <v>24599</v>
      </c>
      <c r="H18" s="46">
        <v>0</v>
      </c>
      <c r="I18" s="46"/>
      <c r="J18" s="46"/>
      <c r="K18" s="46"/>
      <c r="L18" s="46"/>
      <c r="M18" s="46"/>
      <c r="N18" s="46"/>
      <c r="O18" s="46">
        <v>26744</v>
      </c>
      <c r="P18" s="3"/>
      <c r="Q18" s="3"/>
      <c r="R18" s="3"/>
      <c r="S18" s="3"/>
      <c r="T18" s="3"/>
      <c r="U18" s="3"/>
    </row>
    <row r="19" spans="1:22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2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2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405.49728000000005</v>
      </c>
      <c r="U21" s="3"/>
    </row>
    <row r="22" spans="1:22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2" ht="16" x14ac:dyDescent="0.2">
      <c r="A23" s="8" t="s">
        <v>16</v>
      </c>
      <c r="B23" s="46">
        <v>24966</v>
      </c>
      <c r="C23" s="46">
        <v>0</v>
      </c>
      <c r="D23" s="46">
        <v>0</v>
      </c>
      <c r="E23" s="46">
        <v>2145</v>
      </c>
      <c r="F23" s="46">
        <v>0</v>
      </c>
      <c r="G23" s="46">
        <v>24599</v>
      </c>
      <c r="H23" s="46">
        <v>0</v>
      </c>
      <c r="I23" s="46"/>
      <c r="J23" s="46"/>
      <c r="K23" s="46"/>
      <c r="L23" s="46"/>
      <c r="M23" s="46"/>
      <c r="N23" s="46"/>
      <c r="O23" s="46">
        <v>26744</v>
      </c>
      <c r="P23" s="3"/>
      <c r="Q23" s="3"/>
      <c r="R23" s="3"/>
      <c r="S23" s="3"/>
      <c r="T23" s="3" t="s">
        <v>27</v>
      </c>
      <c r="U23" s="3" t="s">
        <v>28</v>
      </c>
    </row>
    <row r="24" spans="1:22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187.91028</v>
      </c>
      <c r="U24" s="14">
        <f>N43</f>
        <v>0.46340700485093261</v>
      </c>
    </row>
    <row r="25" spans="1:22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29.917999999999999</v>
      </c>
      <c r="U25" s="15">
        <f>G43</f>
        <v>7.3781012785091915E-2</v>
      </c>
    </row>
    <row r="26" spans="1:22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2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12.791</v>
      </c>
      <c r="U27" s="14">
        <f>F43</f>
        <v>3.1543984709342561E-2</v>
      </c>
    </row>
    <row r="28" spans="1:22" ht="16" x14ac:dyDescent="0.2">
      <c r="A28" s="4" t="s">
        <v>59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4.5830000000000002</v>
      </c>
      <c r="U28" s="14">
        <f>E43</f>
        <v>1.1302171989908292E-2</v>
      </c>
    </row>
    <row r="29" spans="1:22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2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2" ht="16" x14ac:dyDescent="0.2">
      <c r="A31" s="8" t="s">
        <v>33</v>
      </c>
      <c r="B31" s="46">
        <v>0</v>
      </c>
      <c r="C31" s="46">
        <v>9513</v>
      </c>
      <c r="D31" s="46">
        <v>0</v>
      </c>
      <c r="E31" s="46">
        <v>0</v>
      </c>
      <c r="F31" s="46">
        <v>952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8169</v>
      </c>
      <c r="O31" s="46">
        <v>18635</v>
      </c>
      <c r="P31" s="16">
        <f>O31/O$39</f>
        <v>4.79945811323476E-2</v>
      </c>
      <c r="Q31" s="17" t="s">
        <v>34</v>
      </c>
      <c r="R31" s="99"/>
      <c r="S31" s="3" t="s">
        <v>5</v>
      </c>
      <c r="T31" s="13">
        <f>I42/1000</f>
        <v>0</v>
      </c>
      <c r="U31" s="14">
        <f>I43</f>
        <v>0</v>
      </c>
      <c r="V31" s="10"/>
    </row>
    <row r="32" spans="1:22" ht="16" x14ac:dyDescent="0.2">
      <c r="A32" s="8" t="s">
        <v>36</v>
      </c>
      <c r="B32" s="46">
        <v>0</v>
      </c>
      <c r="C32" s="60">
        <f>C39-C31-SUM(C33:C38)</f>
        <v>659</v>
      </c>
      <c r="D32" s="46">
        <v>0</v>
      </c>
      <c r="E32" s="46">
        <v>2438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60">
        <v>18961</v>
      </c>
      <c r="O32" s="60">
        <f>SUM(B32:N32)</f>
        <v>22058</v>
      </c>
      <c r="P32" s="16">
        <f>O32/O$39</f>
        <v>5.6810543097253738E-2</v>
      </c>
      <c r="Q32" s="17" t="s">
        <v>37</v>
      </c>
      <c r="R32" s="99"/>
      <c r="S32" s="3" t="s">
        <v>6</v>
      </c>
      <c r="T32" s="13">
        <f>H42/1000</f>
        <v>0</v>
      </c>
      <c r="U32" s="14">
        <f>H43</f>
        <v>0</v>
      </c>
      <c r="V32" s="10"/>
    </row>
    <row r="33" spans="1:48" ht="16" x14ac:dyDescent="0.2">
      <c r="A33" s="8" t="s">
        <v>38</v>
      </c>
      <c r="B33" s="46">
        <v>4287</v>
      </c>
      <c r="C33" s="46">
        <v>60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v>11977</v>
      </c>
      <c r="O33" s="60">
        <f>SUM(B33:N33)</f>
        <v>16324</v>
      </c>
      <c r="P33" s="16">
        <f>O33/O$39</f>
        <v>4.2042583440002265E-2</v>
      </c>
      <c r="Q33" s="17" t="s">
        <v>39</v>
      </c>
      <c r="R33" s="99"/>
      <c r="S33" s="3" t="s">
        <v>35</v>
      </c>
      <c r="T33" s="13">
        <f>C42/1000</f>
        <v>170.29499999999999</v>
      </c>
      <c r="U33" s="15">
        <f>C43</f>
        <v>0.41996582566472451</v>
      </c>
      <c r="V33" s="10"/>
      <c r="W33" s="43"/>
      <c r="X33" s="46"/>
    </row>
    <row r="34" spans="1:48" ht="16" x14ac:dyDescent="0.2">
      <c r="A34" s="8" t="s">
        <v>40</v>
      </c>
      <c r="B34" s="46">
        <v>0</v>
      </c>
      <c r="C34" s="60">
        <f>O34-N34-F34</f>
        <v>159368</v>
      </c>
      <c r="D34" s="46">
        <v>0</v>
      </c>
      <c r="E34" s="46">
        <v>0</v>
      </c>
      <c r="F34" s="46">
        <v>11839</v>
      </c>
      <c r="G34" s="46">
        <v>0</v>
      </c>
      <c r="H34" s="46">
        <v>0</v>
      </c>
      <c r="I34" s="46"/>
      <c r="J34" s="46"/>
      <c r="K34" s="46"/>
      <c r="L34" s="46"/>
      <c r="M34" s="45"/>
      <c r="N34" s="60">
        <v>40</v>
      </c>
      <c r="O34" s="46">
        <v>171247</v>
      </c>
      <c r="P34" s="16">
        <f>O34/O$39</f>
        <v>0.44104792246692404</v>
      </c>
      <c r="Q34" s="17" t="s">
        <v>41</v>
      </c>
      <c r="R34" s="99"/>
      <c r="S34" s="3"/>
      <c r="T34" s="13">
        <f>SUM(T24:T33)</f>
        <v>405.49727999999999</v>
      </c>
      <c r="U34" s="14">
        <f>SUM(U24:U33)</f>
        <v>0.99999999999999989</v>
      </c>
      <c r="V34" s="10"/>
    </row>
    <row r="35" spans="1:48" ht="16" x14ac:dyDescent="0.2">
      <c r="A35" s="8" t="s">
        <v>42</v>
      </c>
      <c r="B35" s="46">
        <v>1341</v>
      </c>
      <c r="C35" s="60">
        <v>150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60">
        <f>O35-C35-B35</f>
        <v>38791</v>
      </c>
      <c r="O35" s="46">
        <v>40282</v>
      </c>
      <c r="P35" s="16">
        <f>O35/O$39</f>
        <v>0.10374659067202716</v>
      </c>
      <c r="Q35" s="17" t="s">
        <v>43</v>
      </c>
      <c r="R35" s="99"/>
      <c r="V35" s="10"/>
    </row>
    <row r="36" spans="1:48" ht="16" x14ac:dyDescent="0.2">
      <c r="A36" s="8" t="s">
        <v>44</v>
      </c>
      <c r="B36" s="46">
        <v>4747</v>
      </c>
      <c r="C36" s="46">
        <v>489</v>
      </c>
      <c r="D36" s="46">
        <v>0</v>
      </c>
      <c r="E36" s="46">
        <v>0</v>
      </c>
      <c r="F36" s="46">
        <v>0</v>
      </c>
      <c r="G36" s="46">
        <v>5319</v>
      </c>
      <c r="H36" s="46">
        <v>0</v>
      </c>
      <c r="I36" s="46"/>
      <c r="J36" s="46"/>
      <c r="K36" s="46"/>
      <c r="L36" s="46"/>
      <c r="M36" s="45"/>
      <c r="N36" s="60">
        <v>85356</v>
      </c>
      <c r="O36" s="60">
        <f>SUM(B36:N36)</f>
        <v>95911</v>
      </c>
      <c r="P36" s="17"/>
      <c r="Q36" s="17"/>
      <c r="R36" s="99"/>
      <c r="S36" s="7"/>
      <c r="T36" s="7"/>
      <c r="U36" s="7"/>
      <c r="V36" s="10"/>
    </row>
    <row r="37" spans="1:48" ht="16" x14ac:dyDescent="0.2">
      <c r="A37" s="8" t="s">
        <v>45</v>
      </c>
      <c r="B37" s="46">
        <v>13064</v>
      </c>
      <c r="C37" s="46">
        <v>56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10635</v>
      </c>
      <c r="O37" s="46">
        <v>23754</v>
      </c>
      <c r="P37" s="17"/>
      <c r="Q37" s="17"/>
      <c r="R37" s="99"/>
      <c r="S37" s="7"/>
      <c r="T37" s="7" t="s">
        <v>27</v>
      </c>
      <c r="U37" s="7" t="s">
        <v>28</v>
      </c>
      <c r="V37" s="10"/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62</v>
      </c>
      <c r="O38" s="46">
        <v>62</v>
      </c>
      <c r="P38" s="17">
        <f>SUM(P31:P35)</f>
        <v>0.69164222080855486</v>
      </c>
      <c r="Q38" s="17"/>
      <c r="R38" s="99"/>
      <c r="S38" s="7" t="s">
        <v>47</v>
      </c>
      <c r="T38" s="19">
        <f>O45/1000</f>
        <v>15.447280000000001</v>
      </c>
      <c r="U38" s="7"/>
      <c r="V38" s="10"/>
    </row>
    <row r="39" spans="1:48" ht="16" x14ac:dyDescent="0.2">
      <c r="A39" s="8" t="s">
        <v>16</v>
      </c>
      <c r="B39" s="46">
        <v>23438</v>
      </c>
      <c r="C39" s="46">
        <v>170295</v>
      </c>
      <c r="D39" s="46">
        <v>0</v>
      </c>
      <c r="E39" s="46">
        <v>2438</v>
      </c>
      <c r="F39" s="46">
        <v>12791</v>
      </c>
      <c r="G39" s="46">
        <v>5319</v>
      </c>
      <c r="H39" s="46">
        <v>0</v>
      </c>
      <c r="I39" s="46"/>
      <c r="J39" s="46"/>
      <c r="K39" s="46"/>
      <c r="L39" s="46"/>
      <c r="M39" s="45"/>
      <c r="N39" s="46">
        <v>173991</v>
      </c>
      <c r="O39" s="46">
        <v>388273</v>
      </c>
      <c r="P39" s="3"/>
      <c r="Q39" s="3"/>
      <c r="R39" s="99"/>
      <c r="S39" s="7" t="s">
        <v>48</v>
      </c>
      <c r="T39" s="20">
        <f>O41/1000</f>
        <v>119.727</v>
      </c>
      <c r="U39" s="14">
        <f>P41</f>
        <v>0.30835777919144519</v>
      </c>
      <c r="V39" s="10"/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R40" s="100"/>
      <c r="S40" s="7" t="s">
        <v>49</v>
      </c>
      <c r="T40" s="20">
        <f>O35/1000</f>
        <v>40.281999999999996</v>
      </c>
      <c r="U40" s="15">
        <f>P35</f>
        <v>0.10374659067202716</v>
      </c>
    </row>
    <row r="41" spans="1:48" ht="16" x14ac:dyDescent="0.2">
      <c r="A41" s="21" t="s">
        <v>50</v>
      </c>
      <c r="B41" s="22">
        <f>B38+B37+B36</f>
        <v>17811</v>
      </c>
      <c r="C41" s="22">
        <f t="shared" ref="C41:O41" si="0">C38+C37+C36</f>
        <v>545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5319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96053</v>
      </c>
      <c r="O41" s="22">
        <f t="shared" si="0"/>
        <v>119727</v>
      </c>
      <c r="P41" s="16">
        <f>O41/O$39</f>
        <v>0.30835777919144519</v>
      </c>
      <c r="Q41" s="16" t="s">
        <v>51</v>
      </c>
      <c r="R41" s="29"/>
      <c r="S41" s="7" t="s">
        <v>52</v>
      </c>
      <c r="T41" s="20">
        <f>O33/1000</f>
        <v>16.324000000000002</v>
      </c>
      <c r="U41" s="14">
        <f>P33</f>
        <v>4.2042583440002265E-2</v>
      </c>
    </row>
    <row r="42" spans="1:48" ht="16" x14ac:dyDescent="0.2">
      <c r="A42" s="23" t="s">
        <v>53</v>
      </c>
      <c r="B42" s="22"/>
      <c r="C42" s="24">
        <f>C39+C23+C10</f>
        <v>170295</v>
      </c>
      <c r="D42" s="24">
        <f t="shared" ref="D42:M42" si="1">D39+D23+D10</f>
        <v>0</v>
      </c>
      <c r="E42" s="24">
        <f t="shared" si="1"/>
        <v>4583</v>
      </c>
      <c r="F42" s="24">
        <f t="shared" si="1"/>
        <v>12791</v>
      </c>
      <c r="G42" s="24">
        <f t="shared" si="1"/>
        <v>29918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187910.28</v>
      </c>
      <c r="O42" s="25">
        <f>SUM(C42:N42)</f>
        <v>405497.28</v>
      </c>
      <c r="P42" s="7"/>
      <c r="Q42" s="7"/>
      <c r="R42" s="7"/>
      <c r="S42" s="7" t="s">
        <v>34</v>
      </c>
      <c r="T42" s="20">
        <f>O31/1000</f>
        <v>18.635000000000002</v>
      </c>
      <c r="U42" s="14">
        <f>P31</f>
        <v>4.79945811323476E-2</v>
      </c>
    </row>
    <row r="43" spans="1:48" ht="16" x14ac:dyDescent="0.2">
      <c r="A43" s="23" t="s">
        <v>54</v>
      </c>
      <c r="B43" s="22"/>
      <c r="C43" s="16">
        <f t="shared" ref="C43:N43" si="2">C42/$O42</f>
        <v>0.41996582566472451</v>
      </c>
      <c r="D43" s="16">
        <f t="shared" si="2"/>
        <v>0</v>
      </c>
      <c r="E43" s="16">
        <f t="shared" si="2"/>
        <v>1.1302171989908292E-2</v>
      </c>
      <c r="F43" s="16">
        <f t="shared" si="2"/>
        <v>3.1543984709342561E-2</v>
      </c>
      <c r="G43" s="16">
        <f t="shared" si="2"/>
        <v>7.3781012785091915E-2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0.46340700485093261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22.058</v>
      </c>
      <c r="U43" s="15">
        <f>P32</f>
        <v>5.6810543097253738E-2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29"/>
      <c r="R44" s="7"/>
      <c r="S44" s="7" t="s">
        <v>56</v>
      </c>
      <c r="T44" s="20">
        <f>O34/1000</f>
        <v>171.24700000000001</v>
      </c>
      <c r="U44" s="15">
        <f>P34</f>
        <v>0.44104792246692404</v>
      </c>
    </row>
    <row r="45" spans="1:48" ht="16" x14ac:dyDescent="0.2">
      <c r="A45" s="6" t="s">
        <v>57</v>
      </c>
      <c r="B45" s="26">
        <f>B23-B39</f>
        <v>1528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13919.28</v>
      </c>
      <c r="O45" s="25">
        <f>B45+N45</f>
        <v>15447.28</v>
      </c>
      <c r="P45" s="7"/>
      <c r="Q45" s="7"/>
      <c r="R45" s="7"/>
      <c r="S45" s="7" t="s">
        <v>58</v>
      </c>
      <c r="T45" s="20">
        <f>SUM(T39:T44)</f>
        <v>388.27300000000002</v>
      </c>
      <c r="U45" s="14">
        <f>SUM(U39:U44)</f>
        <v>1</v>
      </c>
    </row>
    <row r="46" spans="1:48" ht="16" x14ac:dyDescent="0.2">
      <c r="A46" s="6" t="s">
        <v>91</v>
      </c>
      <c r="B46" s="70">
        <f>B45/B23</f>
        <v>6.1203236401506045E-2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9"/>
      <c r="O47" s="9"/>
      <c r="P47" s="9"/>
      <c r="Q47" s="9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9"/>
      <c r="O48" s="9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 enableFormatConditionsCalculation="0"/>
  <dimension ref="A1:AV70"/>
  <sheetViews>
    <sheetView topLeftCell="A4"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60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184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B4</f>
        <v>184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478.24932000000001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46">
        <v>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149.74632</v>
      </c>
      <c r="U24" s="14">
        <f>N43</f>
        <v>0.31311350322463605</v>
      </c>
    </row>
    <row r="25" spans="1:21" ht="16" x14ac:dyDescent="0.2">
      <c r="A25" t="s">
        <v>94</v>
      </c>
      <c r="B25" s="46">
        <v>68413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4.9409999999999998</v>
      </c>
      <c r="U25" s="15">
        <f>G43</f>
        <v>1.0331431312855813E-2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13.782999999999999</v>
      </c>
      <c r="U27" s="14">
        <f>F43</f>
        <v>2.8819695969457937E-2</v>
      </c>
    </row>
    <row r="28" spans="1:21" ht="16" x14ac:dyDescent="0.2">
      <c r="A28" s="4" t="s">
        <v>60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161.49199999999999</v>
      </c>
      <c r="U28" s="14">
        <f>E43</f>
        <v>0.33767324541099192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326</v>
      </c>
      <c r="D31" s="46">
        <v>0</v>
      </c>
      <c r="E31" s="46">
        <v>0</v>
      </c>
      <c r="F31" s="46">
        <v>34</v>
      </c>
      <c r="G31" s="46">
        <v>0</v>
      </c>
      <c r="H31" s="46">
        <v>0</v>
      </c>
      <c r="I31" s="46"/>
      <c r="J31" s="46"/>
      <c r="K31" s="46"/>
      <c r="L31" s="46"/>
      <c r="M31" s="45"/>
      <c r="N31" s="60">
        <v>1420</v>
      </c>
      <c r="O31" s="60">
        <f>SUM(B31:N31)</f>
        <v>1780</v>
      </c>
      <c r="P31" s="16">
        <f>O31/O$39</f>
        <v>3.3235618126482066E-3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61">
        <v>15872</v>
      </c>
      <c r="C32" s="60">
        <v>1020</v>
      </c>
      <c r="D32" s="46">
        <v>0</v>
      </c>
      <c r="E32" s="46">
        <v>161492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10941</v>
      </c>
      <c r="O32" s="60">
        <f>SUM(B32:N32)</f>
        <v>189325</v>
      </c>
      <c r="P32" s="16">
        <f>O32/O$39</f>
        <v>0.35350187650540543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61">
        <v>5958</v>
      </c>
      <c r="C33" s="46">
        <v>394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9913</v>
      </c>
      <c r="O33" s="61">
        <f>SUM(B33:N33)</f>
        <v>16265</v>
      </c>
      <c r="P33" s="16">
        <f>O33/O$39</f>
        <v>3.0369512855462404E-2</v>
      </c>
      <c r="Q33" s="17" t="s">
        <v>39</v>
      </c>
      <c r="R33" s="67"/>
      <c r="S33" s="3" t="s">
        <v>35</v>
      </c>
      <c r="T33" s="13">
        <f>C42/1000</f>
        <v>148.28700000000001</v>
      </c>
      <c r="U33" s="15">
        <f>C43</f>
        <v>0.3100621240820583</v>
      </c>
      <c r="W33" s="43"/>
      <c r="X33" s="46"/>
    </row>
    <row r="34" spans="1:48" ht="16" x14ac:dyDescent="0.2">
      <c r="A34" s="8" t="s">
        <v>40</v>
      </c>
      <c r="B34" s="46">
        <v>0</v>
      </c>
      <c r="C34" s="60">
        <v>146046</v>
      </c>
      <c r="D34" s="46">
        <v>0</v>
      </c>
      <c r="E34" s="46">
        <v>0</v>
      </c>
      <c r="F34" s="46">
        <v>13749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0</v>
      </c>
      <c r="O34" s="60">
        <f>SUM(B34:N34)</f>
        <v>159795</v>
      </c>
      <c r="P34" s="16">
        <f>O34/O$39</f>
        <v>0.29836435946748324</v>
      </c>
      <c r="Q34" s="17" t="s">
        <v>41</v>
      </c>
      <c r="R34" s="67"/>
      <c r="S34" s="3"/>
      <c r="T34" s="13">
        <f>SUM(T24:T33)</f>
        <v>478.24932000000001</v>
      </c>
      <c r="U34" s="14">
        <f>SUM(U24:U33)</f>
        <v>1</v>
      </c>
    </row>
    <row r="35" spans="1:48" ht="16" x14ac:dyDescent="0.2">
      <c r="A35" s="8" t="s">
        <v>42</v>
      </c>
      <c r="B35" s="61">
        <f>4691+5181</f>
        <v>9872</v>
      </c>
      <c r="C35" s="46">
        <v>107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69696</v>
      </c>
      <c r="O35" s="61">
        <f>SUM(B35:N35)</f>
        <v>79675</v>
      </c>
      <c r="P35" s="16">
        <f>O35/O$39</f>
        <v>0.1487667345071606</v>
      </c>
      <c r="Q35" s="17" t="s">
        <v>43</v>
      </c>
      <c r="R35" s="67"/>
    </row>
    <row r="36" spans="1:48" ht="16" x14ac:dyDescent="0.2">
      <c r="A36" s="8" t="s">
        <v>44</v>
      </c>
      <c r="B36" s="46">
        <v>0</v>
      </c>
      <c r="C36" s="46">
        <v>394</v>
      </c>
      <c r="D36" s="46">
        <v>0</v>
      </c>
      <c r="E36" s="46">
        <v>0</v>
      </c>
      <c r="F36" s="46">
        <v>0</v>
      </c>
      <c r="G36" s="46">
        <v>4941</v>
      </c>
      <c r="H36" s="46">
        <v>0</v>
      </c>
      <c r="I36" s="46"/>
      <c r="J36" s="46"/>
      <c r="K36" s="46"/>
      <c r="L36" s="46"/>
      <c r="M36" s="45"/>
      <c r="N36" s="60">
        <v>38693</v>
      </c>
      <c r="O36" s="60">
        <f>SUM(C36:N36)</f>
        <v>44028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61">
        <v>31339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7971</v>
      </c>
      <c r="O37" s="46">
        <f>SUM(B37:N37)</f>
        <v>39310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61">
        <v>5372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20</v>
      </c>
      <c r="O38" s="46">
        <f>SUM(B38:N38)</f>
        <v>5392</v>
      </c>
      <c r="P38" s="17">
        <f>SUM(P31:P35)</f>
        <v>0.83432604514815989</v>
      </c>
      <c r="Q38" s="17"/>
      <c r="R38" s="67"/>
      <c r="S38" s="7" t="s">
        <v>47</v>
      </c>
      <c r="T38" s="19">
        <f>O45/1000</f>
        <v>11.092319999999999</v>
      </c>
      <c r="U38" s="7"/>
    </row>
    <row r="39" spans="1:48" ht="16" x14ac:dyDescent="0.2">
      <c r="A39" s="8" t="s">
        <v>16</v>
      </c>
      <c r="B39" s="61">
        <f>SUM(B31:B38)</f>
        <v>68413</v>
      </c>
      <c r="C39" s="60">
        <f>SUM(C31:C38)</f>
        <v>148287</v>
      </c>
      <c r="D39" s="46">
        <v>0</v>
      </c>
      <c r="E39" s="46">
        <v>161492</v>
      </c>
      <c r="F39" s="46">
        <v>13783</v>
      </c>
      <c r="G39" s="46">
        <v>4941</v>
      </c>
      <c r="H39" s="46">
        <v>0</v>
      </c>
      <c r="I39" s="46"/>
      <c r="J39" s="46"/>
      <c r="K39" s="46"/>
      <c r="L39" s="46"/>
      <c r="M39" s="45"/>
      <c r="N39" s="60">
        <f>SUM(N31:N38)</f>
        <v>138654</v>
      </c>
      <c r="O39" s="77">
        <f>SUM(O31:O38)</f>
        <v>535570</v>
      </c>
      <c r="P39" s="3"/>
      <c r="Q39" s="3"/>
      <c r="R39" s="67"/>
      <c r="S39" s="7" t="s">
        <v>48</v>
      </c>
      <c r="T39" s="20">
        <f>O41/1000</f>
        <v>88.73</v>
      </c>
      <c r="U39" s="14">
        <f>P41</f>
        <v>0.16567395485184008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79.674999999999997</v>
      </c>
      <c r="U40" s="15">
        <f>P35</f>
        <v>0.1487667345071606</v>
      </c>
    </row>
    <row r="41" spans="1:48" ht="16" x14ac:dyDescent="0.2">
      <c r="A41" s="21" t="s">
        <v>50</v>
      </c>
      <c r="B41" s="22">
        <f>B38+B37+B36</f>
        <v>36711</v>
      </c>
      <c r="C41" s="22">
        <f t="shared" ref="C41:O41" si="0">C38+C37+C36</f>
        <v>394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4941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46684</v>
      </c>
      <c r="O41" s="22">
        <f t="shared" si="0"/>
        <v>88730</v>
      </c>
      <c r="P41" s="16">
        <f>O41/O$39</f>
        <v>0.16567395485184008</v>
      </c>
      <c r="Q41" s="16" t="s">
        <v>51</v>
      </c>
      <c r="R41" s="7"/>
      <c r="S41" s="7" t="s">
        <v>52</v>
      </c>
      <c r="T41" s="20">
        <f>O33/1000</f>
        <v>16.265000000000001</v>
      </c>
      <c r="U41" s="14">
        <f>P33</f>
        <v>3.0369512855462404E-2</v>
      </c>
    </row>
    <row r="42" spans="1:48" ht="16" x14ac:dyDescent="0.2">
      <c r="A42" s="23" t="s">
        <v>53</v>
      </c>
      <c r="B42" s="22"/>
      <c r="C42" s="24">
        <f>C39+C23+C10</f>
        <v>148287</v>
      </c>
      <c r="D42" s="24">
        <f t="shared" ref="D42:M42" si="1">D39+D23+D10</f>
        <v>0</v>
      </c>
      <c r="E42" s="24">
        <f t="shared" si="1"/>
        <v>161492</v>
      </c>
      <c r="F42" s="24">
        <f t="shared" si="1"/>
        <v>13783</v>
      </c>
      <c r="G42" s="24">
        <f t="shared" si="1"/>
        <v>4941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149746.32</v>
      </c>
      <c r="O42" s="25">
        <f>SUM(C42:N42)</f>
        <v>478249.32</v>
      </c>
      <c r="P42" s="7"/>
      <c r="Q42" s="7"/>
      <c r="R42" s="7"/>
      <c r="S42" s="7" t="s">
        <v>34</v>
      </c>
      <c r="T42" s="20">
        <f>O31/1000</f>
        <v>1.78</v>
      </c>
      <c r="U42" s="14">
        <f>P31</f>
        <v>3.3235618126482066E-3</v>
      </c>
    </row>
    <row r="43" spans="1:48" ht="16" x14ac:dyDescent="0.2">
      <c r="A43" s="23" t="s">
        <v>54</v>
      </c>
      <c r="B43" s="22"/>
      <c r="C43" s="16">
        <f t="shared" ref="C43:N43" si="2">C42/$O42</f>
        <v>0.3100621240820583</v>
      </c>
      <c r="D43" s="16">
        <f t="shared" si="2"/>
        <v>0</v>
      </c>
      <c r="E43" s="16">
        <f t="shared" si="2"/>
        <v>0.33767324541099192</v>
      </c>
      <c r="F43" s="16">
        <f t="shared" si="2"/>
        <v>2.8819695969457937E-2</v>
      </c>
      <c r="G43" s="16">
        <f t="shared" si="2"/>
        <v>1.0331431312855813E-2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0.31311350322463605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189.32499999999999</v>
      </c>
      <c r="U43" s="15">
        <f>P32</f>
        <v>0.35350187650540543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159.79499999999999</v>
      </c>
      <c r="U44" s="15">
        <f>P34</f>
        <v>0.29836435946748324</v>
      </c>
    </row>
    <row r="45" spans="1:48" ht="16" x14ac:dyDescent="0.2">
      <c r="A45" s="6" t="s">
        <v>57</v>
      </c>
      <c r="B45" s="26">
        <f>B25-B39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11092.32</v>
      </c>
      <c r="O45" s="25">
        <f>B45+N45</f>
        <v>11092.32</v>
      </c>
      <c r="P45" s="7"/>
      <c r="Q45" s="7"/>
      <c r="R45" s="7"/>
      <c r="S45" s="7" t="s">
        <v>58</v>
      </c>
      <c r="T45" s="20">
        <f>SUM(T39:T44)</f>
        <v>535.56999999999994</v>
      </c>
      <c r="U45" s="14">
        <f>SUM(U39:U44)</f>
        <v>1</v>
      </c>
    </row>
    <row r="46" spans="1:48" ht="16" x14ac:dyDescent="0.2">
      <c r="A46" s="6" t="s">
        <v>91</v>
      </c>
      <c r="B46" s="73">
        <f>B45/B25</f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8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61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309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B4</f>
        <v>309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532.75128000000007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46">
        <v>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317.37528000000003</v>
      </c>
      <c r="U24" s="14">
        <f>N43</f>
        <v>0.59572879862437877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12.971</v>
      </c>
      <c r="U25" s="15">
        <f>G43</f>
        <v>2.434719631269586E-2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13.632</v>
      </c>
      <c r="U27" s="14">
        <f>F43</f>
        <v>2.5587925382366043E-2</v>
      </c>
    </row>
    <row r="28" spans="1:21" ht="15.75" x14ac:dyDescent="0.25">
      <c r="A28" s="4" t="s">
        <v>61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0.89300000000000002</v>
      </c>
      <c r="U28" s="14">
        <f>E43</f>
        <v>1.6762043255907333E-3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13879</v>
      </c>
      <c r="D31" s="46">
        <v>0</v>
      </c>
      <c r="E31" s="46">
        <v>0</v>
      </c>
      <c r="F31" s="46">
        <v>1404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13267</v>
      </c>
      <c r="O31" s="46">
        <v>28551</v>
      </c>
      <c r="P31" s="16">
        <f>O31/O$39</f>
        <v>5.6065681935111404E-2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0</v>
      </c>
      <c r="C32" s="60">
        <v>490</v>
      </c>
      <c r="D32" s="46">
        <v>0</v>
      </c>
      <c r="E32" s="60">
        <v>893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11424</v>
      </c>
      <c r="O32" s="46">
        <v>12807</v>
      </c>
      <c r="P32" s="16">
        <f>O32/O$39</f>
        <v>2.5149143236418047E-2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0</v>
      </c>
      <c r="C33" s="46">
        <v>627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26819</v>
      </c>
      <c r="O33" s="46">
        <v>27446</v>
      </c>
      <c r="P33" s="16">
        <f>O33/O$39</f>
        <v>5.3895790213690148E-2</v>
      </c>
      <c r="Q33" s="17" t="s">
        <v>39</v>
      </c>
      <c r="R33" s="67"/>
      <c r="S33" s="3" t="s">
        <v>35</v>
      </c>
      <c r="T33" s="13">
        <f>C42/1000</f>
        <v>187.88</v>
      </c>
      <c r="U33" s="15">
        <f>C43</f>
        <v>0.35265987535496862</v>
      </c>
      <c r="W33" s="43"/>
      <c r="X33" s="46"/>
    </row>
    <row r="34" spans="1:48" ht="15.75" x14ac:dyDescent="0.25">
      <c r="A34" s="8" t="s">
        <v>40</v>
      </c>
      <c r="B34" s="46">
        <v>0</v>
      </c>
      <c r="C34" s="46">
        <v>170039</v>
      </c>
      <c r="D34" s="46">
        <v>0</v>
      </c>
      <c r="E34" s="46">
        <v>0</v>
      </c>
      <c r="F34" s="46">
        <v>12228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36</v>
      </c>
      <c r="O34" s="46">
        <v>182302</v>
      </c>
      <c r="P34" s="16">
        <f>O34/O$39</f>
        <v>0.35798696886745396</v>
      </c>
      <c r="Q34" s="17" t="s">
        <v>41</v>
      </c>
      <c r="R34" s="67"/>
      <c r="S34" s="3"/>
      <c r="T34" s="13">
        <f>SUM(T24:T33)</f>
        <v>532.75127999999995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1552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34771</v>
      </c>
      <c r="O35" s="46">
        <v>36323</v>
      </c>
      <c r="P35" s="16">
        <f>O35/O$39</f>
        <v>7.1327580992926742E-2</v>
      </c>
      <c r="Q35" s="17" t="s">
        <v>43</v>
      </c>
      <c r="R35" s="67"/>
    </row>
    <row r="36" spans="1:48" ht="16" x14ac:dyDescent="0.2">
      <c r="A36" s="8" t="s">
        <v>44</v>
      </c>
      <c r="B36" s="46">
        <v>0</v>
      </c>
      <c r="C36" s="46">
        <v>960</v>
      </c>
      <c r="D36" s="46">
        <v>0</v>
      </c>
      <c r="E36" s="46">
        <v>0</v>
      </c>
      <c r="F36" s="46">
        <v>0</v>
      </c>
      <c r="G36" s="46">
        <v>12971</v>
      </c>
      <c r="H36" s="46">
        <v>0</v>
      </c>
      <c r="I36" s="46"/>
      <c r="J36" s="46"/>
      <c r="K36" s="46"/>
      <c r="L36" s="46"/>
      <c r="M36" s="45"/>
      <c r="N36" s="46">
        <v>178427</v>
      </c>
      <c r="O36" s="46">
        <v>192358</v>
      </c>
      <c r="P36" s="17"/>
      <c r="Q36" s="17"/>
      <c r="R36" s="67"/>
      <c r="S36" s="7"/>
      <c r="T36" s="7"/>
      <c r="U36" s="7"/>
    </row>
    <row r="37" spans="1:48" ht="15.75" x14ac:dyDescent="0.25">
      <c r="A37" s="8" t="s">
        <v>45</v>
      </c>
      <c r="B37" s="46">
        <v>0</v>
      </c>
      <c r="C37" s="46">
        <v>333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7795</v>
      </c>
      <c r="O37" s="46">
        <v>8128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21327</v>
      </c>
      <c r="O38" s="46">
        <v>21327</v>
      </c>
      <c r="P38" s="17">
        <f>SUM(P31:P35)</f>
        <v>0.56442516524560027</v>
      </c>
      <c r="Q38" s="17"/>
      <c r="R38" s="67"/>
      <c r="S38" s="7" t="s">
        <v>47</v>
      </c>
      <c r="T38" s="19">
        <f>O45/1000</f>
        <v>23.50928</v>
      </c>
      <c r="U38" s="7"/>
    </row>
    <row r="39" spans="1:48" ht="16" x14ac:dyDescent="0.2">
      <c r="A39" s="8" t="s">
        <v>16</v>
      </c>
      <c r="B39" s="46">
        <v>0</v>
      </c>
      <c r="C39" s="60">
        <f>SUM(C31:C38)</f>
        <v>187880</v>
      </c>
      <c r="D39" s="46">
        <v>0</v>
      </c>
      <c r="E39" s="60">
        <f>SUM(E31:E38)</f>
        <v>893</v>
      </c>
      <c r="F39" s="46">
        <v>13632</v>
      </c>
      <c r="G39" s="46">
        <v>12971</v>
      </c>
      <c r="H39" s="46">
        <v>0</v>
      </c>
      <c r="I39" s="46"/>
      <c r="J39" s="46"/>
      <c r="K39" s="46"/>
      <c r="L39" s="46"/>
      <c r="M39" s="45"/>
      <c r="N39" s="46">
        <v>293866</v>
      </c>
      <c r="O39" s="46">
        <v>509242</v>
      </c>
      <c r="P39" s="3"/>
      <c r="Q39" s="3"/>
      <c r="R39" s="67"/>
      <c r="S39" s="7" t="s">
        <v>48</v>
      </c>
      <c r="T39" s="20">
        <f>O41/1000</f>
        <v>221.81299999999999</v>
      </c>
      <c r="U39" s="14">
        <f>P41</f>
        <v>0.43557483475439968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36.323</v>
      </c>
      <c r="U40" s="15">
        <f>P35</f>
        <v>7.1327580992926742E-2</v>
      </c>
    </row>
    <row r="41" spans="1:48" ht="16" x14ac:dyDescent="0.2">
      <c r="A41" s="21" t="s">
        <v>50</v>
      </c>
      <c r="B41" s="22">
        <f>B38+B37+B36</f>
        <v>0</v>
      </c>
      <c r="C41" s="22">
        <f t="shared" ref="C41:O41" si="0">C38+C37+C36</f>
        <v>1293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12971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207549</v>
      </c>
      <c r="O41" s="22">
        <f t="shared" si="0"/>
        <v>221813</v>
      </c>
      <c r="P41" s="16">
        <f>O41/O$39</f>
        <v>0.43557483475439968</v>
      </c>
      <c r="Q41" s="16" t="s">
        <v>51</v>
      </c>
      <c r="R41" s="7"/>
      <c r="S41" s="7" t="s">
        <v>52</v>
      </c>
      <c r="T41" s="20">
        <f>O33/1000</f>
        <v>27.446000000000002</v>
      </c>
      <c r="U41" s="14">
        <f>P33</f>
        <v>5.3895790213690148E-2</v>
      </c>
    </row>
    <row r="42" spans="1:48" ht="16" x14ac:dyDescent="0.2">
      <c r="A42" s="23" t="s">
        <v>53</v>
      </c>
      <c r="B42" s="22"/>
      <c r="C42" s="24">
        <f>C39+C23+C10</f>
        <v>187880</v>
      </c>
      <c r="D42" s="24">
        <f t="shared" ref="D42:M42" si="1">D39+D23+D10</f>
        <v>0</v>
      </c>
      <c r="E42" s="24">
        <f t="shared" si="1"/>
        <v>893</v>
      </c>
      <c r="F42" s="24">
        <f t="shared" si="1"/>
        <v>13632</v>
      </c>
      <c r="G42" s="24">
        <f t="shared" si="1"/>
        <v>12971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317375.28000000003</v>
      </c>
      <c r="O42" s="25">
        <f>SUM(C42:N42)</f>
        <v>532751.28</v>
      </c>
      <c r="P42" s="7"/>
      <c r="Q42" s="7"/>
      <c r="R42" s="7"/>
      <c r="S42" s="7" t="s">
        <v>34</v>
      </c>
      <c r="T42" s="20">
        <f>O31/1000</f>
        <v>28.550999999999998</v>
      </c>
      <c r="U42" s="14">
        <f>P31</f>
        <v>5.6065681935111404E-2</v>
      </c>
    </row>
    <row r="43" spans="1:48" ht="16" x14ac:dyDescent="0.2">
      <c r="A43" s="23" t="s">
        <v>54</v>
      </c>
      <c r="B43" s="22"/>
      <c r="C43" s="16">
        <f t="shared" ref="C43:N43" si="2">C42/$O42</f>
        <v>0.35265987535496862</v>
      </c>
      <c r="D43" s="16">
        <f t="shared" si="2"/>
        <v>0</v>
      </c>
      <c r="E43" s="16">
        <f t="shared" si="2"/>
        <v>1.6762043255907333E-3</v>
      </c>
      <c r="F43" s="16">
        <f t="shared" si="2"/>
        <v>2.5587925382366043E-2</v>
      </c>
      <c r="G43" s="16">
        <f t="shared" si="2"/>
        <v>2.434719631269586E-2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0.59572879862437877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12.807</v>
      </c>
      <c r="U43" s="15">
        <f>P32</f>
        <v>2.5149143236418047E-2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182.30199999999999</v>
      </c>
      <c r="U44" s="15">
        <f>P34</f>
        <v>0.35798696886745396</v>
      </c>
    </row>
    <row r="45" spans="1:48" ht="16" x14ac:dyDescent="0.2">
      <c r="A45" s="6" t="s">
        <v>57</v>
      </c>
      <c r="B45" s="2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23509.279999999999</v>
      </c>
      <c r="O45" s="25">
        <f>B45+N45</f>
        <v>23509.279999999999</v>
      </c>
      <c r="P45" s="7"/>
      <c r="Q45" s="7"/>
      <c r="R45" s="7"/>
      <c r="S45" s="7" t="s">
        <v>58</v>
      </c>
      <c r="T45" s="20">
        <f>SUM(T39:T44)</f>
        <v>509.24199999999996</v>
      </c>
      <c r="U45" s="14">
        <f>SUM(U39:U44)</f>
        <v>1</v>
      </c>
    </row>
    <row r="46" spans="1:48" ht="16" x14ac:dyDescent="0.2">
      <c r="A46" s="6" t="s">
        <v>91</v>
      </c>
      <c r="B46" s="81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9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9"/>
      <c r="D48" s="28"/>
      <c r="E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62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264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60">
        <v>67627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2547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70438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12436</v>
      </c>
      <c r="C18" s="46">
        <v>20</v>
      </c>
      <c r="D18" s="46">
        <v>0</v>
      </c>
      <c r="E18" s="46">
        <v>0</v>
      </c>
      <c r="F18" s="46">
        <v>0</v>
      </c>
      <c r="G18" s="46">
        <v>13475</v>
      </c>
      <c r="H18" s="46">
        <v>0</v>
      </c>
      <c r="I18" s="46"/>
      <c r="J18" s="46"/>
      <c r="K18" s="46"/>
      <c r="L18" s="46"/>
      <c r="M18" s="46"/>
      <c r="N18" s="46"/>
      <c r="O18" s="46">
        <v>13495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303.31324000000001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12436</v>
      </c>
      <c r="C23" s="46">
        <v>20</v>
      </c>
      <c r="D23" s="46">
        <v>0</v>
      </c>
      <c r="E23" s="46">
        <v>0</v>
      </c>
      <c r="F23" s="46">
        <v>0</v>
      </c>
      <c r="G23" s="46">
        <v>13475</v>
      </c>
      <c r="H23" s="46">
        <v>0</v>
      </c>
      <c r="I23" s="46"/>
      <c r="J23" s="46"/>
      <c r="K23" s="46"/>
      <c r="L23" s="46"/>
      <c r="M23" s="46"/>
      <c r="N23" s="46"/>
      <c r="O23" s="46">
        <v>13495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154.57823999999999</v>
      </c>
      <c r="U24" s="14">
        <f>N43</f>
        <v>0.50963235234966997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55.283000000000001</v>
      </c>
      <c r="U25" s="15">
        <f>G43</f>
        <v>0.18226372182104547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5.7359999999999998</v>
      </c>
      <c r="U27" s="14">
        <f>F43</f>
        <v>1.8911142817240687E-2</v>
      </c>
    </row>
    <row r="28" spans="1:21" ht="16" x14ac:dyDescent="0.2">
      <c r="A28" s="4" t="s">
        <v>62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5.24</v>
      </c>
      <c r="U28" s="14">
        <f>E43</f>
        <v>1.7275869658706623E-2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8012</v>
      </c>
      <c r="D31" s="46">
        <v>0</v>
      </c>
      <c r="E31" s="46">
        <v>0</v>
      </c>
      <c r="F31" s="46">
        <v>822</v>
      </c>
      <c r="G31" s="46">
        <v>0</v>
      </c>
      <c r="H31" s="46">
        <v>0</v>
      </c>
      <c r="I31" s="46"/>
      <c r="J31" s="46"/>
      <c r="K31" s="46"/>
      <c r="L31" s="46"/>
      <c r="M31" s="45"/>
      <c r="N31" s="60">
        <v>7405</v>
      </c>
      <c r="O31" s="60">
        <f>SUM(B31:N31)</f>
        <v>16239</v>
      </c>
      <c r="P31" s="16">
        <f>O31/O$39</f>
        <v>5.6248506240019952E-2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190</v>
      </c>
      <c r="C32" s="46">
        <v>1043</v>
      </c>
      <c r="D32" s="46">
        <v>0</v>
      </c>
      <c r="E32" s="46">
        <v>5240</v>
      </c>
      <c r="F32" s="46">
        <v>0</v>
      </c>
      <c r="G32" s="60">
        <f>G39-G36</f>
        <v>4908</v>
      </c>
      <c r="H32" s="46">
        <v>0</v>
      </c>
      <c r="I32" s="46"/>
      <c r="J32" s="46"/>
      <c r="K32" s="46"/>
      <c r="L32" s="46"/>
      <c r="M32" s="45"/>
      <c r="N32" s="60">
        <f>O32-G32-E32-C32-B32</f>
        <v>29428</v>
      </c>
      <c r="O32" s="46">
        <v>40809</v>
      </c>
      <c r="P32" s="16">
        <f>O32/O$39</f>
        <v>0.14135385745113457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2256</v>
      </c>
      <c r="C33" s="46">
        <v>1805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60">
        <v>14399</v>
      </c>
      <c r="O33" s="60">
        <f>SUM(B33:N33)</f>
        <v>18460</v>
      </c>
      <c r="P33" s="16">
        <f>O33/O$39</f>
        <v>6.3941586624223681E-2</v>
      </c>
      <c r="Q33" s="17" t="s">
        <v>39</v>
      </c>
      <c r="R33" s="67"/>
      <c r="S33" s="3" t="s">
        <v>35</v>
      </c>
      <c r="T33" s="13">
        <f>C42/1000</f>
        <v>82.475999999999999</v>
      </c>
      <c r="U33" s="15">
        <f>C43</f>
        <v>0.27191691335333729</v>
      </c>
      <c r="W33" s="43"/>
      <c r="X33" s="60"/>
    </row>
    <row r="34" spans="1:48" ht="16" x14ac:dyDescent="0.2">
      <c r="A34" s="8" t="s">
        <v>40</v>
      </c>
      <c r="B34" s="46">
        <v>0</v>
      </c>
      <c r="C34" s="46">
        <v>70012</v>
      </c>
      <c r="D34" s="46">
        <v>0</v>
      </c>
      <c r="E34" s="46">
        <v>0</v>
      </c>
      <c r="F34" s="46">
        <v>4915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0</v>
      </c>
      <c r="O34" s="46">
        <v>74927</v>
      </c>
      <c r="P34" s="16">
        <f>O34/O$39</f>
        <v>0.25953148759443162</v>
      </c>
      <c r="Q34" s="17" t="s">
        <v>41</v>
      </c>
      <c r="R34" s="67"/>
      <c r="S34" s="3"/>
      <c r="T34" s="13">
        <f>SUM(T24:T33)</f>
        <v>303.31324000000001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1067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34551</v>
      </c>
      <c r="O35" s="46">
        <v>35618</v>
      </c>
      <c r="P35" s="16">
        <f>O35/O$39</f>
        <v>0.12337331703042248</v>
      </c>
      <c r="Q35" s="17" t="s">
        <v>43</v>
      </c>
      <c r="R35" s="67"/>
    </row>
    <row r="36" spans="1:48" ht="16" x14ac:dyDescent="0.2">
      <c r="A36" s="8" t="s">
        <v>44</v>
      </c>
      <c r="B36" s="46">
        <v>473</v>
      </c>
      <c r="C36" s="46">
        <v>517</v>
      </c>
      <c r="D36" s="46">
        <v>0</v>
      </c>
      <c r="E36" s="46">
        <v>0</v>
      </c>
      <c r="F36" s="46">
        <v>0</v>
      </c>
      <c r="G36" s="60">
        <v>36900</v>
      </c>
      <c r="H36" s="46">
        <v>0</v>
      </c>
      <c r="I36" s="46"/>
      <c r="J36" s="46"/>
      <c r="K36" s="46"/>
      <c r="L36" s="46"/>
      <c r="M36" s="45"/>
      <c r="N36" s="60">
        <f>O36-G36-C36-B36</f>
        <v>51221</v>
      </c>
      <c r="O36" s="46">
        <v>89111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7414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3804</v>
      </c>
      <c r="O37" s="46">
        <v>11218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60">
        <v>2320</v>
      </c>
      <c r="O38" s="60">
        <f>SUM(B38:N38)</f>
        <v>2320</v>
      </c>
      <c r="P38" s="17">
        <f>SUM(P31:P35)</f>
        <v>0.64444875494023224</v>
      </c>
      <c r="Q38" s="17"/>
      <c r="R38" s="67"/>
      <c r="S38" s="7" t="s">
        <v>47</v>
      </c>
      <c r="T38" s="19">
        <f>O45/1000</f>
        <v>13.553240000000001</v>
      </c>
      <c r="U38" s="7"/>
    </row>
    <row r="39" spans="1:48" ht="16" x14ac:dyDescent="0.2">
      <c r="A39" s="8" t="s">
        <v>16</v>
      </c>
      <c r="B39" s="46">
        <v>10333</v>
      </c>
      <c r="C39" s="46">
        <v>82456</v>
      </c>
      <c r="D39" s="46">
        <v>0</v>
      </c>
      <c r="E39" s="46">
        <v>5240</v>
      </c>
      <c r="F39" s="46">
        <v>5736</v>
      </c>
      <c r="G39" s="46">
        <v>41808</v>
      </c>
      <c r="H39" s="46">
        <v>0</v>
      </c>
      <c r="I39" s="46"/>
      <c r="J39" s="46"/>
      <c r="K39" s="46"/>
      <c r="L39" s="46"/>
      <c r="M39" s="45"/>
      <c r="N39" s="46">
        <v>143128</v>
      </c>
      <c r="O39" s="46">
        <v>288701</v>
      </c>
      <c r="P39" s="3"/>
      <c r="Q39" s="3"/>
      <c r="R39" s="67"/>
      <c r="S39" s="7" t="s">
        <v>48</v>
      </c>
      <c r="T39" s="20">
        <f>O41/1000</f>
        <v>102.649</v>
      </c>
      <c r="U39" s="14">
        <f>P41</f>
        <v>0.3555547088510258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35.618000000000002</v>
      </c>
      <c r="U40" s="15">
        <f>P35</f>
        <v>0.12337331703042248</v>
      </c>
    </row>
    <row r="41" spans="1:48" ht="16" x14ac:dyDescent="0.2">
      <c r="A41" s="21" t="s">
        <v>50</v>
      </c>
      <c r="B41" s="22">
        <f>B38+B37+B36</f>
        <v>7887</v>
      </c>
      <c r="C41" s="22">
        <f t="shared" ref="C41:O41" si="0">C38+C37+C36</f>
        <v>517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36900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57345</v>
      </c>
      <c r="O41" s="22">
        <f t="shared" si="0"/>
        <v>102649</v>
      </c>
      <c r="P41" s="16">
        <f>O41/O$39</f>
        <v>0.3555547088510258</v>
      </c>
      <c r="Q41" s="16" t="s">
        <v>51</v>
      </c>
      <c r="R41" s="7"/>
      <c r="S41" s="7" t="s">
        <v>52</v>
      </c>
      <c r="T41" s="20">
        <f>O33/1000</f>
        <v>18.46</v>
      </c>
      <c r="U41" s="14">
        <f>P33</f>
        <v>6.3941586624223681E-2</v>
      </c>
    </row>
    <row r="42" spans="1:48" ht="16" x14ac:dyDescent="0.2">
      <c r="A42" s="23" t="s">
        <v>53</v>
      </c>
      <c r="B42" s="22"/>
      <c r="C42" s="24">
        <f>C39+C23+C10</f>
        <v>82476</v>
      </c>
      <c r="D42" s="24">
        <f t="shared" ref="D42:M42" si="1">D39+D23+D10</f>
        <v>0</v>
      </c>
      <c r="E42" s="24">
        <f t="shared" si="1"/>
        <v>5240</v>
      </c>
      <c r="F42" s="24">
        <f t="shared" si="1"/>
        <v>5736</v>
      </c>
      <c r="G42" s="24">
        <f t="shared" si="1"/>
        <v>55283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154578.23999999999</v>
      </c>
      <c r="O42" s="25">
        <f>SUM(C42:N42)</f>
        <v>303313.24</v>
      </c>
      <c r="P42" s="7"/>
      <c r="Q42" s="7"/>
      <c r="R42" s="7"/>
      <c r="S42" s="7" t="s">
        <v>34</v>
      </c>
      <c r="T42" s="20">
        <f>O31/1000</f>
        <v>16.239000000000001</v>
      </c>
      <c r="U42" s="14">
        <f>P31</f>
        <v>5.6248506240019952E-2</v>
      </c>
    </row>
    <row r="43" spans="1:48" ht="16" x14ac:dyDescent="0.2">
      <c r="A43" s="23" t="s">
        <v>54</v>
      </c>
      <c r="B43" s="22"/>
      <c r="C43" s="16">
        <f t="shared" ref="C43:N43" si="2">C42/$O42</f>
        <v>0.27191691335333729</v>
      </c>
      <c r="D43" s="16">
        <f t="shared" si="2"/>
        <v>0</v>
      </c>
      <c r="E43" s="16">
        <f t="shared" si="2"/>
        <v>1.7275869658706623E-2</v>
      </c>
      <c r="F43" s="16">
        <f t="shared" si="2"/>
        <v>1.8911142817240687E-2</v>
      </c>
      <c r="G43" s="16">
        <f t="shared" si="2"/>
        <v>0.18226372182104547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0.50963235234966997</v>
      </c>
      <c r="O43" s="16">
        <f>SUM(C43:N43)</f>
        <v>1</v>
      </c>
      <c r="P43" s="7"/>
      <c r="Q43" s="7">
        <f>143128-119004</f>
        <v>24124</v>
      </c>
      <c r="R43" s="7"/>
      <c r="S43" s="7" t="s">
        <v>55</v>
      </c>
      <c r="T43" s="20">
        <f>O32/1000</f>
        <v>40.808999999999997</v>
      </c>
      <c r="U43" s="15">
        <f>P32</f>
        <v>0.14135385745113457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74.927000000000007</v>
      </c>
      <c r="U44" s="15">
        <f>P34</f>
        <v>0.25953148759443162</v>
      </c>
    </row>
    <row r="45" spans="1:48" ht="16" x14ac:dyDescent="0.2">
      <c r="A45" s="6" t="s">
        <v>57</v>
      </c>
      <c r="B45" s="26">
        <f>B23-B39</f>
        <v>2103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11450.24</v>
      </c>
      <c r="O45" s="25">
        <f>B45+N45</f>
        <v>13553.24</v>
      </c>
      <c r="P45" s="7"/>
      <c r="Q45" s="7"/>
      <c r="R45" s="7"/>
      <c r="S45" s="7" t="s">
        <v>58</v>
      </c>
      <c r="T45" s="20">
        <f>SUM(T39:T44)</f>
        <v>288.702</v>
      </c>
      <c r="U45" s="14">
        <f>SUM(U39:U44)</f>
        <v>1.0000034637912583</v>
      </c>
    </row>
    <row r="46" spans="1:48" ht="16" x14ac:dyDescent="0.2">
      <c r="A46" s="9" t="s">
        <v>91</v>
      </c>
      <c r="B46" s="70">
        <f>B45/B23</f>
        <v>0.16910582180765518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8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8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8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8"/>
      <c r="P52" s="28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 enableFormatConditionsCalculation="0"/>
  <dimension ref="A1:AV70"/>
  <sheetViews>
    <sheetView topLeftCell="A12"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63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104">
        <v>128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1">
        <f>SUM(B4:B9)</f>
        <v>128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28832+4749</f>
        <v>33581</v>
      </c>
      <c r="C18" s="46">
        <v>318</v>
      </c>
      <c r="D18" s="46">
        <v>0</v>
      </c>
      <c r="E18" s="46">
        <v>0</v>
      </c>
      <c r="F18" s="46">
        <v>0</v>
      </c>
      <c r="G18" s="46">
        <v>37782</v>
      </c>
      <c r="H18" s="46">
        <v>0</v>
      </c>
      <c r="I18" s="46"/>
      <c r="J18" s="46"/>
      <c r="K18" s="46"/>
      <c r="L18" s="46"/>
      <c r="M18" s="46"/>
      <c r="N18" s="46"/>
      <c r="O18" s="46">
        <v>38101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377.39840000000004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33581</v>
      </c>
      <c r="C23" s="46">
        <v>318</v>
      </c>
      <c r="D23" s="46">
        <v>0</v>
      </c>
      <c r="E23" s="46">
        <v>0</v>
      </c>
      <c r="F23" s="46">
        <v>0</v>
      </c>
      <c r="G23" s="46">
        <v>37782</v>
      </c>
      <c r="H23" s="46">
        <v>0</v>
      </c>
      <c r="I23" s="46"/>
      <c r="J23" s="46"/>
      <c r="K23" s="46"/>
      <c r="L23" s="46"/>
      <c r="M23" s="46"/>
      <c r="N23" s="46"/>
      <c r="O23" s="46">
        <v>38101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101.2824</v>
      </c>
      <c r="U24" s="14">
        <f>N43</f>
        <v>0.26836997719121225</v>
      </c>
    </row>
    <row r="25" spans="1:21" ht="16" x14ac:dyDescent="0.2">
      <c r="B25" s="46"/>
      <c r="C25" s="10"/>
      <c r="D2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65.853999999999999</v>
      </c>
      <c r="U25" s="15">
        <f>G43</f>
        <v>0.17449464544629759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16.02</v>
      </c>
      <c r="U27" s="14">
        <f>F43</f>
        <v>4.244851064551413E-2</v>
      </c>
    </row>
    <row r="28" spans="1:21" ht="16" x14ac:dyDescent="0.2">
      <c r="A28" s="4" t="s">
        <v>63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6" x14ac:dyDescent="0.2">
      <c r="A31" s="8" t="s">
        <v>33</v>
      </c>
      <c r="B31" s="46">
        <v>0</v>
      </c>
      <c r="C31" s="46">
        <v>8567</v>
      </c>
      <c r="D31" s="46">
        <v>0</v>
      </c>
      <c r="E31" s="46">
        <v>0</v>
      </c>
      <c r="F31" s="46">
        <v>884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5237</v>
      </c>
      <c r="O31" s="46">
        <v>14687</v>
      </c>
      <c r="P31" s="16">
        <f>O31/O$39</f>
        <v>4.0910521639094935E-2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6" x14ac:dyDescent="0.2">
      <c r="A32" s="8" t="s">
        <v>36</v>
      </c>
      <c r="B32" s="46">
        <v>1111</v>
      </c>
      <c r="C32" s="60">
        <v>8748</v>
      </c>
      <c r="D32" s="46">
        <v>0</v>
      </c>
      <c r="E32" s="46">
        <v>0</v>
      </c>
      <c r="F32" s="46">
        <v>0</v>
      </c>
      <c r="G32" s="60">
        <v>5091</v>
      </c>
      <c r="H32" s="46">
        <v>0</v>
      </c>
      <c r="I32" s="46"/>
      <c r="J32" s="46"/>
      <c r="K32" s="46"/>
      <c r="L32" s="46"/>
      <c r="M32" s="45"/>
      <c r="N32" s="46">
        <v>27201</v>
      </c>
      <c r="O32" s="46">
        <v>42151</v>
      </c>
      <c r="P32" s="16">
        <f>O32/O$39</f>
        <v>0.11741127511469264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7144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7590</v>
      </c>
      <c r="O33" s="46">
        <v>14734</v>
      </c>
      <c r="P33" s="16">
        <f>O33/O$39</f>
        <v>4.1041439765127308E-2</v>
      </c>
      <c r="Q33" s="17" t="s">
        <v>39</v>
      </c>
      <c r="R33" s="67"/>
      <c r="S33" s="3" t="s">
        <v>35</v>
      </c>
      <c r="T33" s="13">
        <f>C42/1000</f>
        <v>194.24199999999999</v>
      </c>
      <c r="U33" s="15">
        <f>C43</f>
        <v>0.51468686671697594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175271</v>
      </c>
      <c r="D34" s="46">
        <v>0</v>
      </c>
      <c r="E34" s="46">
        <v>0</v>
      </c>
      <c r="F34" s="46">
        <v>15137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0</v>
      </c>
      <c r="O34" s="46">
        <v>190408</v>
      </c>
      <c r="P34" s="16">
        <f>O34/O$39</f>
        <v>0.53037996896961859</v>
      </c>
      <c r="Q34" s="17" t="s">
        <v>41</v>
      </c>
      <c r="R34" s="67"/>
      <c r="S34" s="3"/>
      <c r="T34" s="13">
        <f>SUM(T24:T33)</f>
        <v>377.39839999999998</v>
      </c>
      <c r="U34" s="14">
        <f>SUM(U24:U33)</f>
        <v>0.99999999999999989</v>
      </c>
    </row>
    <row r="35" spans="1:48" ht="16" x14ac:dyDescent="0.2">
      <c r="A35" s="8" t="s">
        <v>42</v>
      </c>
      <c r="B35" s="46">
        <v>2758</v>
      </c>
      <c r="C35" s="46">
        <v>824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13821</v>
      </c>
      <c r="O35" s="46">
        <v>17403</v>
      </c>
      <c r="P35" s="16">
        <f>O35/O$39</f>
        <v>4.8475918028540149E-2</v>
      </c>
      <c r="Q35" s="17" t="s">
        <v>43</v>
      </c>
      <c r="R35" s="67"/>
    </row>
    <row r="36" spans="1:48" ht="16" x14ac:dyDescent="0.2">
      <c r="A36" s="8" t="s">
        <v>44</v>
      </c>
      <c r="B36" s="46">
        <v>6941</v>
      </c>
      <c r="C36" s="46">
        <v>402</v>
      </c>
      <c r="D36" s="46">
        <v>0</v>
      </c>
      <c r="E36" s="46">
        <v>0</v>
      </c>
      <c r="F36" s="46">
        <v>0</v>
      </c>
      <c r="G36" s="46">
        <v>22981</v>
      </c>
      <c r="H36" s="46">
        <v>0</v>
      </c>
      <c r="I36" s="46"/>
      <c r="J36" s="46"/>
      <c r="K36" s="46"/>
      <c r="L36" s="46"/>
      <c r="M36" s="45"/>
      <c r="N36" s="46">
        <v>26036</v>
      </c>
      <c r="O36" s="46">
        <v>56360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9252</v>
      </c>
      <c r="C37" s="46">
        <v>112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8019</v>
      </c>
      <c r="O37" s="46">
        <v>17383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5876</v>
      </c>
      <c r="O38" s="46">
        <v>5876</v>
      </c>
      <c r="P38" s="17">
        <f>SUM(P31:P35)</f>
        <v>0.77821912351707356</v>
      </c>
      <c r="Q38" s="17"/>
      <c r="R38" s="67"/>
      <c r="S38" s="7" t="s">
        <v>47</v>
      </c>
      <c r="T38" s="19">
        <f>O45/1000</f>
        <v>13.877400000000002</v>
      </c>
      <c r="U38" s="7"/>
    </row>
    <row r="39" spans="1:48" ht="16" x14ac:dyDescent="0.2">
      <c r="A39" s="8" t="s">
        <v>16</v>
      </c>
      <c r="B39" s="46">
        <v>27206</v>
      </c>
      <c r="C39" s="60">
        <f>SUM(C31:C38)</f>
        <v>193924</v>
      </c>
      <c r="D39" s="46">
        <v>0</v>
      </c>
      <c r="E39" s="46">
        <v>0</v>
      </c>
      <c r="F39" s="46">
        <v>16020</v>
      </c>
      <c r="G39" s="60">
        <f>SUM(G31:G38)</f>
        <v>28072</v>
      </c>
      <c r="H39" s="46">
        <v>0</v>
      </c>
      <c r="I39" s="46"/>
      <c r="J39" s="46"/>
      <c r="K39" s="46"/>
      <c r="L39" s="46"/>
      <c r="M39" s="45"/>
      <c r="N39" s="46">
        <v>93780</v>
      </c>
      <c r="O39" s="46">
        <v>359003</v>
      </c>
      <c r="P39" s="3"/>
      <c r="Q39" s="3"/>
      <c r="R39" s="67"/>
      <c r="S39" s="7" t="s">
        <v>48</v>
      </c>
      <c r="T39" s="20">
        <f>O41/1000</f>
        <v>79.619</v>
      </c>
      <c r="U39" s="14">
        <f>P41</f>
        <v>0.22177809099088308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17.402999999999999</v>
      </c>
      <c r="U40" s="15">
        <f>P35</f>
        <v>4.8475918028540149E-2</v>
      </c>
    </row>
    <row r="41" spans="1:48" ht="16" x14ac:dyDescent="0.2">
      <c r="A41" s="21" t="s">
        <v>50</v>
      </c>
      <c r="B41" s="22">
        <f>B38+B37+B36</f>
        <v>16193</v>
      </c>
      <c r="C41" s="22">
        <f t="shared" ref="C41:O41" si="0">C38+C37+C36</f>
        <v>514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22981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39931</v>
      </c>
      <c r="O41" s="22">
        <f t="shared" si="0"/>
        <v>79619</v>
      </c>
      <c r="P41" s="16">
        <f>O41/O$39</f>
        <v>0.22177809099088308</v>
      </c>
      <c r="Q41" s="16" t="s">
        <v>51</v>
      </c>
      <c r="R41" s="7"/>
      <c r="S41" s="7" t="s">
        <v>52</v>
      </c>
      <c r="T41" s="20">
        <f>O33/1000</f>
        <v>14.734</v>
      </c>
      <c r="U41" s="14">
        <f>P33</f>
        <v>4.1041439765127308E-2</v>
      </c>
    </row>
    <row r="42" spans="1:48" ht="16" x14ac:dyDescent="0.2">
      <c r="A42" s="23" t="s">
        <v>53</v>
      </c>
      <c r="B42" s="22"/>
      <c r="C42" s="24">
        <f>C39+C23+C10</f>
        <v>194242</v>
      </c>
      <c r="D42" s="24">
        <f t="shared" ref="D42:M42" si="1">D39+D23+D10</f>
        <v>0</v>
      </c>
      <c r="E42" s="24">
        <f t="shared" si="1"/>
        <v>0</v>
      </c>
      <c r="F42" s="24">
        <f t="shared" si="1"/>
        <v>16020</v>
      </c>
      <c r="G42" s="24">
        <f t="shared" si="1"/>
        <v>65854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101282.4</v>
      </c>
      <c r="O42" s="25">
        <f>SUM(C42:N42)</f>
        <v>377398.4</v>
      </c>
      <c r="P42" s="7"/>
      <c r="Q42" s="7"/>
      <c r="R42" s="7"/>
      <c r="S42" s="7" t="s">
        <v>34</v>
      </c>
      <c r="T42" s="20">
        <f>O31/1000</f>
        <v>14.686999999999999</v>
      </c>
      <c r="U42" s="14">
        <f>P31</f>
        <v>4.0910521639094935E-2</v>
      </c>
    </row>
    <row r="43" spans="1:48" ht="16" x14ac:dyDescent="0.2">
      <c r="A43" s="23" t="s">
        <v>54</v>
      </c>
      <c r="B43" s="22"/>
      <c r="C43" s="16">
        <f t="shared" ref="C43:N43" si="2">C42/$O42</f>
        <v>0.51468686671697594</v>
      </c>
      <c r="D43" s="16">
        <f t="shared" si="2"/>
        <v>0</v>
      </c>
      <c r="E43" s="16">
        <f t="shared" si="2"/>
        <v>0</v>
      </c>
      <c r="F43" s="16">
        <f t="shared" si="2"/>
        <v>4.244851064551413E-2</v>
      </c>
      <c r="G43" s="16">
        <f t="shared" si="2"/>
        <v>0.17449464544629759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0.26836997719121225</v>
      </c>
      <c r="O43" s="16">
        <f>SUM(C43:N43)</f>
        <v>0.99999999999999989</v>
      </c>
      <c r="P43" s="7"/>
      <c r="Q43" s="7"/>
      <c r="R43" s="7"/>
      <c r="S43" s="7" t="s">
        <v>55</v>
      </c>
      <c r="T43" s="20">
        <f>O32/1000</f>
        <v>42.151000000000003</v>
      </c>
      <c r="U43" s="15">
        <f>P32</f>
        <v>0.11741127511469264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190.40799999999999</v>
      </c>
      <c r="U44" s="15">
        <f>P34</f>
        <v>0.53037996896961859</v>
      </c>
    </row>
    <row r="45" spans="1:48" ht="16" x14ac:dyDescent="0.2">
      <c r="A45" s="6" t="s">
        <v>57</v>
      </c>
      <c r="B45" s="26">
        <f>B23-B39</f>
        <v>6375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7502.4000000000005</v>
      </c>
      <c r="O45" s="25">
        <f>B45+N45</f>
        <v>13877.400000000001</v>
      </c>
      <c r="P45" s="7"/>
      <c r="Q45" s="7"/>
      <c r="R45" s="7"/>
      <c r="S45" s="7" t="s">
        <v>58</v>
      </c>
      <c r="T45" s="20">
        <f>SUM(T39:T44)</f>
        <v>359.00199999999995</v>
      </c>
      <c r="U45" s="14">
        <f>SUM(U39:U44)</f>
        <v>0.99999721450795664</v>
      </c>
    </row>
    <row r="46" spans="1:48" ht="16" x14ac:dyDescent="0.2">
      <c r="A46" s="9" t="s">
        <v>91</v>
      </c>
      <c r="B46" s="70">
        <f>B45/B23</f>
        <v>0.18983949257020338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40"/>
      <c r="D47" s="27"/>
      <c r="E47" s="27"/>
      <c r="F47" s="27"/>
      <c r="G47" s="40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 enableFormatConditionsCalculation="0"/>
  <dimension ref="A1:AV70"/>
  <sheetViews>
    <sheetView workbookViewId="0">
      <selection activeCell="B25" sqref="B25"/>
    </sheetView>
  </sheetViews>
  <sheetFormatPr baseColWidth="10" defaultColWidth="8.6640625" defaultRowHeight="15" x14ac:dyDescent="0.2"/>
  <cols>
    <col min="1" max="1" width="15.5" style="2" customWidth="1"/>
    <col min="2" max="2" width="12" style="2" customWidth="1"/>
    <col min="3" max="3" width="13.6640625" style="2" customWidth="1"/>
    <col min="4" max="11" width="8.6640625" style="2"/>
    <col min="12" max="13" width="5.6640625" style="2" customWidth="1"/>
    <col min="14" max="16384" width="8.66406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64</v>
      </c>
      <c r="Q2" s="45"/>
      <c r="R2" s="8"/>
      <c r="AH2" s="45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96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45"/>
      <c r="R3" s="45"/>
      <c r="AH3" s="45"/>
      <c r="AI3" s="45"/>
    </row>
    <row r="4" spans="1:35" ht="15.75" x14ac:dyDescent="0.25">
      <c r="A4" s="8" t="s">
        <v>99</v>
      </c>
      <c r="B4" s="61">
        <v>104</v>
      </c>
      <c r="Q4" s="45"/>
      <c r="R4" s="45"/>
      <c r="AH4" s="45"/>
      <c r="AI4" s="45"/>
    </row>
    <row r="5" spans="1:35" ht="15.75" x14ac:dyDescent="0.25">
      <c r="A5" s="45"/>
      <c r="Q5" s="45"/>
      <c r="R5" s="45"/>
      <c r="AH5" s="45"/>
      <c r="AI5" s="45"/>
    </row>
    <row r="6" spans="1:35" ht="16" x14ac:dyDescent="0.2">
      <c r="A6" s="8" t="s">
        <v>12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45"/>
      <c r="R6" s="45"/>
      <c r="AH6" s="45"/>
      <c r="AI6" s="45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45"/>
      <c r="R7" s="45"/>
      <c r="AH7" s="45"/>
      <c r="AI7" s="45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45"/>
      <c r="R8" s="45"/>
      <c r="AH8" s="45"/>
      <c r="AI8" s="45"/>
    </row>
    <row r="9" spans="1:35" ht="15.75" x14ac:dyDescent="0.25">
      <c r="A9" s="8" t="s">
        <v>15</v>
      </c>
      <c r="B9" s="62">
        <v>127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45"/>
      <c r="R9" s="45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  <c r="AI9" s="45"/>
    </row>
    <row r="10" spans="1:35" ht="16" x14ac:dyDescent="0.2">
      <c r="A10" s="8" t="s">
        <v>16</v>
      </c>
      <c r="B10" s="62">
        <f>SUM(B4:B9)</f>
        <v>231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45"/>
      <c r="R10" s="45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  <c r="AI10" s="45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96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97</v>
      </c>
      <c r="M15" s="6" t="s">
        <v>9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24058+3785</f>
        <v>27843</v>
      </c>
      <c r="C18" s="46">
        <v>70</v>
      </c>
      <c r="D18" s="46">
        <v>0</v>
      </c>
      <c r="E18" s="46">
        <v>1298</v>
      </c>
      <c r="F18" s="46">
        <v>0</v>
      </c>
      <c r="G18" s="46">
        <v>23473</v>
      </c>
      <c r="H18" s="46">
        <v>0</v>
      </c>
      <c r="I18" s="46"/>
      <c r="J18" s="46"/>
      <c r="K18" s="46"/>
      <c r="L18" s="46"/>
      <c r="M18" s="46"/>
      <c r="N18" s="46"/>
      <c r="O18" s="46">
        <v>24841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590.01595999999995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27843</v>
      </c>
      <c r="C23" s="46">
        <v>70</v>
      </c>
      <c r="D23" s="46">
        <v>0</v>
      </c>
      <c r="E23" s="46">
        <v>1298</v>
      </c>
      <c r="F23" s="46">
        <v>0</v>
      </c>
      <c r="G23" s="46">
        <v>23473</v>
      </c>
      <c r="H23" s="46">
        <v>0</v>
      </c>
      <c r="I23" s="46"/>
      <c r="J23" s="46"/>
      <c r="K23" s="46"/>
      <c r="L23" s="46"/>
      <c r="M23" s="46"/>
      <c r="N23" s="46"/>
      <c r="O23" s="46">
        <v>24841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284.48896000000002</v>
      </c>
      <c r="U24" s="14">
        <f>N43</f>
        <v>0.48217163481476</v>
      </c>
    </row>
    <row r="25" spans="1:21" ht="16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96</v>
      </c>
      <c r="T25" s="13">
        <f>G42/1000</f>
        <v>32.289000000000001</v>
      </c>
      <c r="U25" s="15">
        <f>G43</f>
        <v>5.472563826917496E-2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5.6849999999999996</v>
      </c>
      <c r="U27" s="14">
        <f>F43</f>
        <v>9.6353325764272548E-3</v>
      </c>
    </row>
    <row r="28" spans="1:21" ht="15.75" x14ac:dyDescent="0.25">
      <c r="A28" s="4" t="s">
        <v>64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183.43100000000001</v>
      </c>
      <c r="U28" s="14">
        <f>E43</f>
        <v>0.31089159011901984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96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52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52">
        <f>K43</f>
        <v>0</v>
      </c>
    </row>
    <row r="31" spans="1:21" ht="15.75" x14ac:dyDescent="0.25">
      <c r="A31" s="8" t="s">
        <v>33</v>
      </c>
      <c r="B31" s="46">
        <v>0</v>
      </c>
      <c r="C31" s="46">
        <v>3993</v>
      </c>
      <c r="D31" s="46">
        <v>0</v>
      </c>
      <c r="E31" s="46">
        <v>0</v>
      </c>
      <c r="F31" s="46">
        <v>410</v>
      </c>
      <c r="G31" s="46">
        <v>0</v>
      </c>
      <c r="H31" s="46">
        <v>0</v>
      </c>
      <c r="I31" s="46"/>
      <c r="J31" s="46"/>
      <c r="K31" s="46"/>
      <c r="L31" s="46"/>
      <c r="M31" s="45"/>
      <c r="N31" s="46">
        <v>3921</v>
      </c>
      <c r="O31" s="46">
        <v>8324</v>
      </c>
      <c r="P31" s="16">
        <f>O31/O$39</f>
        <v>1.4617818847222368E-2</v>
      </c>
      <c r="Q31" s="17" t="s">
        <v>34</v>
      </c>
      <c r="R31" s="67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2186</v>
      </c>
      <c r="C32" s="46">
        <v>2288</v>
      </c>
      <c r="D32" s="46">
        <v>0</v>
      </c>
      <c r="E32" s="46">
        <v>182133</v>
      </c>
      <c r="F32" s="46">
        <v>0</v>
      </c>
      <c r="G32" s="46">
        <v>0</v>
      </c>
      <c r="H32" s="46">
        <v>0</v>
      </c>
      <c r="I32" s="46"/>
      <c r="J32" s="46"/>
      <c r="K32" s="46"/>
      <c r="L32" s="46"/>
      <c r="M32" s="45"/>
      <c r="N32" s="46">
        <v>160247</v>
      </c>
      <c r="O32" s="46">
        <v>346854</v>
      </c>
      <c r="P32" s="16">
        <f>O32/O$39</f>
        <v>0.60911207813965251</v>
      </c>
      <c r="Q32" s="17" t="s">
        <v>37</v>
      </c>
      <c r="R32" s="67"/>
      <c r="S32" s="3" t="s">
        <v>6</v>
      </c>
      <c r="T32" s="13">
        <f>H42/1000</f>
        <v>0</v>
      </c>
      <c r="U32" s="14">
        <f>H43</f>
        <v>0</v>
      </c>
    </row>
    <row r="33" spans="1:48" ht="16" x14ac:dyDescent="0.2">
      <c r="A33" s="8" t="s">
        <v>38</v>
      </c>
      <c r="B33" s="46">
        <v>3719</v>
      </c>
      <c r="C33" s="46">
        <v>358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45"/>
      <c r="N33" s="46">
        <v>10384</v>
      </c>
      <c r="O33" s="46">
        <v>14461</v>
      </c>
      <c r="P33" s="16">
        <f>O33/O$39</f>
        <v>2.539503584210508E-2</v>
      </c>
      <c r="Q33" s="17" t="s">
        <v>39</v>
      </c>
      <c r="R33" s="67"/>
      <c r="S33" s="3" t="s">
        <v>35</v>
      </c>
      <c r="T33" s="13">
        <f>C42/1000</f>
        <v>84.122</v>
      </c>
      <c r="U33" s="15">
        <f>C43</f>
        <v>0.14257580422061805</v>
      </c>
      <c r="W33" s="43"/>
      <c r="X33" s="46"/>
    </row>
    <row r="34" spans="1:48" ht="16" x14ac:dyDescent="0.2">
      <c r="A34" s="8" t="s">
        <v>40</v>
      </c>
      <c r="B34" s="46">
        <v>0</v>
      </c>
      <c r="C34" s="46">
        <v>76086</v>
      </c>
      <c r="D34" s="46">
        <v>0</v>
      </c>
      <c r="E34" s="46">
        <v>0</v>
      </c>
      <c r="F34" s="46">
        <v>5275</v>
      </c>
      <c r="G34" s="46">
        <v>0</v>
      </c>
      <c r="H34" s="46">
        <v>0</v>
      </c>
      <c r="I34" s="46"/>
      <c r="J34" s="46"/>
      <c r="K34" s="46"/>
      <c r="L34" s="46"/>
      <c r="M34" s="45"/>
      <c r="N34" s="46">
        <v>65</v>
      </c>
      <c r="O34" s="46">
        <v>81426</v>
      </c>
      <c r="P34" s="16">
        <f>O34/O$39</f>
        <v>0.14299261382195202</v>
      </c>
      <c r="Q34" s="17" t="s">
        <v>41</v>
      </c>
      <c r="R34" s="67"/>
      <c r="S34" s="3"/>
      <c r="T34" s="13">
        <f>SUM(T24:T33)</f>
        <v>590.01595999999995</v>
      </c>
      <c r="U34" s="14">
        <f>SUM(U24:U33)</f>
        <v>1</v>
      </c>
    </row>
    <row r="35" spans="1:48" ht="16" x14ac:dyDescent="0.2">
      <c r="A35" s="8" t="s">
        <v>42</v>
      </c>
      <c r="B35" s="46">
        <v>1308</v>
      </c>
      <c r="C35" s="46">
        <v>487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45"/>
      <c r="N35" s="46">
        <v>22996</v>
      </c>
      <c r="O35" s="46">
        <v>24791</v>
      </c>
      <c r="P35" s="16">
        <f>O35/O$39</f>
        <v>4.353560151867969E-2</v>
      </c>
      <c r="Q35" s="17" t="s">
        <v>43</v>
      </c>
      <c r="R35" s="67"/>
    </row>
    <row r="36" spans="1:48" ht="16" x14ac:dyDescent="0.2">
      <c r="A36" s="8" t="s">
        <v>44</v>
      </c>
      <c r="B36" s="46">
        <v>456</v>
      </c>
      <c r="C36" s="46">
        <v>770</v>
      </c>
      <c r="D36" s="46">
        <v>0</v>
      </c>
      <c r="E36" s="46">
        <v>0</v>
      </c>
      <c r="F36" s="46">
        <v>0</v>
      </c>
      <c r="G36" s="46">
        <v>8816</v>
      </c>
      <c r="H36" s="46">
        <v>0</v>
      </c>
      <c r="I36" s="46"/>
      <c r="J36" s="46"/>
      <c r="K36" s="46"/>
      <c r="L36" s="46"/>
      <c r="M36" s="45"/>
      <c r="N36" s="46">
        <v>61405</v>
      </c>
      <c r="O36" s="46">
        <v>71447</v>
      </c>
      <c r="P36" s="17"/>
      <c r="Q36" s="17"/>
      <c r="R36" s="67"/>
      <c r="S36" s="7"/>
      <c r="T36" s="7"/>
      <c r="U36" s="7"/>
    </row>
    <row r="37" spans="1:48" ht="16" x14ac:dyDescent="0.2">
      <c r="A37" s="8" t="s">
        <v>45</v>
      </c>
      <c r="B37" s="46">
        <v>17575</v>
      </c>
      <c r="C37" s="46">
        <v>70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45"/>
      <c r="N37" s="46">
        <v>4132</v>
      </c>
      <c r="O37" s="46">
        <v>21777</v>
      </c>
      <c r="P37" s="17"/>
      <c r="Q37" s="17"/>
      <c r="R37" s="67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45"/>
      <c r="N38" s="46">
        <v>362</v>
      </c>
      <c r="O38" s="46">
        <v>362</v>
      </c>
      <c r="P38" s="17">
        <f>SUM(P31:P35)</f>
        <v>0.83565314816961167</v>
      </c>
      <c r="Q38" s="17"/>
      <c r="R38" s="67"/>
      <c r="S38" s="7" t="s">
        <v>47</v>
      </c>
      <c r="T38" s="19">
        <f>O45/1000</f>
        <v>23.679959999999998</v>
      </c>
      <c r="U38" s="7"/>
    </row>
    <row r="39" spans="1:48" ht="16" x14ac:dyDescent="0.2">
      <c r="A39" s="8" t="s">
        <v>16</v>
      </c>
      <c r="B39" s="46">
        <v>25244</v>
      </c>
      <c r="C39" s="46">
        <v>84052</v>
      </c>
      <c r="D39" s="46">
        <v>0</v>
      </c>
      <c r="E39" s="46">
        <v>182133</v>
      </c>
      <c r="F39" s="46">
        <v>5685</v>
      </c>
      <c r="G39" s="46">
        <v>8816</v>
      </c>
      <c r="H39" s="46">
        <v>0</v>
      </c>
      <c r="I39" s="46"/>
      <c r="J39" s="46"/>
      <c r="K39" s="46"/>
      <c r="L39" s="46"/>
      <c r="M39" s="45"/>
      <c r="N39" s="46">
        <v>263512</v>
      </c>
      <c r="O39" s="46">
        <v>569442</v>
      </c>
      <c r="P39" s="3"/>
      <c r="Q39" s="3"/>
      <c r="R39" s="67"/>
      <c r="S39" s="7" t="s">
        <v>48</v>
      </c>
      <c r="T39" s="20">
        <f>O41/1000</f>
        <v>93.585999999999999</v>
      </c>
      <c r="U39" s="14">
        <f>P41</f>
        <v>0.16434685183038836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S40" s="7" t="s">
        <v>49</v>
      </c>
      <c r="T40" s="20">
        <f>O35/1000</f>
        <v>24.791</v>
      </c>
      <c r="U40" s="15">
        <f>P35</f>
        <v>4.353560151867969E-2</v>
      </c>
    </row>
    <row r="41" spans="1:48" ht="16" x14ac:dyDescent="0.2">
      <c r="A41" s="21" t="s">
        <v>50</v>
      </c>
      <c r="B41" s="22">
        <f>B38+B37+B36</f>
        <v>18031</v>
      </c>
      <c r="C41" s="22">
        <f t="shared" ref="C41:O41" si="0">C38+C37+C36</f>
        <v>840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8816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65899</v>
      </c>
      <c r="O41" s="22">
        <f t="shared" si="0"/>
        <v>93586</v>
      </c>
      <c r="P41" s="16">
        <f>O41/O$39</f>
        <v>0.16434685183038836</v>
      </c>
      <c r="Q41" s="16" t="s">
        <v>51</v>
      </c>
      <c r="R41" s="7"/>
      <c r="S41" s="7" t="s">
        <v>52</v>
      </c>
      <c r="T41" s="20">
        <f>O33/1000</f>
        <v>14.461</v>
      </c>
      <c r="U41" s="14">
        <f>P33</f>
        <v>2.539503584210508E-2</v>
      </c>
    </row>
    <row r="42" spans="1:48" ht="16" x14ac:dyDescent="0.2">
      <c r="A42" s="23" t="s">
        <v>53</v>
      </c>
      <c r="B42" s="22"/>
      <c r="C42" s="24">
        <f>C39+C23+C10</f>
        <v>84122</v>
      </c>
      <c r="D42" s="24">
        <f t="shared" ref="D42:M42" si="1">D39+D23+D10</f>
        <v>0</v>
      </c>
      <c r="E42" s="24">
        <f t="shared" si="1"/>
        <v>183431</v>
      </c>
      <c r="F42" s="24">
        <f t="shared" si="1"/>
        <v>5685</v>
      </c>
      <c r="G42" s="24">
        <f t="shared" si="1"/>
        <v>32289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N39+N23-B4+N45</f>
        <v>284488.96000000002</v>
      </c>
      <c r="O42" s="25">
        <f>SUM(C42:N42)</f>
        <v>590015.96</v>
      </c>
      <c r="P42" s="7"/>
      <c r="Q42" s="7"/>
      <c r="R42" s="7"/>
      <c r="S42" s="7" t="s">
        <v>34</v>
      </c>
      <c r="T42" s="20">
        <f>O31/1000</f>
        <v>8.3239999999999998</v>
      </c>
      <c r="U42" s="14">
        <f>P31</f>
        <v>1.4617818847222368E-2</v>
      </c>
    </row>
    <row r="43" spans="1:48" ht="16" x14ac:dyDescent="0.2">
      <c r="A43" s="23" t="s">
        <v>54</v>
      </c>
      <c r="B43" s="22"/>
      <c r="C43" s="16">
        <f t="shared" ref="C43:N43" si="2">C42/$O42</f>
        <v>0.14257580422061805</v>
      </c>
      <c r="D43" s="16">
        <f t="shared" si="2"/>
        <v>0</v>
      </c>
      <c r="E43" s="16">
        <f t="shared" si="2"/>
        <v>0.31089159011901984</v>
      </c>
      <c r="F43" s="16">
        <f t="shared" si="2"/>
        <v>9.6353325764272548E-3</v>
      </c>
      <c r="G43" s="16">
        <f t="shared" si="2"/>
        <v>5.472563826917496E-2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0.48217163481476</v>
      </c>
      <c r="O43" s="16">
        <f>SUM(C43:N43)</f>
        <v>1</v>
      </c>
      <c r="P43" s="7"/>
      <c r="Q43" s="7"/>
      <c r="R43" s="7"/>
      <c r="S43" s="7" t="s">
        <v>55</v>
      </c>
      <c r="T43" s="20">
        <f>O32/1000</f>
        <v>346.85399999999998</v>
      </c>
      <c r="U43" s="15">
        <f>P32</f>
        <v>0.60911207813965251</v>
      </c>
    </row>
    <row r="44" spans="1:48" ht="16" x14ac:dyDescent="0.2">
      <c r="A44" s="6"/>
      <c r="B44" s="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81.426000000000002</v>
      </c>
      <c r="U44" s="15">
        <f>P34</f>
        <v>0.14299261382195202</v>
      </c>
    </row>
    <row r="45" spans="1:48" ht="16" x14ac:dyDescent="0.2">
      <c r="A45" s="6" t="s">
        <v>57</v>
      </c>
      <c r="B45" s="26">
        <f>B23-B39</f>
        <v>2599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21080.959999999999</v>
      </c>
      <c r="O45" s="25">
        <f>B45+N45</f>
        <v>23679.96</v>
      </c>
      <c r="P45" s="7"/>
      <c r="Q45" s="7"/>
      <c r="R45" s="7"/>
      <c r="S45" s="7" t="s">
        <v>58</v>
      </c>
      <c r="T45" s="20">
        <f>SUM(T39:T44)</f>
        <v>569.44200000000001</v>
      </c>
      <c r="U45" s="14">
        <f>SUM(U39:U44)</f>
        <v>1</v>
      </c>
    </row>
    <row r="46" spans="1:48" ht="16" x14ac:dyDescent="0.2">
      <c r="A46" s="9" t="s">
        <v>91</v>
      </c>
      <c r="B46" s="70">
        <f>B45/B23</f>
        <v>9.3344826347735513E-2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9D4FAE2-15D0-4522-9331-04A37C7D6C8B}"/>
</file>

<file path=customXml/itemProps2.xml><?xml version="1.0" encoding="utf-8"?>
<ds:datastoreItem xmlns:ds="http://schemas.openxmlformats.org/officeDocument/2006/customXml" ds:itemID="{DE764045-D74E-4BF9-B727-907564FCC9A2}"/>
</file>

<file path=customXml/itemProps3.xml><?xml version="1.0" encoding="utf-8"?>
<ds:datastoreItem xmlns:ds="http://schemas.openxmlformats.org/officeDocument/2006/customXml" ds:itemID="{A12E8CB1-6412-430B-A960-D2CDFB573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35</vt:i4>
      </vt:variant>
    </vt:vector>
  </HeadingPairs>
  <TitlesOfParts>
    <vt:vector size="35" baseType="lpstr">
      <vt:lpstr>FV imp-exp</vt:lpstr>
      <vt:lpstr>Skåne</vt:lpstr>
      <vt:lpstr>Svalöv</vt:lpstr>
      <vt:lpstr>Staffanstorp</vt:lpstr>
      <vt:lpstr>Burlöv</vt:lpstr>
      <vt:lpstr>Vellinge</vt:lpstr>
      <vt:lpstr>Östra Göinge</vt:lpstr>
      <vt:lpstr>Örkelljunga</vt:lpstr>
      <vt:lpstr>Bjuv</vt:lpstr>
      <vt:lpstr>Kävlinge</vt:lpstr>
      <vt:lpstr>Lomma</vt:lpstr>
      <vt:lpstr>Svedala</vt:lpstr>
      <vt:lpstr>Skurup</vt:lpstr>
      <vt:lpstr>Sjöbo</vt:lpstr>
      <vt:lpstr>Hörby</vt:lpstr>
      <vt:lpstr>Höör</vt:lpstr>
      <vt:lpstr>Tomelilla</vt:lpstr>
      <vt:lpstr>Bromölla</vt:lpstr>
      <vt:lpstr>Osby</vt:lpstr>
      <vt:lpstr>Perstorp</vt:lpstr>
      <vt:lpstr>Klippan</vt:lpstr>
      <vt:lpstr>Åstorp</vt:lpstr>
      <vt:lpstr>Båstad</vt:lpstr>
      <vt:lpstr>Malmö</vt:lpstr>
      <vt:lpstr>Lund</vt:lpstr>
      <vt:lpstr>Landskrona</vt:lpstr>
      <vt:lpstr>Helsingborg</vt:lpstr>
      <vt:lpstr>Höganäs</vt:lpstr>
      <vt:lpstr>Eslöv</vt:lpstr>
      <vt:lpstr>Ystad</vt:lpstr>
      <vt:lpstr>Trelleborg</vt:lpstr>
      <vt:lpstr>Kristianstad</vt:lpstr>
      <vt:lpstr>Simrishamn</vt:lpstr>
      <vt:lpstr>Ängelholm</vt:lpstr>
      <vt:lpstr>Hässleholm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2016-02-06T11:09:18Z</dcterms:created>
  <dcterms:modified xsi:type="dcterms:W3CDTF">2017-10-14T13:45:55Z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