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4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0" yWindow="460" windowWidth="28800" windowHeight="17460" tabRatio="714" activeTab="4"/>
  </bookViews>
  <sheets>
    <sheet name="Södermanland" sheetId="13" r:id="rId1"/>
    <sheet name="Vingåker" sheetId="2" r:id="rId2"/>
    <sheet name="Gnesta" sheetId="3" r:id="rId3"/>
    <sheet name="Nyköping" sheetId="4" r:id="rId4"/>
    <sheet name="Oxelösund" sheetId="5" r:id="rId5"/>
    <sheet name="Flen" sheetId="6" r:id="rId6"/>
    <sheet name="Katrineholm" sheetId="11" r:id="rId7"/>
    <sheet name="Eskilstuna" sheetId="8" r:id="rId8"/>
    <sheet name="Strängnäs" sheetId="9" r:id="rId9"/>
    <sheet name="Trosa" sheetId="10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3" l="1"/>
  <c r="B32" i="13"/>
  <c r="C32" i="4"/>
  <c r="C32" i="13"/>
  <c r="E32" i="13"/>
  <c r="F32" i="13"/>
  <c r="G32" i="3"/>
  <c r="G32" i="6"/>
  <c r="G32" i="13"/>
  <c r="H32" i="13"/>
  <c r="I32" i="13"/>
  <c r="J32" i="13"/>
  <c r="K32" i="13"/>
  <c r="L32" i="13"/>
  <c r="M32" i="13"/>
  <c r="C36" i="2"/>
  <c r="N32" i="2"/>
  <c r="N32" i="6"/>
  <c r="O38" i="11"/>
  <c r="O32" i="11"/>
  <c r="N32" i="11"/>
  <c r="N32" i="8"/>
  <c r="N36" i="9"/>
  <c r="N32" i="9"/>
  <c r="O33" i="10"/>
  <c r="O37" i="10"/>
  <c r="O32" i="10"/>
  <c r="N32" i="10"/>
  <c r="N32" i="13"/>
  <c r="O32" i="13"/>
  <c r="B33" i="2"/>
  <c r="O37" i="3"/>
  <c r="O33" i="3"/>
  <c r="B33" i="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B34" i="13"/>
  <c r="C34" i="13"/>
  <c r="D34" i="13"/>
  <c r="F34" i="13"/>
  <c r="G34" i="13"/>
  <c r="I34" i="13"/>
  <c r="J34" i="13"/>
  <c r="K34" i="13"/>
  <c r="L34" i="13"/>
  <c r="M34" i="13"/>
  <c r="N34" i="13"/>
  <c r="O34" i="13"/>
  <c r="B35" i="2"/>
  <c r="B35" i="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3"/>
  <c r="N35" i="10"/>
  <c r="N35" i="13"/>
  <c r="O35" i="13"/>
  <c r="B36" i="3"/>
  <c r="B36" i="13"/>
  <c r="C36" i="10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B31" i="13"/>
  <c r="C31" i="13"/>
  <c r="D31" i="13"/>
  <c r="E31" i="13"/>
  <c r="F31" i="13"/>
  <c r="G31" i="4"/>
  <c r="G31" i="13"/>
  <c r="H31" i="13"/>
  <c r="I31" i="13"/>
  <c r="J31" i="13"/>
  <c r="K31" i="13"/>
  <c r="L31" i="13"/>
  <c r="M31" i="13"/>
  <c r="N31" i="13"/>
  <c r="O31" i="13"/>
  <c r="O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B39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C17" i="11"/>
  <c r="C17" i="9"/>
  <c r="C17" i="13"/>
  <c r="D17" i="13"/>
  <c r="E17" i="13"/>
  <c r="F17" i="13"/>
  <c r="G17" i="9"/>
  <c r="G17" i="13"/>
  <c r="H17" i="13"/>
  <c r="I17" i="13"/>
  <c r="J17" i="13"/>
  <c r="K17" i="13"/>
  <c r="L17" i="4"/>
  <c r="L17" i="9"/>
  <c r="L17" i="13"/>
  <c r="M17" i="13"/>
  <c r="N17" i="13"/>
  <c r="O17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B17" i="11"/>
  <c r="B17" i="8"/>
  <c r="B17" i="13"/>
  <c r="B18" i="13"/>
  <c r="B19" i="13"/>
  <c r="B20" i="13"/>
  <c r="B21" i="13"/>
  <c r="B22" i="13"/>
  <c r="B23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B4" i="13"/>
  <c r="B6" i="13"/>
  <c r="B7" i="13"/>
  <c r="B8" i="11"/>
  <c r="B8" i="13"/>
  <c r="B9" i="13"/>
  <c r="B10" i="13"/>
  <c r="L23" i="4"/>
  <c r="L42" i="4"/>
  <c r="C23" i="4"/>
  <c r="C42" i="4"/>
  <c r="D23" i="4"/>
  <c r="D42" i="4"/>
  <c r="E23" i="4"/>
  <c r="E42" i="4"/>
  <c r="F23" i="4"/>
  <c r="F42" i="4"/>
  <c r="G39" i="4"/>
  <c r="G23" i="4"/>
  <c r="G42" i="4"/>
  <c r="H23" i="4"/>
  <c r="H42" i="4"/>
  <c r="I42" i="4"/>
  <c r="J42" i="4"/>
  <c r="K42" i="4"/>
  <c r="M42" i="4"/>
  <c r="N23" i="4"/>
  <c r="N45" i="4"/>
  <c r="N42" i="4"/>
  <c r="O42" i="4"/>
  <c r="L43" i="4"/>
  <c r="U26" i="4"/>
  <c r="T26" i="4"/>
  <c r="L23" i="11"/>
  <c r="L42" i="11"/>
  <c r="C23" i="11"/>
  <c r="C42" i="11"/>
  <c r="D42" i="11"/>
  <c r="E39" i="11"/>
  <c r="E42" i="11"/>
  <c r="F42" i="11"/>
  <c r="G23" i="11"/>
  <c r="G42" i="11"/>
  <c r="H39" i="11"/>
  <c r="H42" i="11"/>
  <c r="I42" i="11"/>
  <c r="J42" i="11"/>
  <c r="K42" i="11"/>
  <c r="M42" i="11"/>
  <c r="N39" i="11"/>
  <c r="N45" i="11"/>
  <c r="N42" i="11"/>
  <c r="O42" i="11"/>
  <c r="L43" i="11"/>
  <c r="U26" i="11"/>
  <c r="T26" i="11"/>
  <c r="L23" i="9"/>
  <c r="L42" i="9"/>
  <c r="C39" i="9"/>
  <c r="C23" i="9"/>
  <c r="C42" i="9"/>
  <c r="D42" i="9"/>
  <c r="E42" i="9"/>
  <c r="F42" i="9"/>
  <c r="G39" i="9"/>
  <c r="G23" i="9"/>
  <c r="G42" i="9"/>
  <c r="H42" i="9"/>
  <c r="I42" i="9"/>
  <c r="J42" i="9"/>
  <c r="K23" i="9"/>
  <c r="K42" i="9"/>
  <c r="N45" i="9"/>
  <c r="N42" i="9"/>
  <c r="O42" i="9"/>
  <c r="L43" i="9"/>
  <c r="U26" i="9"/>
  <c r="T26" i="9"/>
  <c r="L42" i="13"/>
  <c r="C42" i="13"/>
  <c r="D42" i="13"/>
  <c r="E42" i="13"/>
  <c r="F42" i="13"/>
  <c r="G42" i="13"/>
  <c r="H42" i="13"/>
  <c r="I42" i="13"/>
  <c r="J42" i="13"/>
  <c r="K42" i="13"/>
  <c r="N45" i="13"/>
  <c r="N42" i="13"/>
  <c r="O42" i="13"/>
  <c r="L43" i="13"/>
  <c r="U26" i="13"/>
  <c r="T26" i="13"/>
  <c r="N39" i="2"/>
  <c r="N45" i="2"/>
  <c r="N42" i="2"/>
  <c r="C23" i="2"/>
  <c r="C42" i="2"/>
  <c r="D23" i="2"/>
  <c r="D42" i="2"/>
  <c r="E39" i="2"/>
  <c r="E23" i="2"/>
  <c r="E42" i="2"/>
  <c r="F23" i="2"/>
  <c r="F42" i="2"/>
  <c r="G23" i="2"/>
  <c r="G42" i="2"/>
  <c r="H23" i="2"/>
  <c r="H42" i="2"/>
  <c r="I42" i="2"/>
  <c r="J42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N39" i="3"/>
  <c r="N45" i="3"/>
  <c r="N42" i="3"/>
  <c r="C39" i="3"/>
  <c r="C42" i="3"/>
  <c r="D42" i="3"/>
  <c r="E42" i="3"/>
  <c r="F42" i="3"/>
  <c r="G39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43" i="4"/>
  <c r="U24" i="4"/>
  <c r="G43" i="4"/>
  <c r="U25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39" i="5"/>
  <c r="N45" i="5"/>
  <c r="N42" i="5"/>
  <c r="C39" i="5"/>
  <c r="C42" i="5"/>
  <c r="D39" i="5"/>
  <c r="D42" i="5"/>
  <c r="E39" i="5"/>
  <c r="E42" i="5"/>
  <c r="F42" i="5"/>
  <c r="G42" i="5"/>
  <c r="H42" i="5"/>
  <c r="I42" i="5"/>
  <c r="J42" i="5"/>
  <c r="K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39" i="6"/>
  <c r="N45" i="6"/>
  <c r="N42" i="6"/>
  <c r="C39" i="6"/>
  <c r="C23" i="6"/>
  <c r="C42" i="6"/>
  <c r="D42" i="6"/>
  <c r="E42" i="6"/>
  <c r="F42" i="6"/>
  <c r="G23" i="6"/>
  <c r="G42" i="6"/>
  <c r="H42" i="6"/>
  <c r="I42" i="6"/>
  <c r="J42" i="6"/>
  <c r="K42" i="6"/>
  <c r="L42" i="6"/>
  <c r="M42" i="6"/>
  <c r="O42" i="6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N43" i="11"/>
  <c r="U24" i="11"/>
  <c r="G43" i="11"/>
  <c r="U25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N45" i="8"/>
  <c r="N42" i="8"/>
  <c r="C42" i="8"/>
  <c r="D42" i="8"/>
  <c r="E42" i="8"/>
  <c r="F23" i="8"/>
  <c r="F42" i="8"/>
  <c r="G23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43" i="9"/>
  <c r="U24" i="9"/>
  <c r="G43" i="9"/>
  <c r="U25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C39" i="10"/>
  <c r="N39" i="10"/>
  <c r="N45" i="10"/>
  <c r="N42" i="10"/>
  <c r="C23" i="10"/>
  <c r="C42" i="10"/>
  <c r="D23" i="10"/>
  <c r="D42" i="10"/>
  <c r="E23" i="10"/>
  <c r="E42" i="10"/>
  <c r="F23" i="10"/>
  <c r="F42" i="10"/>
  <c r="G23" i="10"/>
  <c r="G42" i="10"/>
  <c r="H23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N43" i="13"/>
  <c r="U24" i="13"/>
  <c r="G43" i="13"/>
  <c r="U25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T24" i="2"/>
  <c r="T25" i="2"/>
  <c r="T26" i="2"/>
  <c r="T27" i="2"/>
  <c r="T28" i="2"/>
  <c r="T29" i="2"/>
  <c r="T30" i="2"/>
  <c r="T31" i="2"/>
  <c r="T32" i="2"/>
  <c r="T33" i="2"/>
  <c r="T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0" i="6"/>
  <c r="T31" i="6"/>
  <c r="T32" i="6"/>
  <c r="T33" i="6"/>
  <c r="T34" i="6"/>
  <c r="T24" i="11"/>
  <c r="T25" i="11"/>
  <c r="T27" i="11"/>
  <c r="T28" i="11"/>
  <c r="T29" i="11"/>
  <c r="T30" i="11"/>
  <c r="T31" i="11"/>
  <c r="T32" i="11"/>
  <c r="T33" i="11"/>
  <c r="T34" i="11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5" i="13"/>
  <c r="T27" i="13"/>
  <c r="T28" i="13"/>
  <c r="T29" i="13"/>
  <c r="T30" i="13"/>
  <c r="T31" i="13"/>
  <c r="T32" i="13"/>
  <c r="T33" i="13"/>
  <c r="T24" i="13"/>
  <c r="T34" i="13"/>
  <c r="M39" i="9"/>
  <c r="B45" i="9"/>
  <c r="O31" i="4"/>
  <c r="O32" i="2"/>
  <c r="O32" i="4"/>
  <c r="O32" i="5"/>
  <c r="O32" i="8"/>
  <c r="O39" i="2"/>
  <c r="O35" i="2"/>
  <c r="O37" i="2"/>
  <c r="O33" i="2"/>
  <c r="O33" i="4"/>
  <c r="O33" i="6"/>
  <c r="O34" i="4"/>
  <c r="O35" i="4"/>
  <c r="O35" i="6"/>
  <c r="O36" i="4"/>
  <c r="O36" i="6"/>
  <c r="O37" i="4"/>
  <c r="O37" i="6"/>
  <c r="O38" i="4"/>
  <c r="O38" i="8"/>
  <c r="O39" i="5"/>
  <c r="B23" i="8"/>
  <c r="O39" i="9"/>
  <c r="O39" i="4"/>
  <c r="L39" i="5"/>
  <c r="B10" i="4"/>
  <c r="B10" i="6"/>
  <c r="B10" i="11"/>
  <c r="B10" i="8"/>
  <c r="O39" i="6"/>
  <c r="B23" i="2"/>
  <c r="B45" i="2"/>
  <c r="B46" i="2"/>
  <c r="B45" i="3"/>
  <c r="B46" i="3"/>
  <c r="B23" i="4"/>
  <c r="B45" i="4"/>
  <c r="B46" i="4"/>
  <c r="B45" i="6"/>
  <c r="B46" i="6"/>
  <c r="B45" i="11"/>
  <c r="B46" i="11"/>
  <c r="B45" i="8"/>
  <c r="B46" i="8"/>
  <c r="B46" i="9"/>
  <c r="B23" i="10"/>
  <c r="B45" i="10"/>
  <c r="B46" i="10"/>
  <c r="B45" i="5"/>
  <c r="B46" i="5"/>
  <c r="O18" i="6"/>
  <c r="O23" i="6"/>
  <c r="O18" i="10"/>
  <c r="O23" i="10"/>
  <c r="O23" i="8"/>
  <c r="O22" i="8"/>
  <c r="O21" i="8"/>
  <c r="O20" i="8"/>
  <c r="O19" i="8"/>
  <c r="O18" i="8"/>
  <c r="O17" i="8"/>
  <c r="O10" i="8"/>
  <c r="O18" i="2"/>
  <c r="O23" i="2"/>
  <c r="O17" i="9"/>
  <c r="O23" i="9"/>
  <c r="O17" i="11"/>
  <c r="O23" i="11"/>
  <c r="O41" i="3"/>
  <c r="P41" i="3"/>
  <c r="U39" i="3"/>
  <c r="P33" i="3"/>
  <c r="U41" i="3"/>
  <c r="P35" i="3"/>
  <c r="U40" i="3"/>
  <c r="P31" i="3"/>
  <c r="U42" i="3"/>
  <c r="P32" i="3"/>
  <c r="U43" i="3"/>
  <c r="P34" i="3"/>
  <c r="U44" i="3"/>
  <c r="U45" i="3"/>
  <c r="T39" i="3"/>
  <c r="T41" i="3"/>
  <c r="T40" i="3"/>
  <c r="T42" i="3"/>
  <c r="T43" i="3"/>
  <c r="T44" i="3"/>
  <c r="T45" i="3"/>
  <c r="O45" i="3"/>
  <c r="T38" i="3"/>
  <c r="P38" i="3"/>
  <c r="T21" i="3"/>
  <c r="P35" i="4"/>
  <c r="U40" i="4"/>
  <c r="P33" i="4"/>
  <c r="U41" i="4"/>
  <c r="P31" i="4"/>
  <c r="U42" i="4"/>
  <c r="P34" i="4"/>
  <c r="U44" i="4"/>
  <c r="T40" i="4"/>
  <c r="T41" i="4"/>
  <c r="T42" i="4"/>
  <c r="T44" i="4"/>
  <c r="O41" i="5"/>
  <c r="P41" i="5"/>
  <c r="U39" i="5"/>
  <c r="P35" i="5"/>
  <c r="U40" i="5"/>
  <c r="P33" i="5"/>
  <c r="U41" i="5"/>
  <c r="P31" i="5"/>
  <c r="U42" i="5"/>
  <c r="P32" i="5"/>
  <c r="U43" i="5"/>
  <c r="P34" i="5"/>
  <c r="U44" i="5"/>
  <c r="U45" i="5"/>
  <c r="T39" i="5"/>
  <c r="T40" i="5"/>
  <c r="T41" i="5"/>
  <c r="T42" i="5"/>
  <c r="T43" i="5"/>
  <c r="T44" i="5"/>
  <c r="T45" i="5"/>
  <c r="O45" i="5"/>
  <c r="T38" i="5"/>
  <c r="P38" i="5"/>
  <c r="T21" i="5"/>
  <c r="P41" i="6"/>
  <c r="U39" i="6"/>
  <c r="P34" i="6"/>
  <c r="U44" i="6"/>
  <c r="T44" i="6"/>
  <c r="P31" i="6"/>
  <c r="U42" i="6"/>
  <c r="T42" i="6"/>
  <c r="P33" i="6"/>
  <c r="U41" i="6"/>
  <c r="T41" i="6"/>
  <c r="O41" i="11"/>
  <c r="P41" i="11"/>
  <c r="U39" i="11"/>
  <c r="P32" i="11"/>
  <c r="U43" i="11"/>
  <c r="T39" i="11"/>
  <c r="T43" i="11"/>
  <c r="P34" i="11"/>
  <c r="U44" i="11"/>
  <c r="T44" i="11"/>
  <c r="P31" i="11"/>
  <c r="U42" i="11"/>
  <c r="T42" i="11"/>
  <c r="P33" i="11"/>
  <c r="U41" i="11"/>
  <c r="T41" i="11"/>
  <c r="P35" i="11"/>
  <c r="U40" i="11"/>
  <c r="T40" i="11"/>
  <c r="O41" i="8"/>
  <c r="P41" i="8"/>
  <c r="U39" i="8"/>
  <c r="P34" i="8"/>
  <c r="U44" i="8"/>
  <c r="T44" i="8"/>
  <c r="P32" i="8"/>
  <c r="U43" i="8"/>
  <c r="T43" i="8"/>
  <c r="P31" i="8"/>
  <c r="U42" i="8"/>
  <c r="T42" i="8"/>
  <c r="P33" i="8"/>
  <c r="U41" i="8"/>
  <c r="T41" i="8"/>
  <c r="P35" i="8"/>
  <c r="U40" i="8"/>
  <c r="T40" i="8"/>
  <c r="O45" i="8"/>
  <c r="T38" i="8"/>
  <c r="P38" i="8"/>
  <c r="O41" i="9"/>
  <c r="P41" i="9"/>
  <c r="U39" i="9"/>
  <c r="P35" i="9"/>
  <c r="U40" i="9"/>
  <c r="P33" i="9"/>
  <c r="U41" i="9"/>
  <c r="P31" i="9"/>
  <c r="U42" i="9"/>
  <c r="P32" i="9"/>
  <c r="U43" i="9"/>
  <c r="P34" i="9"/>
  <c r="U44" i="9"/>
  <c r="U45" i="9"/>
  <c r="T39" i="9"/>
  <c r="T40" i="9"/>
  <c r="T41" i="9"/>
  <c r="T42" i="9"/>
  <c r="T43" i="9"/>
  <c r="T44" i="9"/>
  <c r="T45" i="9"/>
  <c r="O45" i="9"/>
  <c r="T38" i="9"/>
  <c r="P38" i="9"/>
  <c r="O41" i="10"/>
  <c r="P41" i="10"/>
  <c r="U39" i="10"/>
  <c r="P32" i="10"/>
  <c r="U43" i="10"/>
  <c r="P35" i="10"/>
  <c r="U40" i="10"/>
  <c r="P33" i="10"/>
  <c r="U41" i="10"/>
  <c r="P31" i="10"/>
  <c r="U42" i="10"/>
  <c r="P34" i="10"/>
  <c r="U44" i="10"/>
  <c r="U45" i="10"/>
  <c r="T39" i="10"/>
  <c r="T43" i="10"/>
  <c r="T40" i="10"/>
  <c r="T41" i="10"/>
  <c r="T42" i="10"/>
  <c r="T44" i="10"/>
  <c r="T45" i="10"/>
  <c r="O45" i="10"/>
  <c r="T38" i="10"/>
  <c r="P38" i="10"/>
  <c r="O41" i="2"/>
  <c r="T39" i="2"/>
  <c r="T44" i="2"/>
  <c r="T42" i="2"/>
  <c r="M43" i="3"/>
  <c r="L43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41" i="4"/>
  <c r="M41" i="4"/>
  <c r="L41" i="4"/>
  <c r="K41" i="4"/>
  <c r="J41" i="4"/>
  <c r="I41" i="4"/>
  <c r="H41" i="4"/>
  <c r="G41" i="4"/>
  <c r="F41" i="4"/>
  <c r="E41" i="4"/>
  <c r="D41" i="4"/>
  <c r="B41" i="4"/>
  <c r="L43" i="5"/>
  <c r="M43" i="5"/>
  <c r="O43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L43" i="8"/>
  <c r="M43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M43" i="10"/>
  <c r="T45" i="11"/>
  <c r="U45" i="11"/>
  <c r="T44" i="13"/>
  <c r="P38" i="11"/>
  <c r="J41" i="13"/>
  <c r="F41" i="13"/>
  <c r="K41" i="13"/>
  <c r="L41" i="13"/>
  <c r="O45" i="11"/>
  <c r="T38" i="11"/>
  <c r="G41" i="13"/>
  <c r="T40" i="2"/>
  <c r="M41" i="13"/>
  <c r="I41" i="13"/>
  <c r="T42" i="13"/>
  <c r="T39" i="6"/>
  <c r="L43" i="6"/>
  <c r="T21" i="6"/>
  <c r="M43" i="6"/>
  <c r="B41" i="13"/>
  <c r="D41" i="13"/>
  <c r="E41" i="13"/>
  <c r="H41" i="13"/>
  <c r="B45" i="13"/>
  <c r="O17" i="4"/>
  <c r="L43" i="10"/>
  <c r="T21" i="10"/>
  <c r="T39" i="8"/>
  <c r="T45" i="8"/>
  <c r="U45" i="8"/>
  <c r="N41" i="13"/>
  <c r="O45" i="4"/>
  <c r="T38" i="4"/>
  <c r="O45" i="2"/>
  <c r="T38" i="2"/>
  <c r="M43" i="4"/>
  <c r="O23" i="4"/>
  <c r="O43" i="3"/>
  <c r="O43" i="10"/>
  <c r="P41" i="2"/>
  <c r="U39" i="2"/>
  <c r="P31" i="2"/>
  <c r="P34" i="2"/>
  <c r="U44" i="2"/>
  <c r="P35" i="2"/>
  <c r="U40" i="2"/>
  <c r="P32" i="2"/>
  <c r="U43" i="2"/>
  <c r="T43" i="2"/>
  <c r="J43" i="11"/>
  <c r="T21" i="11"/>
  <c r="U42" i="2"/>
  <c r="P33" i="2"/>
  <c r="P38" i="2"/>
  <c r="P31" i="13"/>
  <c r="U42" i="13"/>
  <c r="P34" i="13"/>
  <c r="U44" i="13"/>
  <c r="T41" i="2"/>
  <c r="T45" i="2"/>
  <c r="U41" i="2"/>
  <c r="U45" i="2"/>
  <c r="T41" i="13"/>
  <c r="P33" i="13"/>
  <c r="U41" i="13"/>
  <c r="T21" i="2"/>
  <c r="L43" i="2"/>
  <c r="M43" i="2"/>
  <c r="J43" i="9"/>
  <c r="T21" i="9"/>
  <c r="M43" i="9"/>
  <c r="O43" i="2"/>
  <c r="O43" i="9"/>
  <c r="T40" i="6"/>
  <c r="P35" i="6"/>
  <c r="P35" i="13"/>
  <c r="T40" i="13"/>
  <c r="U40" i="6"/>
  <c r="U40" i="13"/>
  <c r="P32" i="6"/>
  <c r="P38" i="6"/>
  <c r="U43" i="6"/>
  <c r="U45" i="6"/>
  <c r="T43" i="6"/>
  <c r="T45" i="6"/>
  <c r="O45" i="6"/>
  <c r="T38" i="6"/>
  <c r="O45" i="13"/>
  <c r="T38" i="13"/>
  <c r="O43" i="6"/>
  <c r="O41" i="4"/>
  <c r="P41" i="4"/>
  <c r="U39" i="4"/>
  <c r="P32" i="4"/>
  <c r="U43" i="4"/>
  <c r="U45" i="4"/>
  <c r="T39" i="4"/>
  <c r="T43" i="4"/>
  <c r="T45" i="4"/>
  <c r="P38" i="4"/>
  <c r="O41" i="13"/>
  <c r="T39" i="13"/>
  <c r="T43" i="13"/>
  <c r="T45" i="13"/>
  <c r="P32" i="13"/>
  <c r="P38" i="13"/>
  <c r="P41" i="13"/>
  <c r="U39" i="13"/>
  <c r="U43" i="13"/>
  <c r="U45" i="13"/>
  <c r="C41" i="13"/>
  <c r="C41" i="4"/>
  <c r="T21" i="8"/>
  <c r="M43" i="11"/>
  <c r="M43" i="13"/>
  <c r="T21" i="4"/>
  <c r="J43" i="4"/>
  <c r="T21" i="13"/>
  <c r="J43" i="13"/>
  <c r="O43" i="8"/>
  <c r="O43" i="11"/>
  <c r="O43" i="4"/>
  <c r="O43" i="13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  <author>Sofia Andersson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L29" authorId="1">
      <text>
        <r>
          <rPr>
            <b/>
            <sz val="9"/>
            <color indexed="81"/>
            <rFont val="Tahoma"/>
            <family val="2"/>
          </rPr>
          <t>Sofia Andersson:</t>
        </r>
        <r>
          <rPr>
            <sz val="9"/>
            <color indexed="81"/>
            <rFont val="Tahoma"/>
            <family val="2"/>
          </rPr>
          <t xml:space="preserve">
Ingår i redovinsning för kol och koks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<sst xmlns="http://schemas.openxmlformats.org/spreadsheetml/2006/main" count="994" uniqueCount="76">
  <si>
    <t>Elproduktion och bränsleanvändning (MWh) efter tid, region, produktionssätt och bränsletyp</t>
  </si>
  <si>
    <t>0428 Vingåker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</si>
  <si>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</si>
  <si>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</si>
  <si>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</si>
  <si>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</si>
  <si>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</si>
  <si>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</si>
  <si>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</si>
  <si>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</si>
  <si>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</si>
  <si>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</si>
  <si>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</si>
  <si>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</si>
  <si>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</si>
  <si>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</si>
  <si>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</si>
  <si>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</si>
  <si>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</si>
  <si>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</si>
  <si>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</si>
  <si>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</si>
  <si>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</si>
  <si>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</si>
  <si>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</si>
  <si>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</si>
  <si>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</si>
  <si>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</si>
  <si>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</si>
  <si>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</si>
  <si>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</si>
  <si>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</si>
  <si>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</si>
  <si>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</si>
  <si>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</si>
  <si>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</si>
  <si>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</si>
  <si>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</si>
  <si>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</si>
  <si>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</si>
  <si>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</si>
  <si>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</si>
  <si>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</si>
  <si>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</si>
  <si>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</si>
  <si>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</si>
  <si>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</si>
  <si>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</si>
  <si>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</si>
  <si>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</si>
  <si>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</si>
  <si>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</si>
  <si>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</si>
  <si>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</si>
  <si>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</si>
  <si>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</si>
  <si>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</si>
  <si>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</si>
  <si>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</si>
  <si>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</si>
  <si>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</si>
  <si>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</si>
  <si>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</si>
  <si>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</si>
  <si>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</si>
  <si>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</si>
  <si>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</si>
  <si>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Ånga</t>
  </si>
  <si>
    <t>Södermanlands län</t>
  </si>
  <si>
    <t>Biobränslen</t>
  </si>
  <si>
    <t>RT-flis</t>
  </si>
  <si>
    <t>Förluster i %</t>
  </si>
  <si>
    <t>Koksgas</t>
  </si>
  <si>
    <t>Masugnsgas</t>
  </si>
  <si>
    <t>solceller</t>
  </si>
  <si>
    <t>Örigt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</si>
</sst>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8"/>
      <color rgb="FF000000"/>
      <name val="Tahoma"/>
      <family val="2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u/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09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5" fillId="0" borderId="0" applyNumberFormat="0" applyBorder="0" applyAlignment="0"/>
  </cellStyleXfs>
  <cellXfs count="86">
    <xf numFmtId="0" fontId="0" fillId="0" borderId="0" xfId="0"/>
    <xf numFmtId="0" fontId="6" fillId="0" borderId="0" xfId="1" applyFont="1" applyFill="1" applyProtection="1"/>
    <xf numFmtId="0" fontId="5" fillId="0" borderId="0" xfId="1" applyFill="1" applyProtection="1"/>
    <xf numFmtId="0" fontId="7" fillId="0" borderId="0" xfId="1" applyFont="1"/>
    <xf numFmtId="0" fontId="8" fillId="0" borderId="0" xfId="0" applyFont="1"/>
    <xf numFmtId="0" fontId="9" fillId="0" borderId="0" xfId="1" applyFont="1" applyFill="1" applyProtection="1"/>
    <xf numFmtId="3" fontId="5" fillId="0" borderId="0" xfId="1" applyNumberFormat="1"/>
    <xf numFmtId="0" fontId="5" fillId="0" borderId="0" xfId="1"/>
    <xf numFmtId="0" fontId="9" fillId="0" borderId="0" xfId="0" applyFont="1" applyFill="1" applyProtection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5" fillId="0" borderId="0" xfId="1" applyNumberFormat="1" applyFill="1" applyProtection="1"/>
    <xf numFmtId="3" fontId="11" fillId="0" borderId="0" xfId="1" applyNumberFormat="1" applyFont="1" applyFill="1" applyProtection="1"/>
    <xf numFmtId="164" fontId="5" fillId="0" borderId="0" xfId="1" applyNumberFormat="1"/>
    <xf numFmtId="4" fontId="5" fillId="0" borderId="0" xfId="1" applyNumberFormat="1"/>
    <xf numFmtId="165" fontId="5" fillId="0" borderId="0" xfId="1" applyNumberFormat="1"/>
    <xf numFmtId="10" fontId="5" fillId="0" borderId="0" xfId="1" applyNumberFormat="1"/>
    <xf numFmtId="165" fontId="12" fillId="0" borderId="0" xfId="1" applyNumberFormat="1" applyFont="1"/>
    <xf numFmtId="165" fontId="7" fillId="0" borderId="0" xfId="1" applyNumberFormat="1" applyFont="1"/>
    <xf numFmtId="166" fontId="5" fillId="0" borderId="0" xfId="1" applyNumberFormat="1"/>
    <xf numFmtId="2" fontId="5" fillId="0" borderId="0" xfId="1" applyNumberFormat="1"/>
    <xf numFmtId="0" fontId="13" fillId="0" borderId="0" xfId="1" applyFont="1"/>
    <xf numFmtId="3" fontId="13" fillId="0" borderId="0" xfId="1" applyNumberFormat="1" applyFont="1"/>
    <xf numFmtId="3" fontId="12" fillId="0" borderId="0" xfId="1" applyNumberFormat="1" applyFont="1"/>
    <xf numFmtId="3" fontId="12" fillId="2" borderId="0" xfId="1" applyNumberFormat="1" applyFont="1" applyFill="1"/>
    <xf numFmtId="3" fontId="14" fillId="2" borderId="0" xfId="1" applyNumberFormat="1" applyFont="1" applyFill="1"/>
    <xf numFmtId="3" fontId="5" fillId="2" borderId="0" xfId="1" applyNumberFormat="1" applyFill="1"/>
    <xf numFmtId="0" fontId="10" fillId="0" borderId="0" xfId="0" applyFont="1"/>
    <xf numFmtId="0" fontId="10" fillId="0" borderId="0" xfId="0" applyFont="1" applyAlignment="1">
      <alignment horizontal="right"/>
    </xf>
    <xf numFmtId="1" fontId="5" fillId="0" borderId="0" xfId="1" applyNumberFormat="1"/>
    <xf numFmtId="165" fontId="12" fillId="0" borderId="0" xfId="2" applyNumberFormat="1" applyFont="1"/>
    <xf numFmtId="165" fontId="4" fillId="0" borderId="0" xfId="2" applyNumberFormat="1" applyFont="1"/>
    <xf numFmtId="3" fontId="14" fillId="0" borderId="0" xfId="1" applyNumberFormat="1" applyFont="1"/>
    <xf numFmtId="9" fontId="14" fillId="0" borderId="0" xfId="2" applyFont="1"/>
    <xf numFmtId="0" fontId="5" fillId="0" borderId="0" xfId="1" applyAlignment="1">
      <alignment horizontal="right"/>
    </xf>
    <xf numFmtId="3" fontId="5" fillId="0" borderId="0" xfId="1" applyNumberFormat="1" applyAlignment="1">
      <alignment horizontal="right"/>
    </xf>
    <xf numFmtId="9" fontId="14" fillId="0" borderId="0" xfId="2" applyNumberFormat="1" applyFont="1"/>
    <xf numFmtId="9" fontId="4" fillId="0" borderId="0" xfId="2" applyFont="1"/>
    <xf numFmtId="3" fontId="18" fillId="0" borderId="0" xfId="0" applyNumberFormat="1" applyFont="1"/>
    <xf numFmtId="0" fontId="18" fillId="0" borderId="0" xfId="0" applyFont="1"/>
    <xf numFmtId="165" fontId="2" fillId="0" borderId="0" xfId="2" applyNumberFormat="1" applyFont="1"/>
    <xf numFmtId="0" fontId="22" fillId="0" borderId="0" xfId="38" applyFont="1"/>
    <xf numFmtId="0" fontId="23" fillId="0" borderId="0" xfId="1" applyFont="1" applyFill="1" applyProtection="1"/>
    <xf numFmtId="3" fontId="23" fillId="0" borderId="0" xfId="1" applyNumberFormat="1" applyFont="1" applyFill="1" applyProtection="1"/>
    <xf numFmtId="0" fontId="0" fillId="0" borderId="0" xfId="0" applyFill="1" applyProtection="1"/>
    <xf numFmtId="3" fontId="24" fillId="0" borderId="0" xfId="1" applyNumberFormat="1" applyFont="1"/>
    <xf numFmtId="165" fontId="5" fillId="0" borderId="0" xfId="1" applyNumberFormat="1" applyFill="1" applyProtection="1"/>
    <xf numFmtId="165" fontId="1" fillId="0" borderId="0" xfId="2" applyNumberFormat="1" applyFont="1"/>
    <xf numFmtId="3" fontId="0" fillId="0" borderId="0" xfId="1" applyNumberFormat="1" applyFont="1"/>
    <xf numFmtId="0" fontId="10" fillId="0" borderId="0" xfId="107" applyFont="1"/>
    <xf numFmtId="9" fontId="1" fillId="0" borderId="0" xfId="2" applyFont="1"/>
    <xf numFmtId="0" fontId="5" fillId="0" borderId="0" xfId="1" applyFont="1" applyFill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right"/>
    </xf>
    <xf numFmtId="167" fontId="5" fillId="0" borderId="0" xfId="1" applyNumberFormat="1" applyFill="1" applyProtection="1"/>
    <xf numFmtId="3" fontId="26" fillId="0" borderId="0" xfId="0" applyNumberFormat="1" applyFont="1" applyFill="1" applyAlignment="1" applyProtection="1">
      <alignment horizontal="right"/>
    </xf>
    <xf numFmtId="3" fontId="7" fillId="0" borderId="0" xfId="1" applyNumberFormat="1" applyFont="1"/>
    <xf numFmtId="3" fontId="27" fillId="0" borderId="0" xfId="0" applyNumberFormat="1" applyFont="1" applyFill="1" applyAlignment="1" applyProtection="1">
      <alignment horizontal="right"/>
    </xf>
    <xf numFmtId="3" fontId="28" fillId="0" borderId="0" xfId="0" applyNumberFormat="1" applyFont="1" applyFill="1" applyAlignment="1" applyProtection="1">
      <alignment horizontal="right"/>
    </xf>
    <xf numFmtId="3" fontId="29" fillId="0" borderId="0" xfId="0" applyNumberFormat="1" applyFont="1" applyFill="1" applyProtection="1"/>
    <xf numFmtId="3" fontId="30" fillId="0" borderId="0" xfId="1" applyNumberFormat="1" applyFont="1" applyFill="1" applyProtection="1"/>
    <xf numFmtId="3" fontId="29" fillId="0" borderId="0" xfId="0" applyNumberFormat="1" applyFont="1" applyFill="1" applyAlignment="1" applyProtection="1">
      <alignment horizontal="right"/>
    </xf>
    <xf numFmtId="0" fontId="31" fillId="0" borderId="0" xfId="1" applyFont="1"/>
    <xf numFmtId="3" fontId="0" fillId="0" borderId="0" xfId="0" applyNumberFormat="1" applyFont="1" applyFill="1" applyAlignment="1" applyProtection="1">
      <alignment horizontal="right"/>
    </xf>
    <xf numFmtId="3" fontId="28" fillId="0" borderId="0" xfId="0" applyNumberFormat="1" applyFont="1" applyFill="1" applyProtection="1"/>
    <xf numFmtId="1" fontId="10" fillId="0" borderId="0" xfId="0" applyNumberFormat="1" applyFont="1"/>
    <xf numFmtId="167" fontId="0" fillId="0" borderId="0" xfId="0" applyNumberFormat="1" applyFill="1" applyProtection="1"/>
    <xf numFmtId="3" fontId="0" fillId="0" borderId="0" xfId="0" applyNumberFormat="1" applyFont="1" applyFill="1" applyProtection="1"/>
    <xf numFmtId="3" fontId="5" fillId="0" borderId="0" xfId="1" applyNumberFormat="1" applyFont="1" applyFill="1" applyProtection="1"/>
    <xf numFmtId="3" fontId="34" fillId="0" borderId="0" xfId="0" applyNumberFormat="1" applyFont="1" applyFill="1" applyAlignment="1" applyProtection="1">
      <alignment horizontal="right"/>
    </xf>
    <xf numFmtId="3" fontId="35" fillId="0" borderId="0" xfId="0" applyNumberFormat="1" applyFont="1" applyFill="1" applyAlignment="1" applyProtection="1">
      <alignment horizontal="right"/>
    </xf>
    <xf numFmtId="3" fontId="35" fillId="0" borderId="0" xfId="0" applyNumberFormat="1" applyFont="1" applyFill="1" applyProtection="1"/>
    <xf numFmtId="3" fontId="36" fillId="0" borderId="0" xfId="0" applyNumberFormat="1" applyFont="1" applyFill="1" applyAlignment="1" applyProtection="1">
      <alignment horizontal="right"/>
    </xf>
    <xf numFmtId="3" fontId="37" fillId="0" borderId="0" xfId="0" applyNumberFormat="1" applyFont="1" applyFill="1" applyProtection="1"/>
    <xf numFmtId="3" fontId="38" fillId="0" borderId="0" xfId="0" applyNumberFormat="1" applyFont="1" applyFill="1" applyProtection="1"/>
    <xf numFmtId="3" fontId="36" fillId="0" borderId="0" xfId="0" applyNumberFormat="1" applyFont="1" applyFill="1" applyProtection="1"/>
    <xf numFmtId="0" fontId="5" fillId="0" borderId="0" xfId="1" applyFont="1" applyAlignment="1">
      <alignment horizontal="right"/>
    </xf>
    <xf numFmtId="3" fontId="5" fillId="0" borderId="0" xfId="1" applyNumberFormat="1" applyFont="1"/>
    <xf numFmtId="165" fontId="5" fillId="0" borderId="0" xfId="13" applyNumberFormat="1" applyFont="1"/>
    <xf numFmtId="0" fontId="39" fillId="0" borderId="0" xfId="1" applyFont="1" applyFill="1" applyProtection="1"/>
    <xf numFmtId="3" fontId="40" fillId="0" borderId="0" xfId="0" applyNumberFormat="1" applyFont="1" applyAlignment="1">
      <alignment horizontal="right"/>
    </xf>
    <xf numFmtId="3" fontId="23" fillId="0" borderId="0" xfId="1" applyNumberFormat="1" applyFont="1"/>
    <xf numFmtId="3" fontId="5" fillId="0" borderId="0" xfId="1" applyNumberFormat="1" applyFill="1"/>
    <xf numFmtId="0" fontId="5" fillId="0" borderId="0" xfId="1" applyFill="1"/>
    <xf numFmtId="165" fontId="10" fillId="0" borderId="0" xfId="0" applyNumberFormat="1" applyFont="1"/>
    <xf numFmtId="165" fontId="5" fillId="0" borderId="0" xfId="1" applyNumberFormat="1" applyFont="1"/>
  </cellXfs>
  <cellStyles count="109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Normal" xfId="0" builtinId="0"/>
    <cellStyle name="Normal 2" xfId="1"/>
    <cellStyle name="Normal 2 2" xfId="108"/>
    <cellStyle name="Normal 3" xfId="107"/>
    <cellStyle name="Normal 5" xfId="38"/>
    <cellStyle name="Percent 2" xfId="2"/>
    <cellStyle name="Procent" xfId="1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opLeftCell="A8" workbookViewId="0">
      <selection activeCell="D32" sqref="D32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11" width="8.83203125" style="2"/>
    <col min="12" max="13" width="8.1640625" style="2" customWidth="1"/>
    <col min="14" max="14" width="9.5" style="2" customWidth="1"/>
    <col min="15" max="15" width="9.83203125" style="2" customWidth="1"/>
    <col min="16" max="16" width="10" style="2" customWidth="1"/>
    <col min="17" max="17" width="9.5" style="2" customWidth="1"/>
    <col min="18" max="20" width="8.83203125" style="2"/>
    <col min="21" max="21" width="10" style="2" bestFit="1" customWidth="1"/>
    <col min="22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68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 t="s">
        <v>9</v>
      </c>
      <c r="M3" s="6" t="s">
        <v>9</v>
      </c>
      <c r="N3" s="6"/>
      <c r="O3" s="7" t="s">
        <v>11</v>
      </c>
      <c r="P3" s="3"/>
      <c r="Q3" s="3"/>
      <c r="R3" s="3"/>
      <c r="S3" s="3"/>
      <c r="T3" s="3"/>
      <c r="U3" s="3"/>
    </row>
    <row r="4" spans="1:21" ht="15.75" x14ac:dyDescent="0.25">
      <c r="A4" s="8" t="s">
        <v>74</v>
      </c>
      <c r="B4" s="11">
        <f>SUM(Vingåker:Trosa!B4)</f>
        <v>3511</v>
      </c>
      <c r="C4" s="9"/>
      <c r="D4" s="11"/>
      <c r="P4" s="3"/>
      <c r="Q4" s="3"/>
      <c r="R4" s="3"/>
      <c r="S4" s="3"/>
      <c r="T4" s="3"/>
      <c r="U4" s="3"/>
    </row>
    <row r="5" spans="1:21" ht="15.75" x14ac:dyDescent="0.25">
      <c r="A5" s="5"/>
      <c r="C5" s="44"/>
      <c r="D5" s="44"/>
      <c r="E5" s="44"/>
      <c r="F5" s="44"/>
      <c r="G5" s="44"/>
      <c r="P5" s="3"/>
      <c r="Q5" s="39"/>
      <c r="R5" s="3"/>
      <c r="S5" s="3"/>
      <c r="T5" s="3"/>
      <c r="U5" s="3"/>
    </row>
    <row r="6" spans="1:21" ht="16" x14ac:dyDescent="0.2">
      <c r="A6" s="8" t="s">
        <v>12</v>
      </c>
      <c r="B6" s="10">
        <f>SUM(Vingåker:Trosa!B6)</f>
        <v>299142</v>
      </c>
      <c r="C6" s="10">
        <f>SUM(Vingåker:Trosa!C6)</f>
        <v>0</v>
      </c>
      <c r="D6" s="10">
        <f>SUM(Vingåker:Trosa!D6)</f>
        <v>0</v>
      </c>
      <c r="E6" s="10">
        <f>SUM(Vingåker:Trosa!E6)</f>
        <v>0</v>
      </c>
      <c r="F6" s="10">
        <f>SUM(Vingåker:Trosa!F6)</f>
        <v>0</v>
      </c>
      <c r="G6" s="10">
        <f>SUM(Vingåker:Trosa!G6)</f>
        <v>0</v>
      </c>
      <c r="H6" s="10">
        <f>SUM(Vingåker:Trosa!H6)</f>
        <v>0</v>
      </c>
      <c r="I6" s="10">
        <f>SUM(Vingåker:Trosa!I6)</f>
        <v>0</v>
      </c>
      <c r="J6" s="10">
        <f>SUM(Vingåker:Trosa!J6)</f>
        <v>0</v>
      </c>
      <c r="K6" s="10">
        <f>SUM(Vingåker:Trosa!K6)</f>
        <v>0</v>
      </c>
      <c r="L6" s="10">
        <f>SUM(Vingåker:Trosa!L6)</f>
        <v>0</v>
      </c>
      <c r="M6" s="10">
        <f>SUM(Vingåker:Trosa!M6)</f>
        <v>0</v>
      </c>
      <c r="N6" s="10">
        <f>SUM(Vingåker:Trosa!N6)</f>
        <v>0</v>
      </c>
      <c r="O6" s="10">
        <f>SUM(C6:N6)</f>
        <v>0</v>
      </c>
      <c r="P6" s="3"/>
      <c r="Q6" s="45"/>
      <c r="R6" s="43"/>
      <c r="S6" s="3"/>
      <c r="T6" s="3"/>
      <c r="U6" s="3"/>
    </row>
    <row r="7" spans="1:21" ht="16" x14ac:dyDescent="0.2">
      <c r="A7" s="8" t="s">
        <v>13</v>
      </c>
      <c r="B7" s="10">
        <f>SUM(Vingåker:Trosa!B7)</f>
        <v>0</v>
      </c>
      <c r="C7" s="10">
        <f>SUM(Vingåker:Trosa!C7)</f>
        <v>0</v>
      </c>
      <c r="D7" s="10">
        <f>SUM(Vingåker:Trosa!D7)</f>
        <v>0</v>
      </c>
      <c r="E7" s="10">
        <f>SUM(Vingåker:Trosa!E7)</f>
        <v>0</v>
      </c>
      <c r="F7" s="10">
        <f>SUM(Vingåker:Trosa!F7)</f>
        <v>0</v>
      </c>
      <c r="G7" s="10">
        <f>SUM(Vingåker:Trosa!G7)</f>
        <v>0</v>
      </c>
      <c r="H7" s="10">
        <f>SUM(Vingåker:Trosa!H7)</f>
        <v>0</v>
      </c>
      <c r="I7" s="10">
        <f>SUM(Vingåker:Trosa!I7)</f>
        <v>0</v>
      </c>
      <c r="J7" s="10">
        <f>SUM(Vingåker:Trosa!J7)</f>
        <v>0</v>
      </c>
      <c r="K7" s="10">
        <f>SUM(Vingåker:Trosa!K7)</f>
        <v>0</v>
      </c>
      <c r="L7" s="10">
        <f>SUM(Vingåker:Trosa!L7)</f>
        <v>0</v>
      </c>
      <c r="M7" s="10">
        <f>SUM(Vingåker:Trosa!M7)</f>
        <v>0</v>
      </c>
      <c r="N7" s="10">
        <f>SUM(Vingåker:Trosa!N7)</f>
        <v>0</v>
      </c>
      <c r="O7" s="10">
        <f>SUM(C7:N7)</f>
        <v>0</v>
      </c>
      <c r="P7" s="3"/>
      <c r="Q7" s="45"/>
      <c r="R7" s="43"/>
      <c r="S7" s="3"/>
      <c r="T7" s="3"/>
      <c r="U7" s="3"/>
    </row>
    <row r="8" spans="1:21" ht="15.75" x14ac:dyDescent="0.25">
      <c r="A8" s="8" t="s">
        <v>14</v>
      </c>
      <c r="B8" s="10">
        <f>SUM(Vingåker:Trosa!B8)</f>
        <v>44769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"/>
      <c r="Q8" s="3"/>
      <c r="R8" s="3"/>
      <c r="S8" s="3"/>
      <c r="T8" s="3"/>
      <c r="U8" s="3"/>
    </row>
    <row r="9" spans="1:21" ht="15.75" x14ac:dyDescent="0.25">
      <c r="A9" s="8" t="s">
        <v>15</v>
      </c>
      <c r="B9" s="10">
        <f>SUM(Vingåker:Trosa!B9)</f>
        <v>16096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3"/>
      <c r="Q9" s="3"/>
      <c r="R9" s="3"/>
      <c r="S9" s="3"/>
      <c r="T9" s="3"/>
      <c r="U9" s="3"/>
    </row>
    <row r="10" spans="1:21" ht="16" x14ac:dyDescent="0.2">
      <c r="A10" s="8" t="s">
        <v>16</v>
      </c>
      <c r="B10" s="10">
        <f>SUM(B4:B9)</f>
        <v>363518</v>
      </c>
      <c r="C10" s="10">
        <f t="shared" ref="C10:O10" si="0">SUM(C4:C9)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3"/>
      <c r="Q10" s="3"/>
      <c r="R10" s="3"/>
      <c r="S10" s="3"/>
      <c r="T10" s="3"/>
      <c r="U10" s="3"/>
    </row>
    <row r="11" spans="1:21" ht="15.75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3"/>
      <c r="Q11" s="3"/>
      <c r="R11" s="3"/>
      <c r="S11" s="3"/>
      <c r="T11" s="3"/>
      <c r="U11" s="3"/>
    </row>
    <row r="12" spans="1:21" ht="15.75" x14ac:dyDescent="0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3"/>
      <c r="Q12" s="3"/>
      <c r="R12" s="3"/>
      <c r="S12" s="3"/>
      <c r="T12" s="3"/>
      <c r="U12" s="3"/>
    </row>
    <row r="13" spans="1:21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5.75" x14ac:dyDescent="0.25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70</v>
      </c>
      <c r="M15" s="6" t="s">
        <v>9</v>
      </c>
      <c r="N15" s="6" t="s">
        <v>10</v>
      </c>
      <c r="O15" s="11" t="s">
        <v>11</v>
      </c>
      <c r="P15" s="3"/>
      <c r="Q15" s="3"/>
      <c r="R15" s="3"/>
      <c r="S15" s="3"/>
      <c r="T15" s="3"/>
      <c r="U15" s="3"/>
    </row>
    <row r="16" spans="1:21" ht="15.75" x14ac:dyDescent="0.25">
      <c r="B16" s="11"/>
      <c r="C16" s="44"/>
      <c r="D16" s="44"/>
      <c r="E16" s="44"/>
      <c r="F16" s="44"/>
      <c r="G16" s="44"/>
      <c r="H16" s="11"/>
      <c r="I16" s="11"/>
      <c r="J16" s="11"/>
      <c r="K16" s="11"/>
      <c r="L16" s="11"/>
      <c r="M16" s="11"/>
      <c r="N16" s="11"/>
      <c r="O16" s="11"/>
      <c r="P16" s="3"/>
      <c r="Q16" s="39"/>
      <c r="R16" s="3"/>
      <c r="S16" s="3"/>
      <c r="T16" s="3"/>
      <c r="U16" s="3"/>
    </row>
    <row r="17" spans="1:24" ht="16" x14ac:dyDescent="0.2">
      <c r="A17" s="8" t="s">
        <v>20</v>
      </c>
      <c r="B17" s="10">
        <f>SUM(Vingåker:Trosa!B17)</f>
        <v>1364449</v>
      </c>
      <c r="C17" s="10">
        <f>SUM(Vingåker:Trosa!C17)</f>
        <v>14092</v>
      </c>
      <c r="D17" s="10">
        <f>SUM(Vingåker:Trosa!D17)</f>
        <v>0</v>
      </c>
      <c r="E17" s="10">
        <f>SUM(Vingåker:Trosa!E17)</f>
        <v>0</v>
      </c>
      <c r="F17" s="10">
        <f>SUM(Vingåker:Trosa!F17)</f>
        <v>22303</v>
      </c>
      <c r="G17" s="10">
        <f>SUM(Vingåker:Trosa!G17)</f>
        <v>987355</v>
      </c>
      <c r="H17" s="10">
        <f>SUM(Vingåker:Trosa!H17)</f>
        <v>783</v>
      </c>
      <c r="I17" s="10">
        <f>SUM(Vingåker:Trosa!I17)</f>
        <v>0</v>
      </c>
      <c r="J17" s="10">
        <f>SUM(Vingåker:Trosa!J17)</f>
        <v>0</v>
      </c>
      <c r="K17" s="10">
        <f>SUM(Vingåker:Trosa!K17)</f>
        <v>16400</v>
      </c>
      <c r="L17" s="10">
        <f>SUM(Vingåker:Trosa!L17)</f>
        <v>706643</v>
      </c>
      <c r="M17" s="10">
        <f>SUM(Vingåker:Trosa!M17)</f>
        <v>0</v>
      </c>
      <c r="N17" s="10">
        <f>SUM(Vingåker:Trosa!N17)</f>
        <v>18615</v>
      </c>
      <c r="O17" s="10">
        <f>SUM(C17:N17)</f>
        <v>1766191</v>
      </c>
      <c r="P17" s="3"/>
      <c r="Q17" s="45"/>
      <c r="R17" s="43"/>
      <c r="S17" s="3"/>
      <c r="T17" s="3"/>
      <c r="U17" s="3"/>
    </row>
    <row r="18" spans="1:24" ht="16" x14ac:dyDescent="0.2">
      <c r="A18" s="8" t="s">
        <v>21</v>
      </c>
      <c r="B18" s="10">
        <f>SUM(Vingåker:Trosa!B18)</f>
        <v>123917</v>
      </c>
      <c r="C18" s="10">
        <f>SUM(Vingåker:Trosa!C18)</f>
        <v>4062</v>
      </c>
      <c r="D18" s="10">
        <f>SUM(Vingåker:Trosa!D18)</f>
        <v>0</v>
      </c>
      <c r="E18" s="10">
        <f>SUM(Vingåker:Trosa!E18)</f>
        <v>0</v>
      </c>
      <c r="F18" s="10">
        <f>SUM(Vingåker:Trosa!F18)</f>
        <v>348</v>
      </c>
      <c r="G18" s="10">
        <f>SUM(Vingåker:Trosa!G18)</f>
        <v>131817</v>
      </c>
      <c r="H18" s="10">
        <f>SUM(Vingåker:Trosa!H18)</f>
        <v>0</v>
      </c>
      <c r="I18" s="10">
        <f>SUM(Vingåker:Trosa!I18)</f>
        <v>0</v>
      </c>
      <c r="J18" s="10">
        <f>SUM(Vingåker:Trosa!J18)</f>
        <v>0</v>
      </c>
      <c r="K18" s="10">
        <f>SUM(Vingåker:Trosa!K18)</f>
        <v>0</v>
      </c>
      <c r="L18" s="10">
        <f>SUM(Vingåker:Trosa!L18)</f>
        <v>0</v>
      </c>
      <c r="M18" s="10">
        <f>SUM(Vingåker:Trosa!M18)</f>
        <v>0</v>
      </c>
      <c r="N18" s="10">
        <f>SUM(Vingåker:Trosa!N18)</f>
        <v>0</v>
      </c>
      <c r="O18" s="10">
        <f>SUM(C18:N18)</f>
        <v>136227</v>
      </c>
      <c r="P18" s="3"/>
      <c r="Q18" s="45"/>
      <c r="R18" s="43"/>
      <c r="S18" s="3"/>
      <c r="T18" s="3"/>
      <c r="U18" s="3"/>
    </row>
    <row r="19" spans="1:24" ht="15.75" x14ac:dyDescent="0.25">
      <c r="A19" s="8" t="s">
        <v>22</v>
      </c>
      <c r="B19" s="10">
        <f>SUM(Vingåker:Trosa!B19)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0"/>
      <c r="P19" s="3"/>
      <c r="Q19" s="3"/>
      <c r="R19" s="3"/>
      <c r="S19" s="3"/>
      <c r="T19" s="3"/>
      <c r="U19" s="3"/>
    </row>
    <row r="20" spans="1:24" ht="16" x14ac:dyDescent="0.2">
      <c r="A20" s="8" t="s">
        <v>23</v>
      </c>
      <c r="B20" s="10">
        <f>SUM(Vingåker:Trosa!B20)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3"/>
      <c r="Q20" s="3"/>
      <c r="R20" s="3"/>
      <c r="S20" s="3"/>
      <c r="T20" s="3"/>
      <c r="U20" s="3"/>
    </row>
    <row r="21" spans="1:24" ht="16" x14ac:dyDescent="0.2">
      <c r="A21" s="8" t="s">
        <v>24</v>
      </c>
      <c r="B21" s="10">
        <f>SUM(Vingåker:Trosa!B21)</f>
        <v>88174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3"/>
      <c r="Q21" s="3"/>
      <c r="R21" s="3"/>
      <c r="S21" s="3" t="s">
        <v>26</v>
      </c>
      <c r="T21" s="13">
        <f>O42/1000</f>
        <v>14410.979599999999</v>
      </c>
      <c r="U21" s="3"/>
    </row>
    <row r="22" spans="1:24" ht="16" x14ac:dyDescent="0.2">
      <c r="A22" s="8" t="s">
        <v>25</v>
      </c>
      <c r="B22" s="10">
        <f>SUM(Vingåker:Trosa!B22)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3"/>
      <c r="Q22" s="3"/>
      <c r="R22" s="3"/>
      <c r="S22" s="3"/>
      <c r="T22" s="3"/>
      <c r="U22" s="3"/>
    </row>
    <row r="23" spans="1:24" ht="16" x14ac:dyDescent="0.2">
      <c r="A23" s="8" t="s">
        <v>16</v>
      </c>
      <c r="B23" s="10">
        <f>SUM(B17:B22)</f>
        <v>1576540</v>
      </c>
      <c r="C23" s="10">
        <f t="shared" ref="C23:O23" si="1">SUM(C17:C22)</f>
        <v>18154</v>
      </c>
      <c r="D23" s="10">
        <f t="shared" si="1"/>
        <v>0</v>
      </c>
      <c r="E23" s="10">
        <f t="shared" si="1"/>
        <v>0</v>
      </c>
      <c r="F23" s="10">
        <f t="shared" si="1"/>
        <v>22651</v>
      </c>
      <c r="G23" s="10">
        <f t="shared" si="1"/>
        <v>1119172</v>
      </c>
      <c r="H23" s="10">
        <f t="shared" si="1"/>
        <v>783</v>
      </c>
      <c r="I23" s="10">
        <f t="shared" si="1"/>
        <v>0</v>
      </c>
      <c r="J23" s="10">
        <f t="shared" si="1"/>
        <v>0</v>
      </c>
      <c r="K23" s="10">
        <f t="shared" si="1"/>
        <v>16400</v>
      </c>
      <c r="L23" s="10">
        <f t="shared" si="1"/>
        <v>706643</v>
      </c>
      <c r="M23" s="10">
        <f t="shared" si="1"/>
        <v>0</v>
      </c>
      <c r="N23" s="10">
        <f t="shared" si="1"/>
        <v>18615</v>
      </c>
      <c r="O23" s="10">
        <f t="shared" si="1"/>
        <v>1902418</v>
      </c>
      <c r="P23" s="3"/>
      <c r="Q23" s="3"/>
      <c r="R23" s="3"/>
      <c r="S23" s="3"/>
      <c r="T23" s="3" t="s">
        <v>27</v>
      </c>
      <c r="U23" s="3" t="s">
        <v>28</v>
      </c>
    </row>
    <row r="24" spans="1:24" ht="15.75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"/>
      <c r="Q24" s="3"/>
      <c r="R24" s="3"/>
      <c r="S24" s="3" t="s">
        <v>10</v>
      </c>
      <c r="T24" s="14">
        <f>N42/1000</f>
        <v>3143.9585999999999</v>
      </c>
      <c r="U24" s="15">
        <f>N43</f>
        <v>0.21816411425632717</v>
      </c>
    </row>
    <row r="25" spans="1:24" ht="16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"/>
      <c r="Q25" s="3"/>
      <c r="R25" s="3"/>
      <c r="S25" s="3" t="s">
        <v>69</v>
      </c>
      <c r="T25" s="14">
        <f>G42/1000</f>
        <v>1473.7840000000001</v>
      </c>
      <c r="U25" s="16">
        <f>G43</f>
        <v>0.10226813449933689</v>
      </c>
    </row>
    <row r="26" spans="1:24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14" t="s">
        <v>70</v>
      </c>
      <c r="T26" s="14">
        <f>L42/1000</f>
        <v>706.64300000000003</v>
      </c>
      <c r="U26" s="16">
        <f>L43</f>
        <v>4.9035042697583166E-2</v>
      </c>
    </row>
    <row r="27" spans="1:24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3" t="s">
        <v>31</v>
      </c>
      <c r="T27" s="14">
        <f>F42/1000</f>
        <v>213.76499999999999</v>
      </c>
      <c r="U27" s="15">
        <f>F43</f>
        <v>1.4833481549026688E-2</v>
      </c>
    </row>
    <row r="28" spans="1:24" ht="15.75" x14ac:dyDescent="0.25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11"/>
      <c r="N28" s="11"/>
      <c r="O28" s="11"/>
      <c r="P28" s="3"/>
      <c r="Q28" s="3"/>
      <c r="R28" s="3"/>
      <c r="S28" s="3" t="s">
        <v>4</v>
      </c>
      <c r="T28" s="13">
        <f>E42/1000</f>
        <v>89.784999999999997</v>
      </c>
      <c r="U28" s="15">
        <f>E43</f>
        <v>6.2303189992719164E-3</v>
      </c>
    </row>
    <row r="29" spans="1:24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67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6044</v>
      </c>
      <c r="U29" s="46">
        <f>D43</f>
        <v>0.419402439512162</v>
      </c>
    </row>
    <row r="30" spans="1:24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2" t="s">
        <v>8</v>
      </c>
      <c r="T30" s="2">
        <f>K42/1000</f>
        <v>16.399999999999999</v>
      </c>
      <c r="U30" s="46">
        <f>K43</f>
        <v>1.138021179351333E-3</v>
      </c>
      <c r="W30" s="39"/>
    </row>
    <row r="31" spans="1:24" ht="15.75" x14ac:dyDescent="0.25">
      <c r="A31" s="5" t="s">
        <v>33</v>
      </c>
      <c r="B31" s="10">
        <f>SUM(Vingåker:Trosa!B31)</f>
        <v>0</v>
      </c>
      <c r="C31" s="10">
        <f>SUM(Vingåker:Trosa!C31)</f>
        <v>110125</v>
      </c>
      <c r="D31" s="10">
        <f>SUM(Vingåker:Trosa!D31)</f>
        <v>0</v>
      </c>
      <c r="E31" s="10">
        <f>SUM(Vingåker:Trosa!E31)</f>
        <v>0</v>
      </c>
      <c r="F31" s="10">
        <f>SUM(Vingåker:Trosa!F31)</f>
        <v>9595</v>
      </c>
      <c r="G31" s="10">
        <f>SUM(Vingåker:Trosa!G31)</f>
        <v>945</v>
      </c>
      <c r="H31" s="10">
        <f>SUM(Vingåker:Trosa!H31)</f>
        <v>0</v>
      </c>
      <c r="I31" s="10">
        <f>SUM(Vingåker:Trosa!I31)</f>
        <v>0</v>
      </c>
      <c r="J31" s="10">
        <f>SUM(Vingåker:Trosa!J31)</f>
        <v>0</v>
      </c>
      <c r="K31" s="10">
        <f>SUM(Vingåker:Trosa!K31)</f>
        <v>0</v>
      </c>
      <c r="L31" s="10">
        <f>SUM(Vingåker:Trosa!L31)</f>
        <v>0</v>
      </c>
      <c r="M31" s="10">
        <f>SUM(Vingåker:Trosa!M31)</f>
        <v>0</v>
      </c>
      <c r="N31" s="10">
        <f>SUM(Vingåker:Trosa!N31)</f>
        <v>104705</v>
      </c>
      <c r="O31" s="10">
        <f>SUM(B31:N31)</f>
        <v>225370</v>
      </c>
      <c r="P31" s="17">
        <f>O31/O$39</f>
        <v>1.6194585866096706E-2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  <c r="W31" s="43"/>
      <c r="X31" s="43"/>
    </row>
    <row r="32" spans="1:24" ht="15.75" x14ac:dyDescent="0.25">
      <c r="A32" s="5" t="s">
        <v>36</v>
      </c>
      <c r="B32" s="10">
        <f>SUM(Vingåker:Trosa!B32)</f>
        <v>102559</v>
      </c>
      <c r="C32" s="10">
        <f>SUM(Vingåker:Trosa!C32)</f>
        <v>193625</v>
      </c>
      <c r="D32" s="10">
        <f>SUM(Vingåker:Trosa!D32)</f>
        <v>6044000</v>
      </c>
      <c r="E32" s="10">
        <f>SUM(Vingåker:Trosa!E32)</f>
        <v>82143</v>
      </c>
      <c r="F32" s="10">
        <f>SUM(Vingåker:Trosa!F32)</f>
        <v>0</v>
      </c>
      <c r="G32" s="10">
        <f>SUM(Vingåker:Trosa!G32)</f>
        <v>56542</v>
      </c>
      <c r="H32" s="10">
        <f>SUM(Vingåker:Trosa!H32)</f>
        <v>7</v>
      </c>
      <c r="I32" s="10">
        <f>SUM(Vingåker:Trosa!I32)</f>
        <v>0</v>
      </c>
      <c r="J32" s="10">
        <f>SUM(Vingåker:Trosa!J32)</f>
        <v>0</v>
      </c>
      <c r="K32" s="10">
        <f>SUM(Vingåker:Trosa!K32)</f>
        <v>0</v>
      </c>
      <c r="L32" s="10">
        <f>SUM(Vingåker:Trosa!L32)</f>
        <v>0</v>
      </c>
      <c r="M32" s="10">
        <f>SUM(Vingåker:Trosa!M32)</f>
        <v>14537</v>
      </c>
      <c r="N32" s="10">
        <f>SUM(Vingåker:Trosa!N32)</f>
        <v>1016837</v>
      </c>
      <c r="O32" s="10">
        <f t="shared" ref="O32:O38" si="2">SUM(B32:N32)</f>
        <v>7510250</v>
      </c>
      <c r="P32" s="17">
        <f>O32/O$39</f>
        <v>0.5396698251801606</v>
      </c>
      <c r="Q32" s="18" t="s">
        <v>37</v>
      </c>
      <c r="R32" s="3"/>
      <c r="S32" s="3" t="s">
        <v>6</v>
      </c>
      <c r="T32" s="14">
        <f>H42/1000</f>
        <v>23.196999999999999</v>
      </c>
      <c r="U32" s="15">
        <f>H43</f>
        <v>1.6096754449641995E-3</v>
      </c>
      <c r="W32" s="43"/>
      <c r="X32" s="43"/>
    </row>
    <row r="33" spans="1:48" ht="15.75" x14ac:dyDescent="0.25">
      <c r="A33" s="5" t="s">
        <v>38</v>
      </c>
      <c r="B33" s="10">
        <f>SUM(Vingåker:Trosa!B33)</f>
        <v>187754.68830000001</v>
      </c>
      <c r="C33" s="10">
        <f>SUM(Vingåker:Trosa!C33)</f>
        <v>6604</v>
      </c>
      <c r="D33" s="10">
        <f>SUM(Vingåker:Trosa!D33)</f>
        <v>0</v>
      </c>
      <c r="E33" s="10">
        <f>SUM(Vingåker:Trosa!E33)</f>
        <v>0</v>
      </c>
      <c r="F33" s="10">
        <f>SUM(Vingåker:Trosa!F33)</f>
        <v>0</v>
      </c>
      <c r="G33" s="10">
        <f>SUM(Vingåker:Trosa!G33)</f>
        <v>0</v>
      </c>
      <c r="H33" s="10">
        <f>SUM(Vingåker:Trosa!H33)</f>
        <v>0</v>
      </c>
      <c r="I33" s="10">
        <f>SUM(Vingåker:Trosa!I33)</f>
        <v>0</v>
      </c>
      <c r="J33" s="10">
        <f>SUM(Vingåker:Trosa!J33)</f>
        <v>0</v>
      </c>
      <c r="K33" s="10">
        <f>SUM(Vingåker:Trosa!K33)</f>
        <v>0</v>
      </c>
      <c r="L33" s="10">
        <f>SUM(Vingåker:Trosa!L33)</f>
        <v>0</v>
      </c>
      <c r="M33" s="10">
        <f>SUM(Vingåker:Trosa!M33)</f>
        <v>0</v>
      </c>
      <c r="N33" s="10">
        <f>SUM(Vingåker:Trosa!N33)</f>
        <v>256853</v>
      </c>
      <c r="O33" s="10">
        <f t="shared" si="2"/>
        <v>451211.68830000004</v>
      </c>
      <c r="P33" s="17">
        <f>O33/O$39</f>
        <v>3.2423066202071318E-2</v>
      </c>
      <c r="Q33" s="18" t="s">
        <v>39</v>
      </c>
      <c r="R33" s="3"/>
      <c r="S33" s="3" t="s">
        <v>35</v>
      </c>
      <c r="T33" s="14">
        <f>C42/1000</f>
        <v>2699.4470000000001</v>
      </c>
      <c r="U33" s="16">
        <f>C43</f>
        <v>0.18731877186197668</v>
      </c>
      <c r="W33" s="43"/>
      <c r="X33" s="43"/>
    </row>
    <row r="34" spans="1:48" ht="15.75" x14ac:dyDescent="0.25">
      <c r="A34" s="5" t="s">
        <v>40</v>
      </c>
      <c r="B34" s="10">
        <f>SUM(Vingåker:Trosa!B34)</f>
        <v>0</v>
      </c>
      <c r="C34" s="10">
        <f>SUM(Vingåker:Trosa!C34)</f>
        <v>2295589</v>
      </c>
      <c r="D34" s="10">
        <f>SUM(Vingåker:Trosa!D34)</f>
        <v>0</v>
      </c>
      <c r="E34" s="80">
        <v>7642</v>
      </c>
      <c r="F34" s="10">
        <f>SUM(Vingåker:Trosa!F34)</f>
        <v>181519</v>
      </c>
      <c r="G34" s="10">
        <f>SUM(Vingåker:Trosa!G34)</f>
        <v>0</v>
      </c>
      <c r="H34" s="80">
        <v>22407</v>
      </c>
      <c r="I34" s="10">
        <f>SUM(Vingåker:Trosa!I34)</f>
        <v>0</v>
      </c>
      <c r="J34" s="10">
        <f>SUM(Vingåker:Trosa!J34)</f>
        <v>0</v>
      </c>
      <c r="K34" s="10">
        <f>SUM(Vingåker:Trosa!K34)</f>
        <v>0</v>
      </c>
      <c r="L34" s="10">
        <f>SUM(Vingåker:Trosa!L34)</f>
        <v>0</v>
      </c>
      <c r="M34" s="10">
        <f>SUM(Vingåker:Trosa!M34)</f>
        <v>0</v>
      </c>
      <c r="N34" s="10">
        <f>SUM(Vingåker:Trosa!N34)</f>
        <v>113209</v>
      </c>
      <c r="O34" s="10">
        <f t="shared" si="2"/>
        <v>2620366</v>
      </c>
      <c r="P34" s="17">
        <f>O34/O$39</f>
        <v>0.18829366014820237</v>
      </c>
      <c r="Q34" s="18" t="s">
        <v>41</v>
      </c>
      <c r="R34" s="3"/>
      <c r="S34" s="3"/>
      <c r="T34" s="14">
        <f>SUM(T24:T33)</f>
        <v>14410.979600000001</v>
      </c>
      <c r="U34" s="15">
        <f>SUM(U24:U33)</f>
        <v>1</v>
      </c>
      <c r="W34" s="43"/>
      <c r="X34" s="43"/>
    </row>
    <row r="35" spans="1:48" ht="16" x14ac:dyDescent="0.2">
      <c r="A35" s="5" t="s">
        <v>42</v>
      </c>
      <c r="B35" s="10">
        <f>SUM(Vingåker:Trosa!B35)</f>
        <v>231151.64139999999</v>
      </c>
      <c r="C35" s="10">
        <f>SUM(Vingåker:Trosa!C35)</f>
        <v>67718</v>
      </c>
      <c r="D35" s="10">
        <f>SUM(Vingåker:Trosa!D35)</f>
        <v>0</v>
      </c>
      <c r="E35" s="10">
        <f>SUM(Vingåker:Trosa!E35)</f>
        <v>0</v>
      </c>
      <c r="F35" s="10">
        <f>SUM(Vingåker:Trosa!F35)</f>
        <v>0</v>
      </c>
      <c r="G35" s="10">
        <f>SUM(Vingåker:Trosa!G35)</f>
        <v>0</v>
      </c>
      <c r="H35" s="10">
        <f>SUM(Vingåker:Trosa!H35)</f>
        <v>0</v>
      </c>
      <c r="I35" s="10">
        <f>SUM(Vingåker:Trosa!I35)</f>
        <v>0</v>
      </c>
      <c r="J35" s="10">
        <f>SUM(Vingåker:Trosa!J35)</f>
        <v>0</v>
      </c>
      <c r="K35" s="10">
        <f>SUM(Vingåker:Trosa!K35)</f>
        <v>0</v>
      </c>
      <c r="L35" s="10">
        <f>SUM(Vingåker:Trosa!L35)</f>
        <v>0</v>
      </c>
      <c r="M35" s="10">
        <f>SUM(Vingåker:Trosa!M35)</f>
        <v>0</v>
      </c>
      <c r="N35" s="10">
        <f>SUM(Vingåker:Trosa!N35)</f>
        <v>630802</v>
      </c>
      <c r="O35" s="10">
        <f t="shared" si="2"/>
        <v>929671.64139999996</v>
      </c>
      <c r="P35" s="17">
        <f>O35/O$39</f>
        <v>6.6804131978201911E-2</v>
      </c>
      <c r="Q35" s="18" t="s">
        <v>43</v>
      </c>
      <c r="R35" s="18"/>
      <c r="W35" s="43"/>
      <c r="X35" s="43"/>
    </row>
    <row r="36" spans="1:48" ht="16" x14ac:dyDescent="0.2">
      <c r="A36" s="5" t="s">
        <v>44</v>
      </c>
      <c r="B36" s="10">
        <f>SUM(Vingåker:Trosa!B36)</f>
        <v>136951</v>
      </c>
      <c r="C36" s="10">
        <f>SUM(Vingåker:Trosa!C36)</f>
        <v>7152</v>
      </c>
      <c r="D36" s="10">
        <f>SUM(Vingåker:Trosa!D36)</f>
        <v>0</v>
      </c>
      <c r="E36" s="10">
        <f>SUM(Vingåker:Trosa!E36)</f>
        <v>0</v>
      </c>
      <c r="F36" s="10">
        <f>SUM(Vingåker:Trosa!F36)</f>
        <v>0</v>
      </c>
      <c r="G36" s="10">
        <f>SUM(Vingåker:Trosa!G36)</f>
        <v>297125</v>
      </c>
      <c r="H36" s="10">
        <f>SUM(Vingåker:Trosa!H36)</f>
        <v>0</v>
      </c>
      <c r="I36" s="10">
        <f>SUM(Vingåker:Trosa!I36)</f>
        <v>0</v>
      </c>
      <c r="J36" s="10">
        <f>SUM(Vingåker:Trosa!J36)</f>
        <v>0</v>
      </c>
      <c r="K36" s="10">
        <f>SUM(Vingåker:Trosa!K36)</f>
        <v>0</v>
      </c>
      <c r="L36" s="10">
        <f>SUM(Vingåker:Trosa!L36)</f>
        <v>0</v>
      </c>
      <c r="M36" s="10">
        <f>SUM(Vingåker:Trosa!M36)</f>
        <v>0</v>
      </c>
      <c r="N36" s="10">
        <f>SUM(Vingåker:Trosa!N36)</f>
        <v>744535</v>
      </c>
      <c r="O36" s="10">
        <f t="shared" si="2"/>
        <v>1185763</v>
      </c>
      <c r="P36" s="18"/>
      <c r="Q36" s="18"/>
      <c r="R36" s="3"/>
      <c r="S36" s="7"/>
      <c r="T36" s="7"/>
      <c r="U36" s="7"/>
      <c r="W36" s="43"/>
      <c r="X36" s="43"/>
    </row>
    <row r="37" spans="1:48" ht="15.75" x14ac:dyDescent="0.25">
      <c r="A37" s="5" t="s">
        <v>45</v>
      </c>
      <c r="B37" s="10">
        <f>SUM(Vingåker:Trosa!B37)</f>
        <v>689388</v>
      </c>
      <c r="C37" s="10">
        <f>SUM(Vingåker:Trosa!C37)</f>
        <v>480</v>
      </c>
      <c r="D37" s="10">
        <f>SUM(Vingåker:Trosa!D37)</f>
        <v>0</v>
      </c>
      <c r="E37" s="10">
        <f>SUM(Vingåker:Trosa!E37)</f>
        <v>0</v>
      </c>
      <c r="F37" s="10">
        <f>SUM(Vingåker:Trosa!F37)</f>
        <v>0</v>
      </c>
      <c r="G37" s="10">
        <f>SUM(Vingåker:Trosa!G37)</f>
        <v>0</v>
      </c>
      <c r="H37" s="10">
        <f>SUM(Vingåker:Trosa!H37)</f>
        <v>0</v>
      </c>
      <c r="I37" s="10">
        <f>SUM(Vingåker:Trosa!I37)</f>
        <v>0</v>
      </c>
      <c r="J37" s="10">
        <f>SUM(Vingåker:Trosa!J37)</f>
        <v>0</v>
      </c>
      <c r="K37" s="10">
        <f>SUM(Vingåker:Trosa!K37)</f>
        <v>0</v>
      </c>
      <c r="L37" s="10">
        <f>SUM(Vingåker:Trosa!L37)</f>
        <v>0</v>
      </c>
      <c r="M37" s="10">
        <f>SUM(Vingåker:Trosa!M37)</f>
        <v>0</v>
      </c>
      <c r="N37" s="10">
        <f>SUM(Vingåker:Trosa!N37)</f>
        <v>164017</v>
      </c>
      <c r="O37" s="10">
        <f t="shared" si="2"/>
        <v>853885</v>
      </c>
      <c r="P37" s="18"/>
      <c r="Q37" s="18"/>
      <c r="R37" s="3"/>
      <c r="S37" s="7"/>
      <c r="T37" s="7" t="s">
        <v>27</v>
      </c>
      <c r="U37" s="7" t="s">
        <v>28</v>
      </c>
      <c r="W37" s="43"/>
      <c r="X37" s="43"/>
    </row>
    <row r="38" spans="1:48" ht="16" x14ac:dyDescent="0.2">
      <c r="A38" s="5" t="s">
        <v>46</v>
      </c>
      <c r="B38" s="10">
        <f>SUM(Vingåker:Trosa!B38)</f>
        <v>0</v>
      </c>
      <c r="C38" s="10">
        <f>SUM(Vingåker:Trosa!C38)</f>
        <v>0</v>
      </c>
      <c r="D38" s="10">
        <f>SUM(Vingåker:Trosa!D38)</f>
        <v>0</v>
      </c>
      <c r="E38" s="10">
        <f>SUM(Vingåker:Trosa!E38)</f>
        <v>0</v>
      </c>
      <c r="F38" s="10">
        <f>SUM(Vingåker:Trosa!F38)</f>
        <v>0</v>
      </c>
      <c r="G38" s="10">
        <f>SUM(Vingåker:Trosa!G38)</f>
        <v>0</v>
      </c>
      <c r="H38" s="10">
        <f>SUM(Vingåker:Trosa!H38)</f>
        <v>0</v>
      </c>
      <c r="I38" s="10">
        <f>SUM(Vingåker:Trosa!I38)</f>
        <v>0</v>
      </c>
      <c r="J38" s="10">
        <f>SUM(Vingåker:Trosa!J38)</f>
        <v>0</v>
      </c>
      <c r="K38" s="10">
        <f>SUM(Vingåker:Trosa!K38)</f>
        <v>0</v>
      </c>
      <c r="L38" s="10">
        <f>SUM(Vingåker:Trosa!L38)</f>
        <v>0</v>
      </c>
      <c r="M38" s="10">
        <f>SUM(Vingåker:Trosa!M38)</f>
        <v>0</v>
      </c>
      <c r="N38" s="10">
        <f>SUM(Vingåker:Trosa!N38)</f>
        <v>139862</v>
      </c>
      <c r="O38" s="10">
        <f t="shared" si="2"/>
        <v>139862</v>
      </c>
      <c r="P38" s="18">
        <f>SUM(P31:P35)</f>
        <v>0.8433852693747329</v>
      </c>
      <c r="Q38" s="18"/>
      <c r="R38" s="3"/>
      <c r="S38" s="7" t="s">
        <v>47</v>
      </c>
      <c r="T38" s="19">
        <f>O45/1000</f>
        <v>482.40127029999985</v>
      </c>
      <c r="U38" s="7"/>
      <c r="W38" s="43"/>
      <c r="X38" s="43"/>
    </row>
    <row r="39" spans="1:48" ht="16" x14ac:dyDescent="0.2">
      <c r="A39" s="5" t="s">
        <v>16</v>
      </c>
      <c r="B39" s="10">
        <f>SUM(B31:B38)</f>
        <v>1347804.3297000001</v>
      </c>
      <c r="C39" s="10">
        <f t="shared" ref="C39:N39" si="3">SUM(C31:C38)</f>
        <v>2681293</v>
      </c>
      <c r="D39" s="10">
        <f t="shared" si="3"/>
        <v>6044000</v>
      </c>
      <c r="E39" s="10">
        <f t="shared" si="3"/>
        <v>89785</v>
      </c>
      <c r="F39" s="10">
        <f t="shared" si="3"/>
        <v>191114</v>
      </c>
      <c r="G39" s="10">
        <f t="shared" si="3"/>
        <v>354612</v>
      </c>
      <c r="H39" s="10">
        <f t="shared" si="3"/>
        <v>22414</v>
      </c>
      <c r="I39" s="10">
        <f t="shared" si="3"/>
        <v>0</v>
      </c>
      <c r="J39" s="10">
        <f t="shared" si="3"/>
        <v>0</v>
      </c>
      <c r="K39" s="10">
        <f t="shared" si="3"/>
        <v>0</v>
      </c>
      <c r="L39" s="10">
        <f t="shared" si="3"/>
        <v>0</v>
      </c>
      <c r="M39" s="10">
        <f t="shared" si="3"/>
        <v>14537</v>
      </c>
      <c r="N39" s="10">
        <f t="shared" si="3"/>
        <v>3170820</v>
      </c>
      <c r="O39" s="10">
        <f>SUM(O31:O38)</f>
        <v>13916379.329700001</v>
      </c>
      <c r="P39" s="3"/>
      <c r="Q39" s="3"/>
      <c r="R39" s="3"/>
      <c r="S39" s="7" t="s">
        <v>48</v>
      </c>
      <c r="T39" s="20">
        <f>O41/1000</f>
        <v>2179.5100000000002</v>
      </c>
      <c r="U39" s="15">
        <f>P41</f>
        <v>0.15661473062526704</v>
      </c>
    </row>
    <row r="40" spans="1:48" x14ac:dyDescent="0.2">
      <c r="S40" s="7" t="s">
        <v>49</v>
      </c>
      <c r="T40" s="20">
        <f>O35/1000</f>
        <v>929.6716414</v>
      </c>
      <c r="U40" s="16">
        <f>P35</f>
        <v>6.6804131978201911E-2</v>
      </c>
    </row>
    <row r="41" spans="1:48" ht="16" x14ac:dyDescent="0.2">
      <c r="A41" s="21" t="s">
        <v>50</v>
      </c>
      <c r="B41" s="22">
        <f>B38+B37+B36</f>
        <v>826339</v>
      </c>
      <c r="C41" s="22">
        <f t="shared" ref="C41:O41" si="4">C38+C37+C36</f>
        <v>7632</v>
      </c>
      <c r="D41" s="22">
        <f t="shared" si="4"/>
        <v>0</v>
      </c>
      <c r="E41" s="22">
        <f t="shared" si="4"/>
        <v>0</v>
      </c>
      <c r="F41" s="22">
        <f t="shared" si="4"/>
        <v>0</v>
      </c>
      <c r="G41" s="22">
        <f t="shared" si="4"/>
        <v>297125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1048414</v>
      </c>
      <c r="O41" s="22">
        <f t="shared" si="4"/>
        <v>2179510</v>
      </c>
      <c r="P41" s="17">
        <f>O41/O$39</f>
        <v>0.15661473062526704</v>
      </c>
      <c r="Q41" s="17" t="s">
        <v>51</v>
      </c>
      <c r="R41" s="7"/>
      <c r="S41" s="7" t="s">
        <v>52</v>
      </c>
      <c r="T41" s="20">
        <f>O33/1000</f>
        <v>451.21168830000005</v>
      </c>
      <c r="U41" s="15">
        <f>P33</f>
        <v>3.2423066202071318E-2</v>
      </c>
    </row>
    <row r="42" spans="1:48" ht="16" x14ac:dyDescent="0.2">
      <c r="A42" s="23" t="s">
        <v>53</v>
      </c>
      <c r="B42" s="22"/>
      <c r="C42" s="24">
        <f>C39+C23+C10</f>
        <v>2699447</v>
      </c>
      <c r="D42" s="24">
        <f t="shared" ref="D42:L42" si="5">D39+D23+D10</f>
        <v>6044000</v>
      </c>
      <c r="E42" s="24">
        <f t="shared" si="5"/>
        <v>89785</v>
      </c>
      <c r="F42" s="24">
        <f t="shared" si="5"/>
        <v>213765</v>
      </c>
      <c r="G42" s="24">
        <f t="shared" si="5"/>
        <v>1473784</v>
      </c>
      <c r="H42" s="24">
        <f t="shared" si="5"/>
        <v>23197</v>
      </c>
      <c r="I42" s="24">
        <f t="shared" si="5"/>
        <v>0</v>
      </c>
      <c r="J42" s="24">
        <f t="shared" si="5"/>
        <v>0</v>
      </c>
      <c r="K42" s="24">
        <f t="shared" si="5"/>
        <v>16400</v>
      </c>
      <c r="L42" s="24">
        <f t="shared" si="5"/>
        <v>706643</v>
      </c>
      <c r="M42" s="10">
        <v>0</v>
      </c>
      <c r="N42" s="24">
        <f>N39+N23-B6+N45</f>
        <v>3143958.6</v>
      </c>
      <c r="O42" s="25">
        <f>SUM(C42:N42)</f>
        <v>14410979.6</v>
      </c>
      <c r="P42" s="7"/>
      <c r="Q42" s="7"/>
      <c r="R42" s="7"/>
      <c r="S42" s="7" t="s">
        <v>34</v>
      </c>
      <c r="T42" s="20">
        <f>O31/1000</f>
        <v>225.37</v>
      </c>
      <c r="U42" s="15">
        <f>P31</f>
        <v>1.6194585866096706E-2</v>
      </c>
    </row>
    <row r="43" spans="1:48" ht="16" x14ac:dyDescent="0.2">
      <c r="A43" s="23" t="s">
        <v>54</v>
      </c>
      <c r="B43" s="22"/>
      <c r="C43" s="17">
        <f t="shared" ref="C43:N43" si="6">C42/$O42</f>
        <v>0.18731877186197668</v>
      </c>
      <c r="D43" s="17">
        <f t="shared" si="6"/>
        <v>0.419402439512162</v>
      </c>
      <c r="E43" s="17">
        <f t="shared" si="6"/>
        <v>6.2303189992719164E-3</v>
      </c>
      <c r="F43" s="17">
        <f t="shared" si="6"/>
        <v>1.4833481549026688E-2</v>
      </c>
      <c r="G43" s="17">
        <f t="shared" si="6"/>
        <v>0.10226813449933689</v>
      </c>
      <c r="H43" s="17">
        <f t="shared" si="6"/>
        <v>1.6096754449641995E-3</v>
      </c>
      <c r="I43" s="17">
        <f t="shared" si="6"/>
        <v>0</v>
      </c>
      <c r="J43" s="17">
        <f t="shared" si="6"/>
        <v>0</v>
      </c>
      <c r="K43" s="17">
        <f t="shared" si="6"/>
        <v>1.138021179351333E-3</v>
      </c>
      <c r="L43" s="17">
        <f t="shared" si="6"/>
        <v>4.9035042697583166E-2</v>
      </c>
      <c r="M43" s="17">
        <f t="shared" si="6"/>
        <v>0</v>
      </c>
      <c r="N43" s="17">
        <f t="shared" si="6"/>
        <v>0.21816411425632717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7510.25</v>
      </c>
      <c r="U43" s="16">
        <f>P32</f>
        <v>0.5396698251801606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2620.366</v>
      </c>
      <c r="U44" s="16">
        <f>P34</f>
        <v>0.18829366014820237</v>
      </c>
    </row>
    <row r="45" spans="1:48" ht="16" x14ac:dyDescent="0.2">
      <c r="A45" s="6" t="s">
        <v>57</v>
      </c>
      <c r="B45" s="6">
        <f>B23-B39</f>
        <v>228735.67029999988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253665.6</v>
      </c>
      <c r="O45" s="25">
        <f>B45+N45</f>
        <v>482401.27029999986</v>
      </c>
      <c r="P45" s="7"/>
      <c r="Q45" s="7"/>
      <c r="R45" s="7"/>
      <c r="S45" s="7" t="s">
        <v>58</v>
      </c>
      <c r="T45" s="20">
        <f>SUM(T39:T44)</f>
        <v>13916.379329699999</v>
      </c>
      <c r="U45" s="15">
        <f>SUM(U39:U44)</f>
        <v>0.99999999999999989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9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9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8"/>
      <c r="H56" s="28"/>
      <c r="I56" s="6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7"/>
      <c r="G57" s="27"/>
      <c r="H57" s="29"/>
      <c r="I57" s="9"/>
      <c r="J57" s="27"/>
      <c r="K57" s="29"/>
      <c r="L57" s="6"/>
      <c r="M57" s="6"/>
      <c r="N57" s="30"/>
      <c r="O57" s="7"/>
      <c r="P57" s="6"/>
      <c r="Q57" s="15"/>
      <c r="R57" s="7"/>
      <c r="S57" s="7"/>
      <c r="T57" s="6"/>
      <c r="U57" s="47"/>
    </row>
    <row r="58" spans="1:48" ht="16" x14ac:dyDescent="0.2">
      <c r="A58" s="7"/>
      <c r="B58" s="7"/>
      <c r="C58" s="29"/>
      <c r="D58" s="29"/>
      <c r="E58" s="29"/>
      <c r="F58" s="28"/>
      <c r="G58" s="27"/>
      <c r="H58" s="29"/>
      <c r="I58" s="9"/>
      <c r="J58" s="27"/>
      <c r="K58" s="29"/>
      <c r="L58" s="6"/>
      <c r="M58" s="6"/>
      <c r="N58" s="30"/>
      <c r="O58" s="7"/>
      <c r="P58" s="6"/>
      <c r="Q58" s="15"/>
      <c r="R58" s="7"/>
      <c r="S58" s="7"/>
      <c r="T58" s="6"/>
      <c r="U58" s="47"/>
    </row>
    <row r="59" spans="1:48" ht="16" x14ac:dyDescent="0.2">
      <c r="A59" s="7"/>
      <c r="B59" s="7"/>
      <c r="C59" s="29"/>
      <c r="D59" s="29"/>
      <c r="E59" s="29"/>
      <c r="F59" s="27"/>
      <c r="G59" s="27"/>
      <c r="H59" s="29"/>
      <c r="I59" s="9"/>
      <c r="J59" s="27"/>
      <c r="K59" s="29"/>
      <c r="L59" s="6"/>
      <c r="M59" s="6"/>
      <c r="N59" s="30"/>
      <c r="O59" s="7"/>
      <c r="P59" s="6"/>
      <c r="Q59" s="15"/>
      <c r="R59" s="7"/>
      <c r="S59" s="7"/>
      <c r="T59" s="6"/>
      <c r="U59" s="47"/>
    </row>
    <row r="60" spans="1:48" ht="16" x14ac:dyDescent="0.2">
      <c r="A60" s="23"/>
      <c r="B60" s="7"/>
      <c r="C60" s="29"/>
      <c r="D60" s="29"/>
      <c r="E60" s="29"/>
      <c r="F60" s="27"/>
      <c r="G60" s="27"/>
      <c r="H60" s="29"/>
      <c r="I60" s="9"/>
      <c r="J60" s="27"/>
      <c r="K60" s="29"/>
      <c r="L60" s="6"/>
      <c r="M60" s="6"/>
      <c r="N60" s="30"/>
      <c r="O60" s="7"/>
      <c r="P60" s="6"/>
      <c r="Q60" s="15"/>
      <c r="R60" s="7"/>
      <c r="S60" s="7"/>
      <c r="T60" s="6"/>
      <c r="U60" s="47"/>
    </row>
    <row r="61" spans="1:48" ht="16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6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27"/>
      <c r="G62" s="27"/>
      <c r="H62" s="7"/>
      <c r="I62" s="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5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47"/>
    </row>
    <row r="65" spans="1:21" ht="16" x14ac:dyDescent="0.2">
      <c r="A65" s="7"/>
      <c r="B65" s="6"/>
      <c r="C65" s="7"/>
      <c r="D65" s="6"/>
      <c r="E65" s="48"/>
      <c r="F65" s="48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47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47"/>
    </row>
    <row r="67" spans="1:21" ht="16" x14ac:dyDescent="0.2">
      <c r="A67" s="49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47"/>
    </row>
    <row r="68" spans="1:21" ht="16" x14ac:dyDescent="0.2">
      <c r="D68" s="11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47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47"/>
    </row>
    <row r="70" spans="1:21" ht="16" x14ac:dyDescent="0.2">
      <c r="A70" s="7"/>
      <c r="B70" s="32"/>
      <c r="C70" s="23"/>
      <c r="D70" s="23"/>
      <c r="E70" s="6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50"/>
      <c r="T70" s="32"/>
      <c r="U70" s="36"/>
    </row>
    <row r="71" spans="1:21" x14ac:dyDescent="0.2">
      <c r="C71" s="51"/>
      <c r="D71" s="51"/>
      <c r="E71" s="6"/>
    </row>
    <row r="72" spans="1:21" x14ac:dyDescent="0.2">
      <c r="E72" s="6"/>
    </row>
    <row r="73" spans="1:21" x14ac:dyDescent="0.2">
      <c r="E73" s="6"/>
    </row>
    <row r="74" spans="1:21" x14ac:dyDescent="0.2">
      <c r="D74" s="11"/>
      <c r="E74" s="11"/>
      <c r="F74" s="11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48:O48">
    <cfRule type="colorScale" priority="5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51">
    <cfRule type="colorScale" priority="1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U71"/>
  <sheetViews>
    <sheetView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5.75" x14ac:dyDescent="0.25">
      <c r="A2" s="8" t="s">
        <v>66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126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44"/>
      <c r="Q7" s="44"/>
      <c r="R7" s="44"/>
      <c r="AH7" s="44"/>
      <c r="AI7" s="44"/>
    </row>
    <row r="8" spans="1:35" ht="15.75" x14ac:dyDescent="0.25">
      <c r="A8" s="8" t="s">
        <v>14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44"/>
      <c r="Q8" s="44"/>
      <c r="R8" s="44"/>
      <c r="AH8" s="44"/>
      <c r="AI8" s="44"/>
    </row>
    <row r="9" spans="1:35" ht="15.75" x14ac:dyDescent="0.25">
      <c r="A9" s="8" t="s">
        <v>15</v>
      </c>
      <c r="B9" s="58">
        <v>139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44"/>
      <c r="Q9" s="44"/>
      <c r="R9" s="44"/>
      <c r="S9" s="8"/>
      <c r="T9" s="53"/>
      <c r="U9" s="53"/>
      <c r="V9" s="52"/>
      <c r="W9" s="52"/>
      <c r="X9" s="53"/>
      <c r="Y9" s="53"/>
      <c r="Z9" s="52"/>
      <c r="AA9" s="52"/>
      <c r="AB9" s="52"/>
      <c r="AC9" s="52"/>
      <c r="AD9" s="52"/>
      <c r="AE9" s="52"/>
      <c r="AF9" s="52"/>
      <c r="AG9" s="53"/>
      <c r="AH9" s="44"/>
      <c r="AI9" s="44"/>
    </row>
    <row r="10" spans="1:35" ht="16" x14ac:dyDescent="0.2">
      <c r="A10" s="8" t="s">
        <v>16</v>
      </c>
      <c r="B10" s="58">
        <v>265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44"/>
      <c r="Q10" s="44"/>
      <c r="R10" s="44"/>
      <c r="S10" s="8"/>
      <c r="T10" s="53"/>
      <c r="U10" s="53"/>
      <c r="V10" s="52"/>
      <c r="W10" s="52"/>
      <c r="X10" s="53"/>
      <c r="Y10" s="53"/>
      <c r="Z10" s="52"/>
      <c r="AA10" s="52"/>
      <c r="AB10" s="52"/>
      <c r="AC10" s="52"/>
      <c r="AD10" s="52"/>
      <c r="AE10" s="52"/>
      <c r="AF10" s="52"/>
      <c r="AG10" s="53"/>
      <c r="AH10" s="44"/>
      <c r="AI10" s="44"/>
    </row>
    <row r="11" spans="1:35" ht="15.75" x14ac:dyDescent="0.25">
      <c r="B11" s="6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5.75" x14ac:dyDescent="0.25">
      <c r="A14" s="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/>
      <c r="K17" s="52"/>
      <c r="L17" s="52"/>
      <c r="M17" s="52"/>
      <c r="N17" s="52"/>
      <c r="O17" s="52">
        <v>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61">
        <v>30817</v>
      </c>
      <c r="C18" s="61">
        <v>362</v>
      </c>
      <c r="D18" s="52">
        <v>0</v>
      </c>
      <c r="E18" s="52">
        <v>0</v>
      </c>
      <c r="F18" s="61">
        <v>348</v>
      </c>
      <c r="G18" s="61">
        <v>30817</v>
      </c>
      <c r="H18" s="52">
        <v>0</v>
      </c>
      <c r="I18" s="52"/>
      <c r="J18" s="52"/>
      <c r="K18" s="52"/>
      <c r="L18" s="52"/>
      <c r="M18" s="52"/>
      <c r="N18" s="52"/>
      <c r="O18" s="61">
        <f>SUM(C18:H18)</f>
        <v>31527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346.55288000000002</v>
      </c>
      <c r="U21" s="3"/>
    </row>
    <row r="22" spans="1:21" ht="16" x14ac:dyDescent="0.2">
      <c r="A22" s="8" t="s">
        <v>25</v>
      </c>
      <c r="B22" s="61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 t="shared" ref="B23:H23" si="0">B18</f>
        <v>30817</v>
      </c>
      <c r="C23" s="61">
        <f t="shared" si="0"/>
        <v>362</v>
      </c>
      <c r="D23" s="53">
        <f t="shared" si="0"/>
        <v>0</v>
      </c>
      <c r="E23" s="53">
        <f t="shared" si="0"/>
        <v>0</v>
      </c>
      <c r="F23" s="61">
        <f t="shared" si="0"/>
        <v>348</v>
      </c>
      <c r="G23" s="61">
        <f t="shared" si="0"/>
        <v>30817</v>
      </c>
      <c r="H23" s="53">
        <f t="shared" si="0"/>
        <v>0</v>
      </c>
      <c r="I23" s="53"/>
      <c r="J23" s="53"/>
      <c r="K23" s="53"/>
      <c r="L23" s="53"/>
      <c r="M23" s="53"/>
      <c r="N23" s="53"/>
      <c r="O23" s="61">
        <f>O18</f>
        <v>31527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158.96088</v>
      </c>
      <c r="U24" s="15">
        <f>N43</f>
        <v>0.45869155668248957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42.777000000000001</v>
      </c>
      <c r="U25" s="16">
        <f>G43</f>
        <v>0.12343570770498286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10.805999999999999</v>
      </c>
      <c r="U27" s="15">
        <f>F43</f>
        <v>3.1181388537299126E-2</v>
      </c>
    </row>
    <row r="28" spans="1:21" ht="15.75" x14ac:dyDescent="0.25">
      <c r="A28" s="4" t="s">
        <v>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0</v>
      </c>
      <c r="U28" s="15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3764</v>
      </c>
      <c r="D31" s="52">
        <v>0</v>
      </c>
      <c r="E31" s="52">
        <v>0</v>
      </c>
      <c r="F31" s="52">
        <v>263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8516</v>
      </c>
      <c r="O31" s="52">
        <v>12543</v>
      </c>
      <c r="P31" s="17">
        <f>O31/O$39</f>
        <v>3.8042752981425988E-2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61">
        <v>1789</v>
      </c>
      <c r="C32" s="52">
        <v>255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/>
      <c r="J32" s="52"/>
      <c r="K32" s="52"/>
      <c r="L32" s="52"/>
      <c r="M32" s="44"/>
      <c r="N32" s="55">
        <f>O32-C32-B32</f>
        <v>9832</v>
      </c>
      <c r="O32" s="55">
        <f>O39-SUM(O31,O33:O38)</f>
        <v>11876</v>
      </c>
      <c r="P32" s="17">
        <f>O32/O$39</f>
        <v>3.6019750809807467E-2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61">
        <v>5427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10073</v>
      </c>
      <c r="O33" s="61">
        <f>SUM(B33:N33)</f>
        <v>15500</v>
      </c>
      <c r="P33" s="17">
        <f>O33/O$39</f>
        <v>4.7011294842709307E-2</v>
      </c>
      <c r="Q33" s="18" t="s">
        <v>39</v>
      </c>
      <c r="R33" s="3"/>
      <c r="S33" s="3" t="s">
        <v>35</v>
      </c>
      <c r="T33" s="14">
        <f>C42/1000</f>
        <v>134.00899999999999</v>
      </c>
      <c r="U33" s="16">
        <f>C43</f>
        <v>0.38669134707522845</v>
      </c>
    </row>
    <row r="34" spans="1:47" ht="15.75" x14ac:dyDescent="0.25">
      <c r="A34" s="8" t="s">
        <v>40</v>
      </c>
      <c r="B34" s="52">
        <v>0</v>
      </c>
      <c r="C34" s="52">
        <v>128220</v>
      </c>
      <c r="D34" s="52">
        <v>0</v>
      </c>
      <c r="E34" s="52">
        <v>0</v>
      </c>
      <c r="F34" s="52">
        <v>10194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2</v>
      </c>
      <c r="O34" s="52">
        <v>138416</v>
      </c>
      <c r="P34" s="17">
        <f>O34/O$39</f>
        <v>0.41981389593215818</v>
      </c>
      <c r="Q34" s="18" t="s">
        <v>41</v>
      </c>
      <c r="R34" s="3"/>
      <c r="S34" s="3"/>
      <c r="T34" s="14">
        <f>SUM(T24:T33)</f>
        <v>346.55288000000002</v>
      </c>
      <c r="U34" s="15">
        <f>SUM(U24:U33)</f>
        <v>1</v>
      </c>
    </row>
    <row r="35" spans="1:47" ht="16" x14ac:dyDescent="0.2">
      <c r="A35" s="8" t="s">
        <v>42</v>
      </c>
      <c r="B35" s="61">
        <v>6526</v>
      </c>
      <c r="C35" s="55">
        <v>1000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5">
        <f>O35-B35-C35</f>
        <v>24517</v>
      </c>
      <c r="O35" s="52">
        <v>32043</v>
      </c>
      <c r="P35" s="17">
        <f>O35/O$39</f>
        <v>9.7185994880318344E-2</v>
      </c>
      <c r="Q35" s="18" t="s">
        <v>43</v>
      </c>
      <c r="R35" s="18"/>
    </row>
    <row r="36" spans="1:47" ht="16" x14ac:dyDescent="0.2">
      <c r="A36" s="8" t="s">
        <v>44</v>
      </c>
      <c r="B36" s="61">
        <v>1787</v>
      </c>
      <c r="C36" s="61">
        <f>O36-N36-G36-B36</f>
        <v>408</v>
      </c>
      <c r="D36" s="52">
        <v>0</v>
      </c>
      <c r="E36" s="52">
        <v>0</v>
      </c>
      <c r="F36" s="52">
        <v>0</v>
      </c>
      <c r="G36" s="52">
        <v>11960</v>
      </c>
      <c r="H36" s="52">
        <v>0</v>
      </c>
      <c r="I36" s="52"/>
      <c r="J36" s="52"/>
      <c r="K36" s="52"/>
      <c r="L36" s="52"/>
      <c r="M36" s="44"/>
      <c r="N36" s="52">
        <v>63879</v>
      </c>
      <c r="O36" s="52">
        <v>78034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61">
        <v>10927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6141</v>
      </c>
      <c r="O37" s="53">
        <f>SUM(B37:N37)</f>
        <v>17068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24228</v>
      </c>
      <c r="O38" s="52">
        <v>24228</v>
      </c>
      <c r="P38" s="18">
        <f>SUM(P31:P35)</f>
        <v>0.63807368944641929</v>
      </c>
      <c r="Q38" s="18"/>
      <c r="R38" s="3"/>
      <c r="S38" s="7" t="s">
        <v>47</v>
      </c>
      <c r="T38" s="19">
        <f>O45/1000</f>
        <v>16.134880000000003</v>
      </c>
      <c r="U38" s="7"/>
    </row>
    <row r="39" spans="1:47" ht="16" x14ac:dyDescent="0.2">
      <c r="A39" s="8" t="s">
        <v>16</v>
      </c>
      <c r="B39" s="52">
        <v>26457</v>
      </c>
      <c r="C39" s="55">
        <f>SUM(C31:C38)</f>
        <v>133647</v>
      </c>
      <c r="D39" s="52">
        <v>0</v>
      </c>
      <c r="E39" s="52">
        <v>0</v>
      </c>
      <c r="F39" s="52">
        <v>10458</v>
      </c>
      <c r="G39" s="52">
        <v>11960</v>
      </c>
      <c r="H39" s="52">
        <v>0</v>
      </c>
      <c r="I39" s="52"/>
      <c r="J39" s="52"/>
      <c r="K39" s="52"/>
      <c r="L39" s="52"/>
      <c r="M39" s="44"/>
      <c r="N39" s="55">
        <f>O39-G39-F39-C39-B39</f>
        <v>147186</v>
      </c>
      <c r="O39" s="52">
        <v>329708</v>
      </c>
      <c r="P39" s="3"/>
      <c r="Q39" s="3"/>
      <c r="R39" s="3"/>
      <c r="S39" s="7" t="s">
        <v>48</v>
      </c>
      <c r="T39" s="20">
        <f>O41/1000</f>
        <v>119.33</v>
      </c>
      <c r="U39" s="15">
        <f>P41</f>
        <v>0.36192631055358077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32.042999999999999</v>
      </c>
      <c r="U40" s="16">
        <f>P35</f>
        <v>9.7185994880318344E-2</v>
      </c>
    </row>
    <row r="41" spans="1:47" ht="16" x14ac:dyDescent="0.2">
      <c r="A41" s="21" t="s">
        <v>50</v>
      </c>
      <c r="B41" s="22">
        <f>B38+B37+B36</f>
        <v>12714</v>
      </c>
      <c r="C41" s="22">
        <f t="shared" ref="C41:O41" si="1">C38+C37+C36</f>
        <v>408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11960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94248</v>
      </c>
      <c r="O41" s="22">
        <f t="shared" si="1"/>
        <v>119330</v>
      </c>
      <c r="P41" s="17">
        <f>O41/O$39</f>
        <v>0.36192631055358077</v>
      </c>
      <c r="Q41" s="17" t="s">
        <v>51</v>
      </c>
      <c r="R41" s="7"/>
      <c r="S41" s="7" t="s">
        <v>52</v>
      </c>
      <c r="T41" s="20">
        <f>O33/1000</f>
        <v>15.5</v>
      </c>
      <c r="U41" s="15">
        <f>P33</f>
        <v>4.7011294842709307E-2</v>
      </c>
    </row>
    <row r="42" spans="1:47" ht="16" x14ac:dyDescent="0.2">
      <c r="A42" s="23" t="s">
        <v>53</v>
      </c>
      <c r="B42" s="22"/>
      <c r="C42" s="24">
        <f>C39+C23+C10</f>
        <v>134009</v>
      </c>
      <c r="D42" s="24">
        <f t="shared" ref="D42:M42" si="2">D39+D23+D10</f>
        <v>0</v>
      </c>
      <c r="E42" s="24">
        <f t="shared" si="2"/>
        <v>0</v>
      </c>
      <c r="F42" s="24">
        <f t="shared" si="2"/>
        <v>10806</v>
      </c>
      <c r="G42" s="24">
        <f t="shared" si="2"/>
        <v>42777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158960.88</v>
      </c>
      <c r="O42" s="25">
        <f>SUM(C42:N42)</f>
        <v>346552.88</v>
      </c>
      <c r="P42" s="7"/>
      <c r="Q42" s="7"/>
      <c r="R42" s="7"/>
      <c r="S42" s="7" t="s">
        <v>34</v>
      </c>
      <c r="T42" s="20">
        <f>O31/1000</f>
        <v>12.542999999999999</v>
      </c>
      <c r="U42" s="15">
        <f>P31</f>
        <v>3.8042752981425988E-2</v>
      </c>
    </row>
    <row r="43" spans="1:47" ht="16" x14ac:dyDescent="0.2">
      <c r="A43" s="23" t="s">
        <v>54</v>
      </c>
      <c r="B43" s="22"/>
      <c r="C43" s="17">
        <f t="shared" ref="C43:N43" si="3">C42/$O42</f>
        <v>0.38669134707522845</v>
      </c>
      <c r="D43" s="17">
        <f t="shared" si="3"/>
        <v>0</v>
      </c>
      <c r="E43" s="17">
        <f t="shared" si="3"/>
        <v>0</v>
      </c>
      <c r="F43" s="17">
        <f t="shared" si="3"/>
        <v>3.1181388537299126E-2</v>
      </c>
      <c r="G43" s="17">
        <f t="shared" si="3"/>
        <v>0.12343570770498286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0.45869155668248957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11.875999999999999</v>
      </c>
      <c r="U43" s="16">
        <f>P32</f>
        <v>3.6019750809807467E-2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138.416</v>
      </c>
      <c r="U44" s="16">
        <f>P34</f>
        <v>0.41981389593215818</v>
      </c>
    </row>
    <row r="45" spans="1:47" ht="16" x14ac:dyDescent="0.2">
      <c r="A45" s="6" t="s">
        <v>57</v>
      </c>
      <c r="B45" s="6">
        <f>B23-B39</f>
        <v>4360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11774.880000000001</v>
      </c>
      <c r="O45" s="25">
        <f>B45+N45</f>
        <v>16134.880000000001</v>
      </c>
      <c r="P45" s="7"/>
      <c r="Q45" s="7"/>
      <c r="R45" s="7"/>
      <c r="S45" s="7" t="s">
        <v>58</v>
      </c>
      <c r="T45" s="20">
        <f>SUM(T39:T44)</f>
        <v>329.70799999999997</v>
      </c>
      <c r="U45" s="15">
        <f>SUM(U39:U44)</f>
        <v>1</v>
      </c>
    </row>
    <row r="46" spans="1:47" ht="16" x14ac:dyDescent="0.2">
      <c r="A46" s="6" t="s">
        <v>71</v>
      </c>
      <c r="B46" s="15">
        <f>B45/B23</f>
        <v>0.14148035175390206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9"/>
      <c r="O47" s="28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A48" s="27"/>
      <c r="B48" s="4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9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">
      <c r="G49" s="4"/>
      <c r="H49" s="4"/>
      <c r="I49" s="4"/>
      <c r="J49" s="4"/>
      <c r="K49" s="27"/>
      <c r="L49" s="27"/>
      <c r="M49" s="27"/>
      <c r="N49" s="9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6" x14ac:dyDescent="0.2">
      <c r="G50" s="52"/>
      <c r="H50" s="52"/>
      <c r="I50" s="52"/>
      <c r="J50" s="73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6" x14ac:dyDescent="0.2">
      <c r="G51" s="52"/>
      <c r="H51" s="52"/>
      <c r="I51" s="52"/>
      <c r="J51" s="73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6" x14ac:dyDescent="0.2">
      <c r="G52" s="52"/>
      <c r="H52" s="52"/>
      <c r="I52" s="52"/>
      <c r="J52" s="73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6" x14ac:dyDescent="0.2">
      <c r="G53" s="52"/>
      <c r="H53" s="52"/>
      <c r="I53" s="52"/>
      <c r="J53" s="73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2"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x14ac:dyDescent="0.2">
      <c r="A57" s="27"/>
      <c r="B57" s="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4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"/>
      <c r="AI57" s="28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6" x14ac:dyDescent="0.2">
      <c r="A60" s="7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6" x14ac:dyDescent="0.2">
      <c r="A61" s="23"/>
      <c r="B61" s="7"/>
      <c r="C61" s="29"/>
      <c r="D61" s="29"/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5"/>
      <c r="Q61" s="7"/>
      <c r="R61" s="7"/>
      <c r="S61" s="6"/>
      <c r="T61" s="31"/>
    </row>
    <row r="62" spans="1:47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30"/>
      <c r="N62" s="7"/>
      <c r="O62" s="6"/>
      <c r="P62" s="15"/>
      <c r="Q62" s="7"/>
      <c r="R62" s="7"/>
      <c r="S62" s="32"/>
      <c r="T62" s="33"/>
    </row>
    <row r="63" spans="1:4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1:47" x14ac:dyDescent="0.2">
      <c r="A64" s="7"/>
      <c r="B64" s="34"/>
      <c r="C64" s="34"/>
      <c r="D64" s="34"/>
      <c r="E64" s="34"/>
      <c r="F64" s="34"/>
      <c r="G64" s="34"/>
      <c r="H64" s="34"/>
      <c r="I64" s="34"/>
      <c r="J64" s="7"/>
      <c r="K64" s="7"/>
      <c r="L64" s="7"/>
      <c r="M64" s="7"/>
      <c r="N64" s="7"/>
      <c r="O64" s="7"/>
      <c r="P64" s="7"/>
      <c r="Q64" s="7"/>
      <c r="R64" s="7"/>
      <c r="S64" s="34"/>
      <c r="T64" s="35"/>
    </row>
    <row r="65" spans="1:20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7"/>
      <c r="N70" s="7"/>
      <c r="O70" s="6"/>
      <c r="P70" s="30"/>
      <c r="Q70" s="7"/>
      <c r="R70" s="7"/>
      <c r="S70" s="6"/>
      <c r="T70" s="31"/>
    </row>
    <row r="71" spans="1:20" ht="16" x14ac:dyDescent="0.2">
      <c r="A71" s="7"/>
      <c r="B71" s="32"/>
      <c r="C71" s="32"/>
      <c r="D71" s="32"/>
      <c r="E71" s="32"/>
      <c r="F71" s="32"/>
      <c r="G71" s="32"/>
      <c r="H71" s="32"/>
      <c r="I71" s="32"/>
      <c r="J71" s="7"/>
      <c r="K71" s="7"/>
      <c r="L71" s="7"/>
      <c r="M71" s="7"/>
      <c r="N71" s="7"/>
      <c r="O71" s="32"/>
      <c r="P71" s="36"/>
      <c r="Q71" s="7"/>
      <c r="R71" s="37"/>
      <c r="S71" s="32"/>
      <c r="T71" s="36"/>
    </row>
  </sheetData>
  <pageMargins left="0.75" right="0.75" top="0.75" bottom="0.5" header="0.5" footer="0.7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U63"/>
  <sheetViews>
    <sheetView topLeftCell="A10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3" width="5.5" style="2" customWidth="1"/>
    <col min="14" max="14" width="8.83203125" style="2"/>
    <col min="15" max="15" width="10" style="2" customWidth="1"/>
    <col min="16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6" x14ac:dyDescent="0.2">
      <c r="A2" s="8" t="s">
        <v>1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72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2">
        <v>2723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13067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3"/>
      <c r="U9" s="53"/>
      <c r="V9" s="52"/>
      <c r="W9" s="52"/>
      <c r="X9" s="52"/>
      <c r="Y9" s="53"/>
      <c r="Z9" s="52"/>
      <c r="AA9" s="52"/>
      <c r="AB9" s="52"/>
      <c r="AC9" s="52"/>
      <c r="AD9" s="52"/>
      <c r="AE9" s="52"/>
      <c r="AF9" s="52"/>
      <c r="AG9" s="53"/>
      <c r="AH9" s="44"/>
      <c r="AI9" s="44"/>
    </row>
    <row r="10" spans="1:35" ht="16" x14ac:dyDescent="0.2">
      <c r="A10" s="8" t="s">
        <v>16</v>
      </c>
      <c r="B10" s="52">
        <v>15862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3"/>
      <c r="U10" s="53"/>
      <c r="V10" s="52"/>
      <c r="W10" s="52"/>
      <c r="X10" s="52"/>
      <c r="Y10" s="53"/>
      <c r="Z10" s="52"/>
      <c r="AA10" s="52"/>
      <c r="AB10" s="52"/>
      <c r="AC10" s="52"/>
      <c r="AD10" s="52"/>
      <c r="AE10" s="52"/>
      <c r="AF10" s="52"/>
      <c r="AG10" s="53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6" x14ac:dyDescent="0.2">
      <c r="A14" s="4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/>
      <c r="K17" s="52"/>
      <c r="L17" s="52"/>
      <c r="M17" s="52"/>
      <c r="N17" s="52"/>
      <c r="O17" s="52">
        <v>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61">
        <v>25000</v>
      </c>
      <c r="C18" s="61">
        <v>300</v>
      </c>
      <c r="D18" s="52">
        <v>0</v>
      </c>
      <c r="E18" s="52">
        <v>0</v>
      </c>
      <c r="F18" s="52">
        <v>0</v>
      </c>
      <c r="G18" s="61">
        <v>28500</v>
      </c>
      <c r="H18" s="52">
        <v>0</v>
      </c>
      <c r="I18" s="52"/>
      <c r="J18" s="52"/>
      <c r="K18" s="52"/>
      <c r="L18" s="52"/>
      <c r="M18" s="52"/>
      <c r="N18" s="52"/>
      <c r="O18" s="61">
        <f>C18+G18</f>
        <v>28800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265.10308000000003</v>
      </c>
      <c r="U21" s="3"/>
    </row>
    <row r="22" spans="1:21" ht="16" x14ac:dyDescent="0.2">
      <c r="A22" s="8" t="s">
        <v>25</v>
      </c>
      <c r="B22" s="53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B18</f>
        <v>25000</v>
      </c>
      <c r="C23" s="61">
        <f t="shared" ref="C23:O23" si="0">C18</f>
        <v>300</v>
      </c>
      <c r="D23" s="53">
        <f t="shared" si="0"/>
        <v>0</v>
      </c>
      <c r="E23" s="53">
        <f t="shared" si="0"/>
        <v>0</v>
      </c>
      <c r="F23" s="53">
        <f t="shared" si="0"/>
        <v>0</v>
      </c>
      <c r="G23" s="61">
        <f t="shared" si="0"/>
        <v>28500</v>
      </c>
      <c r="H23" s="53">
        <f t="shared" si="0"/>
        <v>0</v>
      </c>
      <c r="I23" s="53"/>
      <c r="J23" s="53"/>
      <c r="K23" s="53"/>
      <c r="L23" s="53"/>
      <c r="M23" s="53"/>
      <c r="N23" s="53"/>
      <c r="O23" s="61">
        <f t="shared" si="0"/>
        <v>28800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2"/>
      <c r="P24" s="3"/>
      <c r="Q24" s="3"/>
      <c r="R24" s="3"/>
      <c r="S24" s="3" t="s">
        <v>10</v>
      </c>
      <c r="T24" s="14">
        <f>N42/1000</f>
        <v>105.30108</v>
      </c>
      <c r="U24" s="15">
        <f>N43</f>
        <v>0.39720805959704425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56.326999999999998</v>
      </c>
      <c r="U25" s="16">
        <f>G43</f>
        <v>0.21247206935505991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6.0940000000000003</v>
      </c>
      <c r="U27" s="15">
        <f>F43</f>
        <v>2.2987284795031426E-2</v>
      </c>
    </row>
    <row r="28" spans="1:21" ht="16" x14ac:dyDescent="0.2">
      <c r="A28" s="4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5.3090000000000002</v>
      </c>
      <c r="U28" s="15">
        <f>E43</f>
        <v>2.0026172460915957E-2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7506</v>
      </c>
      <c r="D31" s="52">
        <v>0</v>
      </c>
      <c r="E31" s="52">
        <v>0</v>
      </c>
      <c r="F31" s="52">
        <v>692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4856</v>
      </c>
      <c r="O31" s="52">
        <v>13053</v>
      </c>
      <c r="P31" s="17">
        <f>O31/O$39</f>
        <v>5.2261334699956759E-2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55">
        <v>505</v>
      </c>
      <c r="C32" s="69">
        <v>9436</v>
      </c>
      <c r="D32" s="52">
        <v>0</v>
      </c>
      <c r="E32" s="70">
        <v>5309</v>
      </c>
      <c r="F32" s="52">
        <v>0</v>
      </c>
      <c r="G32" s="52">
        <v>1383</v>
      </c>
      <c r="H32" s="52">
        <v>0</v>
      </c>
      <c r="I32" s="52"/>
      <c r="J32" s="52"/>
      <c r="K32" s="52"/>
      <c r="L32" s="52"/>
      <c r="M32" s="44"/>
      <c r="N32" s="55">
        <f>33423-G32-E32-B32-(85688-SUM(C33:C36,C31))</f>
        <v>22874</v>
      </c>
      <c r="O32" s="75">
        <f>SUM(B32:N32)</f>
        <v>39507</v>
      </c>
      <c r="P32" s="17">
        <f>O32/O$39</f>
        <v>0.15817731938950369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55">
        <f>0.5503*($B$39-$B$37-$B$36)-188</f>
        <v>5568.6882999999998</v>
      </c>
      <c r="C33" s="52">
        <v>419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8335</v>
      </c>
      <c r="O33" s="55">
        <f>O39-SUM(O34:O38,O31:O32)</f>
        <v>14322.358600000007</v>
      </c>
      <c r="P33" s="17">
        <f>O33/O$39</f>
        <v>5.7343566726990307E-2</v>
      </c>
      <c r="Q33" s="18" t="s">
        <v>39</v>
      </c>
      <c r="R33" s="3"/>
      <c r="S33" s="3" t="s">
        <v>35</v>
      </c>
      <c r="T33" s="14">
        <f>C42/1000</f>
        <v>92.072000000000003</v>
      </c>
      <c r="U33" s="16">
        <f>C43</f>
        <v>0.34730641379194838</v>
      </c>
    </row>
    <row r="34" spans="1:47" ht="15.75" x14ac:dyDescent="0.25">
      <c r="A34" s="8" t="s">
        <v>40</v>
      </c>
      <c r="B34" s="52">
        <v>0</v>
      </c>
      <c r="C34" s="52">
        <v>67034</v>
      </c>
      <c r="D34" s="52">
        <v>0</v>
      </c>
      <c r="E34" s="52">
        <v>0</v>
      </c>
      <c r="F34" s="52">
        <v>5402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196</v>
      </c>
      <c r="O34" s="52">
        <v>72632</v>
      </c>
      <c r="P34" s="17">
        <f>O34/O$39</f>
        <v>0.29080251757659231</v>
      </c>
      <c r="Q34" s="18" t="s">
        <v>41</v>
      </c>
      <c r="R34" s="3"/>
      <c r="S34" s="3"/>
      <c r="T34" s="14">
        <f>SUM(T24:T33)</f>
        <v>265.10307999999998</v>
      </c>
      <c r="U34" s="15">
        <f>SUM(U24:U33)</f>
        <v>0.99999999999999989</v>
      </c>
    </row>
    <row r="35" spans="1:47" ht="16" x14ac:dyDescent="0.2">
      <c r="A35" s="8" t="s">
        <v>42</v>
      </c>
      <c r="B35" s="55">
        <f>0.4374*($B$39-$B$37-$B$36)-188</f>
        <v>4387.6414000000004</v>
      </c>
      <c r="C35" s="52">
        <v>6964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15363</v>
      </c>
      <c r="O35" s="55">
        <f>SUM(B35:N35)</f>
        <v>26714.6414</v>
      </c>
      <c r="P35" s="17">
        <f>O35/O$39</f>
        <v>0.10695953540141895</v>
      </c>
      <c r="Q35" s="18" t="s">
        <v>43</v>
      </c>
      <c r="R35" s="18"/>
    </row>
    <row r="36" spans="1:47" ht="16" x14ac:dyDescent="0.2">
      <c r="A36" s="8" t="s">
        <v>44</v>
      </c>
      <c r="B36" s="61">
        <v>1000</v>
      </c>
      <c r="C36" s="55">
        <f>O36-SUM(B36,G36,N36)</f>
        <v>413</v>
      </c>
      <c r="D36" s="52">
        <v>0</v>
      </c>
      <c r="E36" s="52">
        <v>0</v>
      </c>
      <c r="F36" s="52">
        <v>0</v>
      </c>
      <c r="G36" s="52">
        <v>26445</v>
      </c>
      <c r="H36" s="52">
        <v>0</v>
      </c>
      <c r="I36" s="52"/>
      <c r="J36" s="52"/>
      <c r="K36" s="52"/>
      <c r="L36" s="52"/>
      <c r="M36" s="44"/>
      <c r="N36" s="52">
        <v>36388</v>
      </c>
      <c r="O36" s="52">
        <v>64246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61">
        <v>9800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3013</v>
      </c>
      <c r="O37" s="61">
        <f>SUM(B37:N37)</f>
        <v>12813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6476</v>
      </c>
      <c r="O38" s="52">
        <v>6476</v>
      </c>
      <c r="P38" s="18">
        <f>SUM(P31:P35)</f>
        <v>0.66554427379446213</v>
      </c>
      <c r="Q38" s="18"/>
      <c r="R38" s="3"/>
      <c r="S38" s="7" t="s">
        <v>47</v>
      </c>
      <c r="T38" s="19">
        <f>O45/1000</f>
        <v>11.53908</v>
      </c>
      <c r="U38" s="7"/>
    </row>
    <row r="39" spans="1:47" ht="16" x14ac:dyDescent="0.2">
      <c r="A39" s="8" t="s">
        <v>16</v>
      </c>
      <c r="B39" s="52">
        <v>21261</v>
      </c>
      <c r="C39" s="75">
        <v>91772</v>
      </c>
      <c r="D39" s="52">
        <v>0</v>
      </c>
      <c r="E39" s="70">
        <f>E32</f>
        <v>5309</v>
      </c>
      <c r="F39" s="52">
        <v>6094</v>
      </c>
      <c r="G39" s="52">
        <v>27827</v>
      </c>
      <c r="H39" s="52">
        <v>0</v>
      </c>
      <c r="I39" s="52"/>
      <c r="J39" s="52"/>
      <c r="K39" s="52"/>
      <c r="L39" s="52"/>
      <c r="M39" s="44"/>
      <c r="N39" s="53">
        <f>SUM(N31:N38)</f>
        <v>97501</v>
      </c>
      <c r="O39" s="74">
        <f>SUM(B39:N39)</f>
        <v>249764</v>
      </c>
      <c r="P39" s="3"/>
      <c r="Q39" s="3"/>
      <c r="R39" s="3"/>
      <c r="S39" s="7" t="s">
        <v>48</v>
      </c>
      <c r="T39" s="20">
        <f>O41/1000</f>
        <v>83.534999999999997</v>
      </c>
      <c r="U39" s="15">
        <f>P41</f>
        <v>0.33445572620553804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26.714641400000001</v>
      </c>
      <c r="U40" s="16">
        <f>P35</f>
        <v>0.10695953540141895</v>
      </c>
    </row>
    <row r="41" spans="1:47" ht="16" x14ac:dyDescent="0.2">
      <c r="A41" s="21" t="s">
        <v>50</v>
      </c>
      <c r="B41" s="22">
        <f>B38+B37+B36</f>
        <v>10800</v>
      </c>
      <c r="C41" s="22">
        <f t="shared" ref="C41:O41" si="1">C38+C37+C36</f>
        <v>413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26445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45877</v>
      </c>
      <c r="O41" s="22">
        <f t="shared" si="1"/>
        <v>83535</v>
      </c>
      <c r="P41" s="17">
        <f>O41/O$39</f>
        <v>0.33445572620553804</v>
      </c>
      <c r="Q41" s="17" t="s">
        <v>51</v>
      </c>
      <c r="R41" s="7"/>
      <c r="S41" s="7" t="s">
        <v>52</v>
      </c>
      <c r="T41" s="20">
        <f>O33/1000</f>
        <v>14.322358600000006</v>
      </c>
      <c r="U41" s="15">
        <f>P33</f>
        <v>5.7343566726990307E-2</v>
      </c>
    </row>
    <row r="42" spans="1:47" ht="16" x14ac:dyDescent="0.2">
      <c r="A42" s="23" t="s">
        <v>53</v>
      </c>
      <c r="B42" s="22"/>
      <c r="C42" s="24">
        <f>C39+C23+C10</f>
        <v>92072</v>
      </c>
      <c r="D42" s="24">
        <f t="shared" ref="D42:M42" si="2">D39+D23+D10</f>
        <v>0</v>
      </c>
      <c r="E42" s="24">
        <f t="shared" si="2"/>
        <v>5309</v>
      </c>
      <c r="F42" s="24">
        <f t="shared" si="2"/>
        <v>6094</v>
      </c>
      <c r="G42" s="24">
        <f t="shared" si="2"/>
        <v>56327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105301.08</v>
      </c>
      <c r="O42" s="25">
        <f>SUM(C42:N42)</f>
        <v>265103.08</v>
      </c>
      <c r="P42" s="7"/>
      <c r="Q42" s="7"/>
      <c r="R42" s="7"/>
      <c r="S42" s="7" t="s">
        <v>34</v>
      </c>
      <c r="T42" s="20">
        <f>O31/1000</f>
        <v>13.053000000000001</v>
      </c>
      <c r="U42" s="15">
        <f>P31</f>
        <v>5.2261334699956759E-2</v>
      </c>
    </row>
    <row r="43" spans="1:47" ht="16" x14ac:dyDescent="0.2">
      <c r="A43" s="23" t="s">
        <v>54</v>
      </c>
      <c r="B43" s="22"/>
      <c r="C43" s="17">
        <f t="shared" ref="C43:N43" si="3">C42/$O42</f>
        <v>0.34730641379194838</v>
      </c>
      <c r="D43" s="17">
        <f t="shared" si="3"/>
        <v>0</v>
      </c>
      <c r="E43" s="17">
        <f t="shared" si="3"/>
        <v>2.0026172460915957E-2</v>
      </c>
      <c r="F43" s="17">
        <f t="shared" si="3"/>
        <v>2.2987284795031426E-2</v>
      </c>
      <c r="G43" s="17">
        <f t="shared" si="3"/>
        <v>0.21247206935505991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0.39720805959704425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39.506999999999998</v>
      </c>
      <c r="U43" s="16">
        <f>P32</f>
        <v>0.15817731938950369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72.632000000000005</v>
      </c>
      <c r="U44" s="16">
        <f>P34</f>
        <v>0.29080251757659231</v>
      </c>
    </row>
    <row r="45" spans="1:47" ht="16" x14ac:dyDescent="0.2">
      <c r="A45" s="6" t="s">
        <v>57</v>
      </c>
      <c r="B45" s="6">
        <f>B23-B39</f>
        <v>3739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7800.08</v>
      </c>
      <c r="O45" s="25">
        <f>B45+N45</f>
        <v>11539.08</v>
      </c>
      <c r="P45" s="7"/>
      <c r="Q45" s="7"/>
      <c r="R45" s="7"/>
      <c r="S45" s="7" t="s">
        <v>58</v>
      </c>
      <c r="T45" s="20">
        <f>SUM(T39:T44)</f>
        <v>249.76400000000001</v>
      </c>
      <c r="U45" s="15">
        <f>SUM(U39:U44)</f>
        <v>1</v>
      </c>
    </row>
    <row r="46" spans="1:47" x14ac:dyDescent="0.2">
      <c r="A46" s="27" t="s">
        <v>71</v>
      </c>
      <c r="B46" s="84">
        <f>B45/B23</f>
        <v>0.14956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9"/>
      <c r="Q46" s="27"/>
      <c r="R46" s="4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4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x14ac:dyDescent="0.2">
      <c r="A47" s="27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9"/>
      <c r="Q47" s="27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9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6" x14ac:dyDescent="0.2">
      <c r="A50" s="7"/>
      <c r="B50" s="7"/>
      <c r="C50" s="29"/>
      <c r="D50" s="29"/>
      <c r="E50" s="29"/>
      <c r="F50" s="29"/>
      <c r="G50" s="29"/>
      <c r="H50" s="29"/>
      <c r="I50" s="29"/>
      <c r="J50" s="29"/>
      <c r="K50" s="29"/>
      <c r="L50" s="6"/>
      <c r="M50" s="30"/>
      <c r="N50" s="7"/>
      <c r="O50" s="6"/>
      <c r="P50" s="15"/>
      <c r="Q50" s="7"/>
      <c r="R50" s="7"/>
      <c r="S50" s="6"/>
      <c r="T50" s="31"/>
    </row>
    <row r="51" spans="1:47" ht="16" x14ac:dyDescent="0.2">
      <c r="A51" s="7"/>
      <c r="B51" s="7"/>
      <c r="C51" s="29"/>
      <c r="D51" s="29"/>
      <c r="E51" s="29"/>
      <c r="F51" s="29"/>
      <c r="G51" s="29"/>
      <c r="H51" s="29"/>
      <c r="I51" s="29"/>
      <c r="J51" s="29"/>
      <c r="K51" s="29"/>
      <c r="L51" s="6"/>
      <c r="M51" s="30"/>
      <c r="N51" s="7"/>
      <c r="O51" s="6"/>
      <c r="P51" s="15"/>
      <c r="Q51" s="7"/>
      <c r="R51" s="7"/>
      <c r="S51" s="6"/>
      <c r="T51" s="31"/>
    </row>
    <row r="52" spans="1:47" ht="16" x14ac:dyDescent="0.2">
      <c r="A52" s="7"/>
      <c r="B52" s="7"/>
      <c r="C52" s="29"/>
      <c r="D52" s="29"/>
      <c r="E52" s="29"/>
      <c r="F52" s="29"/>
      <c r="G52" s="29"/>
      <c r="H52" s="29"/>
      <c r="I52" s="29"/>
      <c r="J52" s="29"/>
      <c r="K52" s="29"/>
      <c r="L52" s="6"/>
      <c r="M52" s="30"/>
      <c r="N52" s="7"/>
      <c r="O52" s="6"/>
      <c r="P52" s="15"/>
      <c r="Q52" s="7"/>
      <c r="R52" s="7"/>
      <c r="S52" s="6"/>
      <c r="T52" s="31"/>
    </row>
    <row r="53" spans="1:47" ht="16" x14ac:dyDescent="0.2">
      <c r="A53" s="23"/>
      <c r="B53" s="7"/>
      <c r="C53" s="29"/>
      <c r="D53" s="29"/>
      <c r="E53" s="29"/>
      <c r="F53" s="29"/>
      <c r="G53" s="29"/>
      <c r="H53" s="29"/>
      <c r="I53" s="29"/>
      <c r="J53" s="29"/>
      <c r="K53" s="29"/>
      <c r="L53" s="6"/>
      <c r="M53" s="30"/>
      <c r="N53" s="7"/>
      <c r="O53" s="6"/>
      <c r="P53" s="15"/>
      <c r="Q53" s="7"/>
      <c r="R53" s="7"/>
      <c r="S53" s="6"/>
      <c r="T53" s="31"/>
    </row>
    <row r="54" spans="1:47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6"/>
      <c r="M54" s="30"/>
      <c r="N54" s="7"/>
      <c r="O54" s="6"/>
      <c r="P54" s="15"/>
      <c r="Q54" s="7"/>
      <c r="R54" s="7"/>
      <c r="S54" s="32"/>
      <c r="T54" s="33"/>
    </row>
    <row r="55" spans="1:4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1:47" x14ac:dyDescent="0.2">
      <c r="A56" s="7"/>
      <c r="B56" s="34"/>
      <c r="C56" s="34"/>
      <c r="D56" s="34"/>
      <c r="E56" s="34"/>
      <c r="F56" s="34"/>
      <c r="G56" s="34"/>
      <c r="H56" s="34"/>
      <c r="I56" s="34"/>
      <c r="J56" s="7"/>
      <c r="K56" s="7"/>
      <c r="L56" s="7"/>
      <c r="M56" s="7"/>
      <c r="N56" s="7"/>
      <c r="O56" s="7"/>
      <c r="P56" s="7"/>
      <c r="Q56" s="7"/>
      <c r="R56" s="7"/>
      <c r="S56" s="34"/>
      <c r="T56" s="35"/>
    </row>
    <row r="57" spans="1:47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6"/>
      <c r="P57" s="30"/>
      <c r="Q57" s="7"/>
      <c r="R57" s="7"/>
      <c r="S57" s="6"/>
      <c r="T57" s="31"/>
    </row>
    <row r="58" spans="1:47" ht="16" x14ac:dyDescent="0.2">
      <c r="A58" s="7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6"/>
      <c r="P58" s="30"/>
      <c r="Q58" s="7"/>
      <c r="R58" s="7"/>
      <c r="S58" s="6"/>
      <c r="T58" s="31"/>
    </row>
    <row r="59" spans="1:47" ht="16" x14ac:dyDescent="0.2">
      <c r="A59" s="7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6"/>
      <c r="P59" s="30"/>
      <c r="Q59" s="7"/>
      <c r="R59" s="7"/>
      <c r="S59" s="6"/>
      <c r="T59" s="31"/>
    </row>
    <row r="60" spans="1:47" ht="16" x14ac:dyDescent="0.2">
      <c r="A60" s="7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6"/>
      <c r="P60" s="30"/>
      <c r="Q60" s="7"/>
      <c r="R60" s="7"/>
      <c r="S60" s="6"/>
      <c r="T60" s="31"/>
    </row>
    <row r="61" spans="1:47" ht="16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6"/>
      <c r="P61" s="30"/>
      <c r="Q61" s="7"/>
      <c r="R61" s="7"/>
      <c r="S61" s="6"/>
      <c r="T61" s="31"/>
    </row>
    <row r="62" spans="1:47" ht="16" x14ac:dyDescent="0.2">
      <c r="A62" s="7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6"/>
      <c r="P62" s="30"/>
      <c r="Q62" s="7"/>
      <c r="R62" s="7"/>
      <c r="S62" s="6"/>
      <c r="T62" s="31"/>
    </row>
    <row r="63" spans="1:47" ht="16" x14ac:dyDescent="0.2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M63" s="7"/>
      <c r="N63" s="7"/>
      <c r="O63" s="32"/>
      <c r="P63" s="36"/>
      <c r="Q63" s="7"/>
      <c r="R63" s="37"/>
      <c r="S63" s="32"/>
      <c r="T63" s="36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U70"/>
  <sheetViews>
    <sheetView topLeftCell="B8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5.75" x14ac:dyDescent="0.25">
      <c r="A2" s="8" t="s">
        <v>59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13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8">
        <v>70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3"/>
      <c r="U9" s="53"/>
      <c r="V9" s="52"/>
      <c r="W9" s="52"/>
      <c r="X9" s="52"/>
      <c r="Y9" s="53"/>
      <c r="Z9" s="52"/>
      <c r="AA9" s="52"/>
      <c r="AB9" s="52"/>
      <c r="AC9" s="52"/>
      <c r="AD9" s="52"/>
      <c r="AE9" s="52"/>
      <c r="AF9" s="52"/>
      <c r="AG9" s="53"/>
      <c r="AH9" s="44"/>
      <c r="AI9" s="44"/>
    </row>
    <row r="10" spans="1:35" ht="16" x14ac:dyDescent="0.2">
      <c r="A10" s="8" t="s">
        <v>16</v>
      </c>
      <c r="B10" s="58">
        <v>83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3"/>
      <c r="U10" s="53"/>
      <c r="V10" s="52"/>
      <c r="W10" s="52"/>
      <c r="X10" s="52"/>
      <c r="Y10" s="53"/>
      <c r="Z10" s="52"/>
      <c r="AA10" s="52"/>
      <c r="AB10" s="52"/>
      <c r="AC10" s="52"/>
      <c r="AD10" s="52"/>
      <c r="AE10" s="52"/>
      <c r="AF10" s="52"/>
      <c r="AG10" s="53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5.75" x14ac:dyDescent="0.25">
      <c r="A14" s="4" t="s">
        <v>59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/>
      <c r="K17" s="52"/>
      <c r="L17" s="52"/>
      <c r="M17" s="52"/>
      <c r="N17" s="52"/>
      <c r="O17" s="52">
        <v>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61">
        <v>20000</v>
      </c>
      <c r="C18" s="61">
        <v>600</v>
      </c>
      <c r="D18" s="52">
        <v>0</v>
      </c>
      <c r="E18" s="52">
        <v>0</v>
      </c>
      <c r="F18" s="52">
        <v>0</v>
      </c>
      <c r="G18" s="61">
        <v>22300</v>
      </c>
      <c r="H18" s="52">
        <v>0</v>
      </c>
      <c r="I18" s="52"/>
      <c r="J18" s="52"/>
      <c r="K18" s="52"/>
      <c r="L18" s="52"/>
      <c r="M18" s="52"/>
      <c r="N18" s="52"/>
      <c r="O18" s="61">
        <v>22900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188.90644</v>
      </c>
      <c r="U21" s="3"/>
    </row>
    <row r="22" spans="1:21" ht="16" x14ac:dyDescent="0.2">
      <c r="A22" s="8" t="s">
        <v>25</v>
      </c>
      <c r="B22" s="63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v>20000</v>
      </c>
      <c r="C23" s="61">
        <v>600</v>
      </c>
      <c r="D23" s="52">
        <v>0</v>
      </c>
      <c r="E23" s="52">
        <v>0</v>
      </c>
      <c r="F23" s="52">
        <v>0</v>
      </c>
      <c r="G23" s="61">
        <v>22300</v>
      </c>
      <c r="H23" s="52">
        <v>0</v>
      </c>
      <c r="I23" s="52"/>
      <c r="J23" s="52"/>
      <c r="K23" s="52"/>
      <c r="L23" s="52"/>
      <c r="M23" s="52"/>
      <c r="N23" s="52"/>
      <c r="O23" s="61">
        <v>22900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55.63944</v>
      </c>
      <c r="U24" s="15">
        <f>N43</f>
        <v>0.29453437373548513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43.789000000000001</v>
      </c>
      <c r="U25" s="16">
        <f>G43</f>
        <v>0.23180257909682697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6.2329999999999997</v>
      </c>
      <c r="U27" s="15">
        <f>F43</f>
        <v>3.2995169460607057E-2</v>
      </c>
    </row>
    <row r="28" spans="1:21" ht="15.75" x14ac:dyDescent="0.25">
      <c r="A28" s="4" t="s">
        <v>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0</v>
      </c>
      <c r="U28" s="15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7645</v>
      </c>
      <c r="D31" s="52">
        <v>0</v>
      </c>
      <c r="E31" s="52">
        <v>0</v>
      </c>
      <c r="F31" s="52">
        <v>694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1778</v>
      </c>
      <c r="O31" s="52">
        <v>10117</v>
      </c>
      <c r="P31" s="17">
        <f>O31/O$39</f>
        <v>5.6496197102873673E-2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55">
        <v>665</v>
      </c>
      <c r="C32" s="52">
        <v>632</v>
      </c>
      <c r="D32" s="52">
        <v>0</v>
      </c>
      <c r="E32" s="52">
        <v>0</v>
      </c>
      <c r="F32" s="52">
        <v>0</v>
      </c>
      <c r="G32" s="55">
        <f>1265-376</f>
        <v>889</v>
      </c>
      <c r="H32" s="52">
        <v>0</v>
      </c>
      <c r="I32" s="52"/>
      <c r="J32" s="52"/>
      <c r="K32" s="52"/>
      <c r="L32" s="52"/>
      <c r="M32" s="44"/>
      <c r="N32" s="55">
        <v>1886</v>
      </c>
      <c r="O32" s="52">
        <v>4072</v>
      </c>
      <c r="P32" s="17">
        <f>O32/O$39</f>
        <v>2.273920278767437E-2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57">
        <f>O33-SUM(C33:N33)</f>
        <v>3519</v>
      </c>
      <c r="C33" s="52">
        <v>685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2836</v>
      </c>
      <c r="O33" s="61">
        <f>O39-SUM(O34:O38,O31:O32)</f>
        <v>7040</v>
      </c>
      <c r="P33" s="17">
        <f>O33/O$39</f>
        <v>3.9313356489495965E-2</v>
      </c>
      <c r="Q33" s="18" t="s">
        <v>39</v>
      </c>
      <c r="R33" s="3"/>
      <c r="S33" s="3" t="s">
        <v>35</v>
      </c>
      <c r="T33" s="14">
        <f>C42/1000</f>
        <v>83.245000000000005</v>
      </c>
      <c r="U33" s="16">
        <f>C43</f>
        <v>0.44066787770708082</v>
      </c>
    </row>
    <row r="34" spans="1:47" ht="15.75" x14ac:dyDescent="0.25">
      <c r="A34" s="8" t="s">
        <v>40</v>
      </c>
      <c r="B34" s="52">
        <v>0</v>
      </c>
      <c r="C34" s="52">
        <v>72794</v>
      </c>
      <c r="D34" s="52">
        <v>0</v>
      </c>
      <c r="E34" s="52">
        <v>0</v>
      </c>
      <c r="F34" s="52">
        <v>5539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23</v>
      </c>
      <c r="O34" s="52">
        <v>78356</v>
      </c>
      <c r="P34" s="17">
        <f>O34/O$39</f>
        <v>0.43756212515496384</v>
      </c>
      <c r="Q34" s="18" t="s">
        <v>41</v>
      </c>
      <c r="R34" s="3"/>
      <c r="S34" s="3"/>
      <c r="T34" s="14">
        <f>SUM(T24:T33)</f>
        <v>188.90644</v>
      </c>
      <c r="U34" s="15">
        <f>SUM(U24:U33)</f>
        <v>1</v>
      </c>
    </row>
    <row r="35" spans="1:47" ht="16" x14ac:dyDescent="0.2">
      <c r="A35" s="8" t="s">
        <v>42</v>
      </c>
      <c r="B35" s="55">
        <f>2227-376</f>
        <v>1851</v>
      </c>
      <c r="C35" s="55">
        <v>371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5">
        <f>376+16917</f>
        <v>17293</v>
      </c>
      <c r="O35" s="52">
        <v>19515</v>
      </c>
      <c r="P35" s="17">
        <f>O35/O$39</f>
        <v>0.10897729430291388</v>
      </c>
      <c r="Q35" s="18" t="s">
        <v>43</v>
      </c>
      <c r="R35" s="18"/>
    </row>
    <row r="36" spans="1:47" ht="16" x14ac:dyDescent="0.2">
      <c r="A36" s="8" t="s">
        <v>44</v>
      </c>
      <c r="B36" s="55">
        <f>O36-N36-G36-C36</f>
        <v>154</v>
      </c>
      <c r="C36" s="52">
        <v>518</v>
      </c>
      <c r="D36" s="52">
        <v>0</v>
      </c>
      <c r="E36" s="52">
        <v>0</v>
      </c>
      <c r="F36" s="52">
        <v>0</v>
      </c>
      <c r="G36" s="55">
        <v>20600</v>
      </c>
      <c r="H36" s="52">
        <v>0</v>
      </c>
      <c r="I36" s="52"/>
      <c r="J36" s="52"/>
      <c r="K36" s="52"/>
      <c r="L36" s="52"/>
      <c r="M36" s="44"/>
      <c r="N36" s="52">
        <v>21928</v>
      </c>
      <c r="O36" s="52">
        <v>43200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61">
        <v>11000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3367</v>
      </c>
      <c r="O37" s="61">
        <f>SUM(B37:N37)</f>
        <v>14367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2407</v>
      </c>
      <c r="O38" s="52">
        <v>2407</v>
      </c>
      <c r="P38" s="18">
        <f>SUM(P31:P35)</f>
        <v>0.66508817583792179</v>
      </c>
      <c r="Q38" s="18"/>
      <c r="R38" s="3"/>
      <c r="S38" s="7" t="s">
        <v>47</v>
      </c>
      <c r="T38" s="19">
        <f>O45/1000</f>
        <v>6.9324400000000006</v>
      </c>
      <c r="U38" s="7"/>
    </row>
    <row r="39" spans="1:47" ht="16" x14ac:dyDescent="0.2">
      <c r="A39" s="8" t="s">
        <v>16</v>
      </c>
      <c r="B39" s="52">
        <v>17189</v>
      </c>
      <c r="C39" s="55">
        <f>SUM(C31:C38)</f>
        <v>82645</v>
      </c>
      <c r="D39" s="52">
        <v>0</v>
      </c>
      <c r="E39" s="52">
        <v>0</v>
      </c>
      <c r="F39" s="52">
        <v>6233</v>
      </c>
      <c r="G39" s="55">
        <f>SUM(G31:G38)</f>
        <v>21489</v>
      </c>
      <c r="H39" s="52">
        <v>0</v>
      </c>
      <c r="I39" s="52"/>
      <c r="J39" s="52"/>
      <c r="K39" s="52"/>
      <c r="L39" s="52"/>
      <c r="M39" s="44"/>
      <c r="N39" s="55">
        <f>SUM(N31:N38)</f>
        <v>51518</v>
      </c>
      <c r="O39" s="52">
        <v>179074</v>
      </c>
      <c r="P39" s="3"/>
      <c r="Q39" s="3"/>
      <c r="R39" s="3"/>
      <c r="S39" s="7" t="s">
        <v>48</v>
      </c>
      <c r="T39" s="20">
        <f>O41/1000</f>
        <v>59.973999999999997</v>
      </c>
      <c r="U39" s="15">
        <f>P41</f>
        <v>0.33491182416207826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19.515000000000001</v>
      </c>
      <c r="U40" s="16">
        <f>P35</f>
        <v>0.10897729430291388</v>
      </c>
    </row>
    <row r="41" spans="1:47" ht="16" x14ac:dyDescent="0.2">
      <c r="A41" s="21" t="s">
        <v>50</v>
      </c>
      <c r="B41" s="22">
        <f>B38+B37+B36</f>
        <v>11154</v>
      </c>
      <c r="C41" s="22">
        <f t="shared" ref="C41:O41" si="0">C38+C37+C36</f>
        <v>518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20600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27702</v>
      </c>
      <c r="O41" s="22">
        <f t="shared" si="0"/>
        <v>59974</v>
      </c>
      <c r="P41" s="17">
        <f>O41/O$39</f>
        <v>0.33491182416207826</v>
      </c>
      <c r="Q41" s="17" t="s">
        <v>51</v>
      </c>
      <c r="R41" s="7"/>
      <c r="S41" s="7" t="s">
        <v>52</v>
      </c>
      <c r="T41" s="20">
        <f>O33/1000</f>
        <v>7.04</v>
      </c>
      <c r="U41" s="15">
        <f>P33</f>
        <v>3.9313356489495965E-2</v>
      </c>
    </row>
    <row r="42" spans="1:47" ht="16" x14ac:dyDescent="0.2">
      <c r="A42" s="23" t="s">
        <v>53</v>
      </c>
      <c r="B42" s="22"/>
      <c r="C42" s="24">
        <f>C39+C23+C10</f>
        <v>83245</v>
      </c>
      <c r="D42" s="24">
        <f t="shared" ref="D42:M42" si="1">D39+D23+D10</f>
        <v>0</v>
      </c>
      <c r="E42" s="24">
        <f t="shared" si="1"/>
        <v>0</v>
      </c>
      <c r="F42" s="24">
        <f t="shared" si="1"/>
        <v>6233</v>
      </c>
      <c r="G42" s="24">
        <f t="shared" si="1"/>
        <v>43789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55639.44</v>
      </c>
      <c r="O42" s="25">
        <f>SUM(C42:N42)</f>
        <v>188906.44</v>
      </c>
      <c r="P42" s="7"/>
      <c r="Q42" s="7"/>
      <c r="R42" s="7"/>
      <c r="S42" s="7" t="s">
        <v>34</v>
      </c>
      <c r="T42" s="20">
        <f>O31/1000</f>
        <v>10.117000000000001</v>
      </c>
      <c r="U42" s="15">
        <f>P31</f>
        <v>5.6496197102873673E-2</v>
      </c>
    </row>
    <row r="43" spans="1:47" ht="16" x14ac:dyDescent="0.2">
      <c r="A43" s="23" t="s">
        <v>54</v>
      </c>
      <c r="B43" s="22"/>
      <c r="C43" s="17">
        <f t="shared" ref="C43:N43" si="2">C42/$O42</f>
        <v>0.44066787770708082</v>
      </c>
      <c r="D43" s="17">
        <f t="shared" si="2"/>
        <v>0</v>
      </c>
      <c r="E43" s="17">
        <f t="shared" si="2"/>
        <v>0</v>
      </c>
      <c r="F43" s="17">
        <f t="shared" si="2"/>
        <v>3.2995169460607057E-2</v>
      </c>
      <c r="G43" s="17">
        <f t="shared" si="2"/>
        <v>0.23180257909682697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0.29453437373548513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4.0720000000000001</v>
      </c>
      <c r="U43" s="16">
        <f>P32</f>
        <v>2.273920278767437E-2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78.355999999999995</v>
      </c>
      <c r="U44" s="16">
        <f>P34</f>
        <v>0.43756212515496384</v>
      </c>
    </row>
    <row r="45" spans="1:47" ht="16" x14ac:dyDescent="0.2">
      <c r="A45" s="6" t="s">
        <v>57</v>
      </c>
      <c r="B45" s="6">
        <f>B23-B39</f>
        <v>2811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4121.4400000000005</v>
      </c>
      <c r="O45" s="25">
        <f>B45+N45</f>
        <v>6932.4400000000005</v>
      </c>
      <c r="P45" s="7"/>
      <c r="Q45" s="7"/>
      <c r="R45" s="7"/>
      <c r="S45" s="7" t="s">
        <v>58</v>
      </c>
      <c r="T45" s="20">
        <f>SUM(T39:T44)</f>
        <v>179.07400000000001</v>
      </c>
      <c r="U45" s="15">
        <f>SUM(U39:U44)</f>
        <v>1</v>
      </c>
    </row>
    <row r="46" spans="1:47" ht="16" x14ac:dyDescent="0.2">
      <c r="A46" s="6" t="s">
        <v>71</v>
      </c>
      <c r="B46" s="15">
        <f>B45/B23</f>
        <v>0.14055000000000001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65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65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65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x14ac:dyDescent="0.2">
      <c r="A51" s="27"/>
      <c r="B51" s="4"/>
      <c r="C51" s="27"/>
      <c r="D51" s="27"/>
      <c r="E51" s="27"/>
      <c r="F51" s="27"/>
      <c r="G51" s="27"/>
      <c r="H51" s="27"/>
      <c r="I51" s="4"/>
      <c r="J51" s="27"/>
      <c r="K51" s="9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U70"/>
  <sheetViews>
    <sheetView topLeftCell="A10" workbookViewId="0">
      <selection activeCell="U27" sqref="U27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2" width="8.5" style="2" customWidth="1"/>
    <col min="13" max="13" width="5.5" style="2" customWidth="1"/>
    <col min="14" max="14" width="8.83203125" style="2"/>
    <col min="15" max="15" width="11" style="2" customWidth="1"/>
    <col min="16" max="16" width="8.83203125" style="2" customWidth="1"/>
    <col min="17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6" x14ac:dyDescent="0.2">
      <c r="A2" s="8" t="s">
        <v>60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152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67">
        <v>72201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5">
        <v>13410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44"/>
      <c r="AI9" s="44"/>
    </row>
    <row r="10" spans="1:35" ht="16" x14ac:dyDescent="0.2">
      <c r="A10" s="8" t="s">
        <v>16</v>
      </c>
      <c r="B10" s="58">
        <f>SUM(B4:B8)</f>
        <v>85763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6" x14ac:dyDescent="0.2">
      <c r="A14" s="4" t="s">
        <v>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70</v>
      </c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9">
        <v>292207</v>
      </c>
      <c r="C17" s="59">
        <v>7499</v>
      </c>
      <c r="D17" s="52">
        <v>0</v>
      </c>
      <c r="E17" s="52">
        <v>0</v>
      </c>
      <c r="F17" s="52">
        <v>0</v>
      </c>
      <c r="G17" s="59">
        <v>75656</v>
      </c>
      <c r="H17" s="59">
        <v>783</v>
      </c>
      <c r="I17" s="52"/>
      <c r="J17" s="52"/>
      <c r="K17" s="52"/>
      <c r="L17" s="59">
        <f>334954</f>
        <v>334954</v>
      </c>
      <c r="M17" s="52"/>
      <c r="N17" s="59">
        <v>18615</v>
      </c>
      <c r="O17" s="59">
        <f>SUM(C17:N17)</f>
        <v>437507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59">
        <v>0</v>
      </c>
      <c r="C18" s="59">
        <v>0</v>
      </c>
      <c r="D18" s="52">
        <v>0</v>
      </c>
      <c r="E18" s="52">
        <v>0</v>
      </c>
      <c r="F18" s="52">
        <v>0</v>
      </c>
      <c r="G18" s="59">
        <v>0</v>
      </c>
      <c r="H18" s="59">
        <v>0</v>
      </c>
      <c r="I18" s="52"/>
      <c r="J18" s="52"/>
      <c r="K18" s="52"/>
      <c r="L18" s="52"/>
      <c r="M18" s="52"/>
      <c r="N18" s="52"/>
      <c r="O18" s="59">
        <v>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1674.5581200000001</v>
      </c>
      <c r="U21" s="3"/>
    </row>
    <row r="22" spans="1:21" ht="16" x14ac:dyDescent="0.2">
      <c r="A22" s="8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9">
        <f>B17</f>
        <v>292207</v>
      </c>
      <c r="C23" s="59">
        <f t="shared" ref="C23:O23" si="0">C17</f>
        <v>7499</v>
      </c>
      <c r="D23" s="67">
        <f t="shared" si="0"/>
        <v>0</v>
      </c>
      <c r="E23" s="67">
        <f t="shared" si="0"/>
        <v>0</v>
      </c>
      <c r="F23" s="67">
        <f t="shared" si="0"/>
        <v>0</v>
      </c>
      <c r="G23" s="59">
        <f t="shared" si="0"/>
        <v>75656</v>
      </c>
      <c r="H23" s="59">
        <f t="shared" si="0"/>
        <v>783</v>
      </c>
      <c r="I23" s="67"/>
      <c r="J23" s="67"/>
      <c r="K23" s="67"/>
      <c r="L23" s="59">
        <f t="shared" si="0"/>
        <v>334954</v>
      </c>
      <c r="M23" s="67"/>
      <c r="N23" s="59">
        <f>N17</f>
        <v>18615</v>
      </c>
      <c r="O23" s="59">
        <f t="shared" si="0"/>
        <v>437507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8"/>
      <c r="O24" s="3"/>
      <c r="P24" s="3"/>
      <c r="Q24" s="3"/>
      <c r="R24" s="3"/>
      <c r="S24" s="3" t="s">
        <v>10</v>
      </c>
      <c r="T24" s="14">
        <f>N42/1000</f>
        <v>468.04212000000001</v>
      </c>
      <c r="U24" s="15">
        <f>N43</f>
        <v>0.27950186643865188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131.31299999999999</v>
      </c>
      <c r="U25" s="16">
        <f>G43</f>
        <v>7.8416507872536539E-2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70</v>
      </c>
      <c r="T26" s="14">
        <f>L42/1000</f>
        <v>334.95400000000001</v>
      </c>
      <c r="U26" s="15">
        <f>L43</f>
        <v>0.20002530578036909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54.622</v>
      </c>
      <c r="U27" s="15">
        <f>F43</f>
        <v>3.2618754373243249E-2</v>
      </c>
    </row>
    <row r="28" spans="1:21" ht="16" x14ac:dyDescent="0.2">
      <c r="A28" s="4" t="s">
        <v>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0</v>
      </c>
      <c r="U28" s="15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24118</v>
      </c>
      <c r="D31" s="52">
        <v>0</v>
      </c>
      <c r="E31" s="52">
        <v>0</v>
      </c>
      <c r="F31" s="52">
        <v>1865</v>
      </c>
      <c r="G31" s="59">
        <f>1050*0.9</f>
        <v>945</v>
      </c>
      <c r="H31" s="52">
        <v>0</v>
      </c>
      <c r="I31" s="52"/>
      <c r="J31" s="52"/>
      <c r="K31" s="52"/>
      <c r="L31" s="52"/>
      <c r="M31" s="44"/>
      <c r="N31" s="52">
        <v>23143</v>
      </c>
      <c r="O31" s="59">
        <f>945+49126</f>
        <v>50071</v>
      </c>
      <c r="P31" s="17">
        <f>O31/O$39</f>
        <v>3.2796624379712744E-2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59">
        <v>5600</v>
      </c>
      <c r="C32" s="55">
        <f>C39-SUM(C33:C38,C31)</f>
        <v>9322</v>
      </c>
      <c r="D32" s="52">
        <v>0</v>
      </c>
      <c r="E32" s="52">
        <v>0</v>
      </c>
      <c r="F32" s="52">
        <v>0</v>
      </c>
      <c r="G32" s="55">
        <v>1412</v>
      </c>
      <c r="H32" s="52">
        <v>0</v>
      </c>
      <c r="I32" s="52"/>
      <c r="J32" s="52"/>
      <c r="K32" s="52"/>
      <c r="L32" s="52"/>
      <c r="M32" s="44"/>
      <c r="N32" s="55">
        <v>35507</v>
      </c>
      <c r="O32" s="59">
        <f>SUM(B32:N32)</f>
        <v>51841</v>
      </c>
      <c r="P32" s="17">
        <f>O32/O$39</f>
        <v>3.3955978599762106E-2</v>
      </c>
      <c r="Q32" s="18" t="s">
        <v>37</v>
      </c>
      <c r="R32" s="3"/>
      <c r="S32" s="3" t="s">
        <v>6</v>
      </c>
      <c r="T32" s="14">
        <f>H42/1000</f>
        <v>0.78300000000000003</v>
      </c>
      <c r="U32" s="15">
        <f>H43</f>
        <v>4.6758603995184113E-4</v>
      </c>
    </row>
    <row r="33" spans="1:47" ht="15.75" x14ac:dyDescent="0.25">
      <c r="A33" s="8" t="s">
        <v>38</v>
      </c>
      <c r="B33" s="59">
        <v>23400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61868</v>
      </c>
      <c r="O33" s="59">
        <f>SUM(B33:N33)</f>
        <v>85268</v>
      </c>
      <c r="P33" s="17">
        <f>O33/O$39</f>
        <v>5.5850743296705599E-2</v>
      </c>
      <c r="Q33" s="18" t="s">
        <v>39</v>
      </c>
      <c r="R33" s="3"/>
      <c r="S33" s="3" t="s">
        <v>35</v>
      </c>
      <c r="T33" s="14">
        <f>C42/1000</f>
        <v>684.84400000000005</v>
      </c>
      <c r="U33" s="16">
        <f>C43</f>
        <v>0.40896997949524733</v>
      </c>
    </row>
    <row r="34" spans="1:47" ht="15.75" x14ac:dyDescent="0.25">
      <c r="A34" s="8" t="s">
        <v>40</v>
      </c>
      <c r="B34" s="52">
        <v>0</v>
      </c>
      <c r="C34" s="52">
        <v>635742</v>
      </c>
      <c r="D34" s="52">
        <v>0</v>
      </c>
      <c r="E34" s="52">
        <v>0</v>
      </c>
      <c r="F34" s="52">
        <v>52756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19509</v>
      </c>
      <c r="O34" s="67">
        <f t="shared" ref="O34:O38" si="1">SUM(B34:N34)</f>
        <v>708007</v>
      </c>
      <c r="P34" s="17">
        <f>O34/O$39</f>
        <v>0.46374627303643384</v>
      </c>
      <c r="Q34" s="18" t="s">
        <v>41</v>
      </c>
      <c r="R34" s="3"/>
      <c r="S34" s="3"/>
      <c r="T34" s="14">
        <f>SUM(T24:T33)</f>
        <v>1674.5581199999999</v>
      </c>
      <c r="U34" s="15">
        <f>SUM(U24:U33)</f>
        <v>1</v>
      </c>
    </row>
    <row r="35" spans="1:47" ht="16" x14ac:dyDescent="0.2">
      <c r="A35" s="8" t="s">
        <v>42</v>
      </c>
      <c r="B35" s="59">
        <v>74400</v>
      </c>
      <c r="C35" s="52">
        <v>6660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149676</v>
      </c>
      <c r="O35" s="59">
        <f t="shared" si="1"/>
        <v>230736</v>
      </c>
      <c r="P35" s="17">
        <f>O35/O$39</f>
        <v>0.15113263012277364</v>
      </c>
      <c r="Q35" s="18" t="s">
        <v>43</v>
      </c>
      <c r="R35" s="18"/>
    </row>
    <row r="36" spans="1:47" ht="16" x14ac:dyDescent="0.2">
      <c r="A36" s="8" t="s">
        <v>44</v>
      </c>
      <c r="B36" s="59">
        <v>21500</v>
      </c>
      <c r="C36" s="55">
        <v>1359</v>
      </c>
      <c r="D36" s="52">
        <v>0</v>
      </c>
      <c r="E36" s="52">
        <v>0</v>
      </c>
      <c r="F36" s="52">
        <v>0</v>
      </c>
      <c r="G36" s="55">
        <v>53300</v>
      </c>
      <c r="H36" s="52">
        <v>0</v>
      </c>
      <c r="I36" s="52"/>
      <c r="J36" s="52"/>
      <c r="K36" s="52"/>
      <c r="L36" s="52"/>
      <c r="M36" s="44"/>
      <c r="N36" s="52">
        <v>130822</v>
      </c>
      <c r="O36" s="59">
        <f t="shared" si="1"/>
        <v>206981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59">
        <v>131200</v>
      </c>
      <c r="C37" s="52">
        <v>144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30830</v>
      </c>
      <c r="O37" s="59">
        <f t="shared" si="1"/>
        <v>162174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31634</v>
      </c>
      <c r="O38" s="67">
        <f t="shared" si="1"/>
        <v>31634</v>
      </c>
      <c r="P38" s="18">
        <f>SUM(P31:P35)</f>
        <v>0.73748224943538798</v>
      </c>
      <c r="Q38" s="18"/>
      <c r="R38" s="3"/>
      <c r="S38" s="7" t="s">
        <v>47</v>
      </c>
      <c r="T38" s="19">
        <f>O45/1000</f>
        <v>74.746119999999991</v>
      </c>
      <c r="U38" s="7"/>
    </row>
    <row r="39" spans="1:47" ht="16" x14ac:dyDescent="0.2">
      <c r="A39" s="8" t="s">
        <v>16</v>
      </c>
      <c r="B39" s="59">
        <v>256100</v>
      </c>
      <c r="C39" s="52">
        <v>677345</v>
      </c>
      <c r="D39" s="52">
        <v>0</v>
      </c>
      <c r="E39" s="52">
        <v>0</v>
      </c>
      <c r="F39" s="52">
        <v>54622</v>
      </c>
      <c r="G39" s="55">
        <f>SUM(G31:G38)</f>
        <v>55657</v>
      </c>
      <c r="H39" s="52">
        <v>0</v>
      </c>
      <c r="I39" s="52"/>
      <c r="J39" s="52"/>
      <c r="K39" s="52"/>
      <c r="L39" s="52"/>
      <c r="M39" s="44"/>
      <c r="N39" s="55">
        <v>482989</v>
      </c>
      <c r="O39" s="59">
        <f>SUM(O31:O38)</f>
        <v>1526712</v>
      </c>
      <c r="P39" s="3"/>
      <c r="Q39" s="3"/>
      <c r="R39" s="3"/>
      <c r="S39" s="7" t="s">
        <v>48</v>
      </c>
      <c r="T39" s="20">
        <f>O41/1000</f>
        <v>400.78899999999999</v>
      </c>
      <c r="U39" s="15">
        <f>P41</f>
        <v>0.26251775056461207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230.73599999999999</v>
      </c>
      <c r="U40" s="16">
        <f>P35</f>
        <v>0.15113263012277364</v>
      </c>
    </row>
    <row r="41" spans="1:47" ht="16" x14ac:dyDescent="0.2">
      <c r="A41" s="21" t="s">
        <v>50</v>
      </c>
      <c r="B41" s="22">
        <f>B38+B37+B36</f>
        <v>152700</v>
      </c>
      <c r="C41" s="22">
        <f t="shared" ref="C41:O41" si="2">C38+C37+C36</f>
        <v>1503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53300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193286</v>
      </c>
      <c r="O41" s="22">
        <f t="shared" si="2"/>
        <v>400789</v>
      </c>
      <c r="P41" s="17">
        <f>O41/O$39</f>
        <v>0.26251775056461207</v>
      </c>
      <c r="Q41" s="17" t="s">
        <v>51</v>
      </c>
      <c r="R41" s="7"/>
      <c r="S41" s="7" t="s">
        <v>52</v>
      </c>
      <c r="T41" s="20">
        <f>O33/1000</f>
        <v>85.268000000000001</v>
      </c>
      <c r="U41" s="15">
        <f>P33</f>
        <v>5.5850743296705599E-2</v>
      </c>
    </row>
    <row r="42" spans="1:47" ht="16" x14ac:dyDescent="0.2">
      <c r="A42" s="23" t="s">
        <v>53</v>
      </c>
      <c r="B42" s="22"/>
      <c r="C42" s="24">
        <f>C39+C23+C10</f>
        <v>684844</v>
      </c>
      <c r="D42" s="24">
        <f t="shared" ref="D42:M42" si="3">D39+D23+D10</f>
        <v>0</v>
      </c>
      <c r="E42" s="24">
        <f t="shared" si="3"/>
        <v>0</v>
      </c>
      <c r="F42" s="24">
        <f t="shared" si="3"/>
        <v>54622</v>
      </c>
      <c r="G42" s="24">
        <f t="shared" si="3"/>
        <v>131313</v>
      </c>
      <c r="H42" s="24">
        <f t="shared" si="3"/>
        <v>783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334954</v>
      </c>
      <c r="M42" s="24">
        <f t="shared" si="3"/>
        <v>0</v>
      </c>
      <c r="N42" s="24">
        <f>N39+N23-B6+N45</f>
        <v>468042.12</v>
      </c>
      <c r="O42" s="25">
        <f>SUM(C42:N42)</f>
        <v>1674558.12</v>
      </c>
      <c r="P42" s="7"/>
      <c r="Q42" s="7"/>
      <c r="R42" s="7"/>
      <c r="S42" s="7" t="s">
        <v>34</v>
      </c>
      <c r="T42" s="20">
        <f>O31/1000</f>
        <v>50.070999999999998</v>
      </c>
      <c r="U42" s="15">
        <f>P31</f>
        <v>3.2796624379712744E-2</v>
      </c>
    </row>
    <row r="43" spans="1:47" ht="16" x14ac:dyDescent="0.2">
      <c r="A43" s="23" t="s">
        <v>54</v>
      </c>
      <c r="B43" s="22"/>
      <c r="C43" s="17">
        <f t="shared" ref="C43:N43" si="4">C42/$O42</f>
        <v>0.40896997949524733</v>
      </c>
      <c r="D43" s="17">
        <f t="shared" si="4"/>
        <v>0</v>
      </c>
      <c r="E43" s="17">
        <f t="shared" si="4"/>
        <v>0</v>
      </c>
      <c r="F43" s="17">
        <f t="shared" si="4"/>
        <v>3.2618754373243249E-2</v>
      </c>
      <c r="G43" s="17">
        <f t="shared" si="4"/>
        <v>7.8416507872536539E-2</v>
      </c>
      <c r="H43" s="17">
        <f t="shared" si="4"/>
        <v>4.6758603995184113E-4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0.20002530578036909</v>
      </c>
      <c r="M43" s="17">
        <f t="shared" si="4"/>
        <v>0</v>
      </c>
      <c r="N43" s="17">
        <f t="shared" si="4"/>
        <v>0.27950186643865188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51.841000000000001</v>
      </c>
      <c r="U43" s="16">
        <f>P32</f>
        <v>3.3955978599762106E-2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708.00699999999995</v>
      </c>
      <c r="U44" s="16">
        <f>P34</f>
        <v>0.46374627303643384</v>
      </c>
    </row>
    <row r="45" spans="1:47" ht="16" x14ac:dyDescent="0.2">
      <c r="A45" s="6" t="s">
        <v>57</v>
      </c>
      <c r="B45" s="6">
        <f>B23-B39</f>
        <v>36107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38639.120000000003</v>
      </c>
      <c r="O45" s="25">
        <f>B45+N45</f>
        <v>74746.12</v>
      </c>
      <c r="P45" s="7"/>
      <c r="Q45" s="7"/>
      <c r="R45" s="7"/>
      <c r="S45" s="7" t="s">
        <v>58</v>
      </c>
      <c r="T45" s="20">
        <f>SUM(T39:T44)</f>
        <v>1526.712</v>
      </c>
      <c r="U45" s="15">
        <f>SUM(U39:U44)</f>
        <v>1</v>
      </c>
    </row>
    <row r="46" spans="1:47" ht="16" x14ac:dyDescent="0.2">
      <c r="A46" s="6" t="s">
        <v>71</v>
      </c>
      <c r="B46" s="85">
        <f>B45/B23</f>
        <v>0.12356651278032353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A48" s="27"/>
      <c r="B48" s="27"/>
      <c r="C48" s="27"/>
      <c r="D48" s="27"/>
      <c r="E48" s="27"/>
      <c r="F48" s="28"/>
      <c r="G48" s="27"/>
      <c r="H48" s="28"/>
      <c r="I48" s="28"/>
      <c r="J48" s="28"/>
      <c r="K48" s="28"/>
      <c r="L48" s="28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">
      <c r="A49" s="27"/>
      <c r="B49" s="4"/>
      <c r="C49" s="41"/>
      <c r="D49" s="41"/>
      <c r="E49" s="41"/>
      <c r="F49" s="41"/>
      <c r="G49" s="41"/>
      <c r="H49" s="41"/>
      <c r="I49" s="41"/>
      <c r="J49" s="41"/>
      <c r="K49" s="41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6" x14ac:dyDescent="0.2">
      <c r="A50" s="27"/>
      <c r="B50" s="4"/>
      <c r="C50"/>
      <c r="D50" s="27"/>
      <c r="E50" s="27"/>
      <c r="F50" s="27"/>
      <c r="G50" s="27"/>
      <c r="H50" s="27"/>
      <c r="I50"/>
      <c r="J50"/>
      <c r="K50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x14ac:dyDescent="0.2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8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2">
      <c r="A55" s="27"/>
      <c r="B55" s="4"/>
      <c r="C55" s="27"/>
      <c r="D55" s="27"/>
      <c r="E55" s="27"/>
      <c r="F55" s="28"/>
      <c r="G55" s="27"/>
      <c r="H55" s="28"/>
      <c r="I55" s="28"/>
      <c r="J55" s="28"/>
      <c r="K55" s="28"/>
      <c r="L55" s="28"/>
      <c r="M55" s="27"/>
      <c r="N55" s="27"/>
      <c r="O55" s="28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2">
      <c r="A56" s="27"/>
      <c r="B56" s="4"/>
      <c r="C56" s="27"/>
      <c r="D56" s="27"/>
      <c r="E56" s="27"/>
      <c r="F56" s="28"/>
      <c r="G56" s="27"/>
      <c r="H56" s="28"/>
      <c r="I56" s="28"/>
      <c r="J56" s="28"/>
      <c r="K56" s="28"/>
      <c r="L56" s="28"/>
      <c r="M56" s="27"/>
      <c r="N56" s="27"/>
      <c r="O56" s="28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U57"/>
  <sheetViews>
    <sheetView tabSelected="1" topLeftCell="A5" workbookViewId="0">
      <selection activeCell="O39" sqref="O39"/>
    </sheetView>
  </sheetViews>
  <sheetFormatPr baseColWidth="10" defaultColWidth="8.83203125" defaultRowHeight="15" x14ac:dyDescent="0.2"/>
  <cols>
    <col min="1" max="1" width="15.5" style="2" customWidth="1"/>
    <col min="2" max="3" width="8.6640625" style="2" customWidth="1"/>
    <col min="4" max="4" width="10.33203125" style="2" bestFit="1" customWidth="1"/>
    <col min="5" max="11" width="8.6640625" style="2" customWidth="1"/>
    <col min="12" max="12" width="9" style="2" customWidth="1"/>
    <col min="13" max="13" width="13.33203125" style="2" customWidth="1"/>
    <col min="14" max="14" width="11.83203125" style="2" customWidth="1"/>
    <col min="15" max="15" width="10.5" style="2" customWidth="1"/>
    <col min="16" max="16" width="11.6640625" style="2" customWidth="1"/>
    <col min="17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6" x14ac:dyDescent="0.2">
      <c r="A2" s="8" t="s">
        <v>61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4</v>
      </c>
      <c r="Q4" s="44"/>
      <c r="R4" s="44"/>
      <c r="AH4" s="44"/>
      <c r="AI4" s="44"/>
    </row>
    <row r="5" spans="1:35" ht="15.75" x14ac:dyDescent="0.25">
      <c r="A5" s="8"/>
      <c r="B5" s="52"/>
      <c r="Q5" s="44"/>
      <c r="R5" s="44"/>
      <c r="AH5" s="44"/>
      <c r="AI5" s="44"/>
    </row>
    <row r="6" spans="1:35" ht="16" x14ac:dyDescent="0.2">
      <c r="A6" s="8" t="s">
        <v>12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44"/>
      <c r="AI9" s="44"/>
    </row>
    <row r="10" spans="1:35" ht="16" x14ac:dyDescent="0.2">
      <c r="A10" s="8" t="s">
        <v>16</v>
      </c>
      <c r="B10" s="59">
        <v>4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6" x14ac:dyDescent="0.2">
      <c r="A14" s="4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/>
      <c r="K17" s="52"/>
      <c r="L17" s="52"/>
      <c r="M17" s="52"/>
      <c r="N17" s="52"/>
      <c r="O17" s="52">
        <v>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/>
      <c r="J18" s="52"/>
      <c r="K18" s="52"/>
      <c r="L18" s="52"/>
      <c r="M18" s="52"/>
      <c r="N18" s="52"/>
      <c r="O18" s="52">
        <v>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88174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6875.9223600000005</v>
      </c>
      <c r="U21" s="3"/>
    </row>
    <row r="22" spans="1:21" ht="16" x14ac:dyDescent="0.2">
      <c r="A22" s="8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2">
        <v>88174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/>
      <c r="J23" s="52"/>
      <c r="K23" s="52"/>
      <c r="L23" s="52"/>
      <c r="M23" s="52"/>
      <c r="N23" s="52"/>
      <c r="O23" s="52">
        <v>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622.47636</v>
      </c>
      <c r="U24" s="15">
        <f>N43</f>
        <v>9.0529870380909885E-2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3.4039999999999999</v>
      </c>
      <c r="U25" s="16">
        <f>G43</f>
        <v>4.950608546429253E-4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3.8849999999999998</v>
      </c>
      <c r="U27" s="15">
        <f>F43</f>
        <v>5.650151058424691E-4</v>
      </c>
    </row>
    <row r="28" spans="1:21" ht="16" x14ac:dyDescent="0.2">
      <c r="A28" s="4" t="s">
        <v>61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30</v>
      </c>
      <c r="U28" s="15">
        <f>E43</f>
        <v>4.3630510103665563E-3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81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72</v>
      </c>
      <c r="M29" s="6" t="s">
        <v>73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6044</v>
      </c>
      <c r="U29" s="46">
        <f>D43</f>
        <v>0.87900934355518223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658</v>
      </c>
      <c r="D31" s="52">
        <v>0</v>
      </c>
      <c r="E31" s="52">
        <v>0</v>
      </c>
      <c r="F31" s="52">
        <v>53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123</v>
      </c>
      <c r="O31" s="52">
        <v>834</v>
      </c>
      <c r="P31" s="17">
        <f>O31/O$39</f>
        <v>1.2075385152662405E-4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6" x14ac:dyDescent="0.2">
      <c r="A32" s="8" t="s">
        <v>36</v>
      </c>
      <c r="B32" s="52">
        <v>8227</v>
      </c>
      <c r="C32" s="71">
        <v>99255</v>
      </c>
      <c r="D32" s="71">
        <v>6044000</v>
      </c>
      <c r="E32" s="70">
        <v>30000</v>
      </c>
      <c r="F32" s="52">
        <v>0</v>
      </c>
      <c r="G32" s="52">
        <v>0</v>
      </c>
      <c r="H32" s="52">
        <v>0</v>
      </c>
      <c r="I32" s="52"/>
      <c r="J32" s="52"/>
      <c r="K32" s="52"/>
      <c r="L32" s="71">
        <v>0</v>
      </c>
      <c r="M32" s="71">
        <v>0</v>
      </c>
      <c r="N32" s="55">
        <v>517000</v>
      </c>
      <c r="O32" s="75">
        <f>SUM(B32:N32)</f>
        <v>6698482</v>
      </c>
      <c r="P32" s="17">
        <f>O32/O$39</f>
        <v>0.96986510897093969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52">
        <v>8240</v>
      </c>
      <c r="C33" s="52">
        <v>1288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52"/>
      <c r="N33" s="52">
        <v>7029</v>
      </c>
      <c r="O33" s="52">
        <v>16556</v>
      </c>
      <c r="P33" s="17">
        <f>O33/O$39</f>
        <v>2.3971232204733667E-3</v>
      </c>
      <c r="Q33" s="18" t="s">
        <v>39</v>
      </c>
      <c r="R33" s="3"/>
      <c r="S33" s="3" t="s">
        <v>35</v>
      </c>
      <c r="T33" s="14">
        <f>C42/1000</f>
        <v>172.15700000000001</v>
      </c>
      <c r="U33" s="16">
        <f>C43</f>
        <v>2.5037659093055845E-2</v>
      </c>
    </row>
    <row r="34" spans="1:47" ht="15.75" x14ac:dyDescent="0.25">
      <c r="A34" s="8" t="s">
        <v>40</v>
      </c>
      <c r="B34" s="52">
        <v>0</v>
      </c>
      <c r="C34" s="52">
        <v>50698</v>
      </c>
      <c r="D34" s="52">
        <v>0</v>
      </c>
      <c r="E34" s="52">
        <v>0</v>
      </c>
      <c r="F34" s="52">
        <v>3832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109</v>
      </c>
      <c r="O34" s="52">
        <v>54639</v>
      </c>
      <c r="P34" s="17">
        <f>O34/O$39</f>
        <v>7.9111147404834666E-3</v>
      </c>
      <c r="Q34" s="18" t="s">
        <v>41</v>
      </c>
      <c r="R34" s="3"/>
      <c r="S34" s="3"/>
      <c r="T34" s="14">
        <f>SUM(T24:T33)</f>
        <v>6875.9223600000005</v>
      </c>
      <c r="U34" s="15">
        <f>SUM(U24:U33)</f>
        <v>1</v>
      </c>
    </row>
    <row r="35" spans="1:47" ht="16" x14ac:dyDescent="0.2">
      <c r="A35" s="8" t="s">
        <v>42</v>
      </c>
      <c r="B35" s="52">
        <v>6191</v>
      </c>
      <c r="C35" s="52">
        <v>20130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17669</v>
      </c>
      <c r="O35" s="52">
        <v>43989</v>
      </c>
      <c r="P35" s="17">
        <f>O35/O$39</f>
        <v>6.3691141184708221E-3</v>
      </c>
      <c r="Q35" s="18" t="s">
        <v>43</v>
      </c>
      <c r="R35" s="18"/>
    </row>
    <row r="36" spans="1:47" ht="16" x14ac:dyDescent="0.2">
      <c r="A36" s="8" t="s">
        <v>44</v>
      </c>
      <c r="B36" s="52">
        <v>21087</v>
      </c>
      <c r="C36" s="52">
        <v>128</v>
      </c>
      <c r="D36" s="52">
        <v>0</v>
      </c>
      <c r="E36" s="52">
        <v>0</v>
      </c>
      <c r="F36" s="52">
        <v>0</v>
      </c>
      <c r="G36" s="52">
        <v>3404</v>
      </c>
      <c r="H36" s="52">
        <v>0</v>
      </c>
      <c r="I36" s="52"/>
      <c r="J36" s="52"/>
      <c r="K36" s="52"/>
      <c r="L36" s="52"/>
      <c r="M36" s="44"/>
      <c r="N36" s="52">
        <v>24024</v>
      </c>
      <c r="O36" s="52">
        <v>48643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52">
        <v>33056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6434</v>
      </c>
      <c r="O37" s="52">
        <v>39490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3979</v>
      </c>
      <c r="O38" s="52">
        <v>3979</v>
      </c>
      <c r="P38" s="18">
        <f>SUM(P31:P35)</f>
        <v>0.98666321490189401</v>
      </c>
      <c r="Q38" s="18"/>
      <c r="R38" s="3"/>
      <c r="S38" s="7" t="s">
        <v>47</v>
      </c>
      <c r="T38" s="19">
        <f>O45/1000</f>
        <v>57.48236</v>
      </c>
      <c r="U38" s="7"/>
    </row>
    <row r="39" spans="1:47" ht="16" x14ac:dyDescent="0.2">
      <c r="A39" s="8" t="s">
        <v>16</v>
      </c>
      <c r="B39" s="52">
        <v>76801</v>
      </c>
      <c r="C39" s="52">
        <f>SUM(C31:C38)</f>
        <v>172157</v>
      </c>
      <c r="D39" s="71">
        <f>D32</f>
        <v>6044000</v>
      </c>
      <c r="E39" s="70">
        <f>E32</f>
        <v>30000</v>
      </c>
      <c r="F39" s="52">
        <v>3885</v>
      </c>
      <c r="G39" s="52">
        <v>3404</v>
      </c>
      <c r="H39" s="52">
        <v>0</v>
      </c>
      <c r="I39" s="52"/>
      <c r="J39" s="52"/>
      <c r="K39" s="52"/>
      <c r="L39" s="71">
        <f>L32</f>
        <v>0</v>
      </c>
      <c r="M39" s="71">
        <v>0</v>
      </c>
      <c r="N39" s="55">
        <f>SUM(N31:N38)</f>
        <v>576367</v>
      </c>
      <c r="O39" s="75">
        <f>SUM(O31:O38)</f>
        <v>6906612</v>
      </c>
      <c r="P39" s="56"/>
      <c r="Q39" s="3"/>
      <c r="R39" s="3"/>
      <c r="S39" s="7" t="s">
        <v>48</v>
      </c>
      <c r="T39" s="20">
        <f>O41/1000</f>
        <v>92.111999999999995</v>
      </c>
      <c r="U39" s="15">
        <f>P41</f>
        <v>1.3336785098105989E-2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43.988999999999997</v>
      </c>
      <c r="U40" s="16">
        <f>P35</f>
        <v>6.3691141184708221E-3</v>
      </c>
    </row>
    <row r="41" spans="1:47" ht="16" x14ac:dyDescent="0.2">
      <c r="A41" s="21" t="s">
        <v>50</v>
      </c>
      <c r="B41" s="22">
        <f>B38+B37+B36</f>
        <v>54143</v>
      </c>
      <c r="C41" s="22">
        <f t="shared" ref="C41:O41" si="0">C38+C37+C36</f>
        <v>128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3404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34437</v>
      </c>
      <c r="O41" s="22">
        <f t="shared" si="0"/>
        <v>92112</v>
      </c>
      <c r="P41" s="17">
        <f>O41/O$39</f>
        <v>1.3336785098105989E-2</v>
      </c>
      <c r="Q41" s="17" t="s">
        <v>51</v>
      </c>
      <c r="R41" s="7"/>
      <c r="S41" s="7" t="s">
        <v>52</v>
      </c>
      <c r="T41" s="20">
        <f>O33/1000</f>
        <v>16.556000000000001</v>
      </c>
      <c r="U41" s="15">
        <f>P33</f>
        <v>2.3971232204733667E-3</v>
      </c>
    </row>
    <row r="42" spans="1:47" ht="16" x14ac:dyDescent="0.2">
      <c r="A42" s="23" t="s">
        <v>53</v>
      </c>
      <c r="B42" s="22"/>
      <c r="C42" s="24">
        <f>C39+C23+C10</f>
        <v>172157</v>
      </c>
      <c r="D42" s="24">
        <f t="shared" ref="D42:K42" si="1">D39+D23+D10</f>
        <v>6044000</v>
      </c>
      <c r="E42" s="24">
        <f t="shared" si="1"/>
        <v>30000</v>
      </c>
      <c r="F42" s="24">
        <f t="shared" si="1"/>
        <v>3885</v>
      </c>
      <c r="G42" s="24">
        <f t="shared" si="1"/>
        <v>3404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v>0</v>
      </c>
      <c r="M42" s="24">
        <v>0</v>
      </c>
      <c r="N42" s="24">
        <f>N39+N23-B6+N45</f>
        <v>622476.36</v>
      </c>
      <c r="O42" s="25">
        <f>SUM(C42:N42)</f>
        <v>6875922.3600000003</v>
      </c>
      <c r="P42" s="7"/>
      <c r="Q42" s="7"/>
      <c r="R42" s="7"/>
      <c r="S42" s="7" t="s">
        <v>34</v>
      </c>
      <c r="T42" s="20">
        <f>O31/1000</f>
        <v>0.83399999999999996</v>
      </c>
      <c r="U42" s="15">
        <f>P31</f>
        <v>1.2075385152662405E-4</v>
      </c>
    </row>
    <row r="43" spans="1:47" ht="16" x14ac:dyDescent="0.2">
      <c r="A43" s="23" t="s">
        <v>54</v>
      </c>
      <c r="B43" s="22"/>
      <c r="C43" s="17">
        <f t="shared" ref="C43:N43" si="2">C42/$O42</f>
        <v>2.5037659093055845E-2</v>
      </c>
      <c r="D43" s="17">
        <f t="shared" si="2"/>
        <v>0.87900934355518223</v>
      </c>
      <c r="E43" s="17">
        <f t="shared" si="2"/>
        <v>4.3630510103665563E-3</v>
      </c>
      <c r="F43" s="17">
        <f t="shared" si="2"/>
        <v>5.650151058424691E-4</v>
      </c>
      <c r="G43" s="17">
        <f t="shared" si="2"/>
        <v>4.950608546429253E-4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9.0529870380909885E-2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6698.482</v>
      </c>
      <c r="U43" s="16">
        <f>P32</f>
        <v>0.96986510897093969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54.639000000000003</v>
      </c>
      <c r="U44" s="16">
        <f>P34</f>
        <v>7.9111147404834666E-3</v>
      </c>
    </row>
    <row r="45" spans="1:47" ht="16" x14ac:dyDescent="0.2">
      <c r="A45" s="6" t="s">
        <v>57</v>
      </c>
      <c r="B45" s="6">
        <f>B23-B39</f>
        <v>11373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46109.36</v>
      </c>
      <c r="O45" s="25">
        <f>B45+N45</f>
        <v>57482.36</v>
      </c>
      <c r="P45" s="7"/>
      <c r="Q45" s="7"/>
      <c r="R45" s="7"/>
      <c r="S45" s="7" t="s">
        <v>58</v>
      </c>
      <c r="T45" s="20">
        <f>SUM(T39:T44)</f>
        <v>6906.6120000000001</v>
      </c>
      <c r="U45" s="15">
        <f>SUM(U39:U44)</f>
        <v>0.99999999999999989</v>
      </c>
    </row>
    <row r="46" spans="1:47" ht="16" x14ac:dyDescent="0.2">
      <c r="A46" s="6" t="s">
        <v>71</v>
      </c>
      <c r="B46" s="15">
        <f>B45/B23</f>
        <v>0.12898360060788894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M48" s="30"/>
      <c r="N48" s="7"/>
      <c r="O48" s="6"/>
      <c r="P48" s="15"/>
      <c r="Q48" s="7"/>
      <c r="R48" s="7"/>
      <c r="S48" s="32"/>
      <c r="T48" s="33"/>
    </row>
    <row r="49" spans="1:2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1:20" x14ac:dyDescent="0.2">
      <c r="A50" s="7"/>
      <c r="B50" s="34"/>
      <c r="C50" s="34"/>
      <c r="D50" s="34"/>
      <c r="E50" s="34"/>
      <c r="F50" s="34"/>
      <c r="G50" s="34"/>
      <c r="H50" s="34"/>
      <c r="I50" s="34"/>
      <c r="J50" s="7"/>
      <c r="K50" s="7"/>
      <c r="L50" s="7"/>
      <c r="M50" s="7"/>
      <c r="N50" s="82"/>
      <c r="O50" s="7"/>
      <c r="P50" s="7"/>
      <c r="Q50" s="7"/>
      <c r="R50" s="7"/>
      <c r="S50" s="34"/>
      <c r="T50" s="35"/>
    </row>
    <row r="51" spans="1:20" ht="16" x14ac:dyDescent="0.2">
      <c r="A51" s="7"/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7"/>
      <c r="N51" s="83"/>
      <c r="O51" s="6"/>
      <c r="P51" s="30"/>
      <c r="Q51" s="7"/>
      <c r="R51" s="7"/>
      <c r="S51" s="6"/>
      <c r="T51" s="31"/>
    </row>
    <row r="52" spans="1:20" ht="16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6"/>
      <c r="P52" s="30"/>
      <c r="Q52" s="7"/>
      <c r="R52" s="7"/>
      <c r="S52" s="6"/>
      <c r="T52" s="31"/>
    </row>
    <row r="53" spans="1:20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6"/>
      <c r="P53" s="30"/>
      <c r="Q53" s="7"/>
      <c r="R53" s="7"/>
      <c r="S53" s="6"/>
      <c r="T53" s="31"/>
    </row>
    <row r="54" spans="1:20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6"/>
      <c r="P54" s="30"/>
      <c r="Q54" s="7"/>
      <c r="R54" s="7"/>
      <c r="S54" s="6"/>
      <c r="T54" s="31"/>
    </row>
    <row r="55" spans="1:20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6"/>
      <c r="P55" s="30"/>
      <c r="Q55" s="7"/>
      <c r="R55" s="7"/>
      <c r="S55" s="6"/>
      <c r="T55" s="31"/>
    </row>
    <row r="56" spans="1:20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6"/>
      <c r="P56" s="30"/>
      <c r="Q56" s="7"/>
      <c r="R56" s="7"/>
      <c r="S56" s="6"/>
      <c r="T56" s="31"/>
    </row>
    <row r="57" spans="1:20" ht="16" x14ac:dyDescent="0.2">
      <c r="A57" s="7"/>
      <c r="B57" s="32"/>
      <c r="C57" s="32"/>
      <c r="D57" s="32"/>
      <c r="E57" s="32"/>
      <c r="F57" s="32"/>
      <c r="G57" s="32"/>
      <c r="H57" s="32"/>
      <c r="I57" s="32"/>
      <c r="J57" s="7"/>
      <c r="K57" s="7"/>
      <c r="L57" s="7"/>
      <c r="M57" s="7"/>
      <c r="N57" s="7"/>
      <c r="O57" s="32"/>
      <c r="P57" s="36"/>
      <c r="Q57" s="7"/>
      <c r="R57" s="37"/>
      <c r="S57" s="32"/>
      <c r="T57" s="36"/>
    </row>
  </sheetData>
  <pageMargins left="0.75" right="0.75" top="0.75" bottom="0.5" header="0.5" footer="0.7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U70"/>
  <sheetViews>
    <sheetView topLeftCell="B8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5.75" x14ac:dyDescent="0.25">
      <c r="A2" s="8" t="s">
        <v>62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145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2"/>
      <c r="U9" s="53"/>
      <c r="V9" s="52"/>
      <c r="W9" s="52"/>
      <c r="X9" s="52"/>
      <c r="Y9" s="53"/>
      <c r="Z9" s="52"/>
      <c r="AA9" s="52"/>
      <c r="AB9" s="52"/>
      <c r="AC9" s="52"/>
      <c r="AD9" s="52"/>
      <c r="AE9" s="52"/>
      <c r="AF9" s="52"/>
      <c r="AG9" s="53"/>
      <c r="AH9" s="44"/>
      <c r="AI9" s="44"/>
    </row>
    <row r="10" spans="1:35" ht="16" x14ac:dyDescent="0.2">
      <c r="A10" s="8" t="s">
        <v>16</v>
      </c>
      <c r="B10" s="59">
        <f>B4</f>
        <v>145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2"/>
      <c r="U10" s="53"/>
      <c r="V10" s="52"/>
      <c r="W10" s="52"/>
      <c r="X10" s="52"/>
      <c r="Y10" s="53"/>
      <c r="Z10" s="52"/>
      <c r="AA10" s="52"/>
      <c r="AB10" s="52"/>
      <c r="AC10" s="52"/>
      <c r="AD10" s="52"/>
      <c r="AE10" s="52"/>
      <c r="AF10" s="52"/>
      <c r="AG10" s="53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5.75" x14ac:dyDescent="0.25">
      <c r="A14" s="4" t="s">
        <v>62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/>
      <c r="K17" s="52"/>
      <c r="L17" s="52"/>
      <c r="M17" s="52"/>
      <c r="N17" s="52"/>
      <c r="O17" s="52">
        <v>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61">
        <v>48100</v>
      </c>
      <c r="C18" s="61">
        <v>2800</v>
      </c>
      <c r="D18" s="52">
        <v>0</v>
      </c>
      <c r="E18" s="52">
        <v>0</v>
      </c>
      <c r="F18" s="52">
        <v>0</v>
      </c>
      <c r="G18" s="61">
        <v>50200</v>
      </c>
      <c r="H18" s="52">
        <v>0</v>
      </c>
      <c r="I18" s="52"/>
      <c r="J18" s="52"/>
      <c r="K18" s="52"/>
      <c r="L18" s="52"/>
      <c r="M18" s="52"/>
      <c r="N18" s="52"/>
      <c r="O18" s="61">
        <f>G18+C18</f>
        <v>53000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515.28463999999997</v>
      </c>
      <c r="U21" s="3"/>
    </row>
    <row r="22" spans="1:21" ht="16" x14ac:dyDescent="0.2">
      <c r="A22" s="8" t="s">
        <v>25</v>
      </c>
      <c r="B22" s="53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9">
        <v>48100</v>
      </c>
      <c r="C23" s="61">
        <f>C18</f>
        <v>2800</v>
      </c>
      <c r="D23" s="52">
        <v>0</v>
      </c>
      <c r="E23" s="52">
        <v>0</v>
      </c>
      <c r="F23" s="52">
        <v>0</v>
      </c>
      <c r="G23" s="61">
        <f>G18</f>
        <v>50200</v>
      </c>
      <c r="H23" s="52">
        <v>0</v>
      </c>
      <c r="I23" s="52"/>
      <c r="J23" s="52"/>
      <c r="K23" s="52"/>
      <c r="L23" s="52"/>
      <c r="M23" s="52"/>
      <c r="N23" s="52"/>
      <c r="O23" s="61">
        <f>O18</f>
        <v>53000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263.50164000000001</v>
      </c>
      <c r="U24" s="15">
        <f>N43</f>
        <v>0.51137103562799779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84.525000000000006</v>
      </c>
      <c r="U25" s="16">
        <f>G43</f>
        <v>0.16403555130228606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11.605</v>
      </c>
      <c r="U27" s="15">
        <f>F43</f>
        <v>2.2521532953126644E-2</v>
      </c>
    </row>
    <row r="28" spans="1:21" ht="15.75" x14ac:dyDescent="0.25">
      <c r="A28" s="4" t="s">
        <v>62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0</v>
      </c>
      <c r="U28" s="15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14664</v>
      </c>
      <c r="D31" s="52">
        <v>0</v>
      </c>
      <c r="E31" s="52">
        <v>0</v>
      </c>
      <c r="F31" s="52">
        <v>1431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14575</v>
      </c>
      <c r="O31" s="52">
        <v>30671</v>
      </c>
      <c r="P31" s="17">
        <f>O31/O$39</f>
        <v>6.2932170073415047E-2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61">
        <v>3400</v>
      </c>
      <c r="C32" s="52">
        <v>1610</v>
      </c>
      <c r="D32" s="52">
        <v>0</v>
      </c>
      <c r="E32" s="52">
        <v>0</v>
      </c>
      <c r="F32" s="52">
        <v>0</v>
      </c>
      <c r="G32" s="55">
        <f>G39-G36</f>
        <v>925</v>
      </c>
      <c r="H32" s="52">
        <v>0</v>
      </c>
      <c r="I32" s="52"/>
      <c r="J32" s="52"/>
      <c r="K32" s="52"/>
      <c r="L32" s="52"/>
      <c r="M32" s="44"/>
      <c r="N32" s="55">
        <f>O32-G32-C32-B32</f>
        <v>32275</v>
      </c>
      <c r="O32" s="52">
        <v>38210</v>
      </c>
      <c r="P32" s="17">
        <f>O32/O$39</f>
        <v>7.8401037413360797E-2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61">
        <v>9400</v>
      </c>
      <c r="C33" s="52">
        <v>3150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8407</v>
      </c>
      <c r="O33" s="58">
        <f>SUM(B33:N33)</f>
        <v>20957</v>
      </c>
      <c r="P33" s="17">
        <f>O33/O$39</f>
        <v>4.3000537583664025E-2</v>
      </c>
      <c r="Q33" s="18" t="s">
        <v>39</v>
      </c>
      <c r="R33" s="3"/>
      <c r="S33" s="3" t="s">
        <v>35</v>
      </c>
      <c r="T33" s="14">
        <f>C42/1000</f>
        <v>155.65299999999999</v>
      </c>
      <c r="U33" s="16">
        <f>C43</f>
        <v>0.30207188011658953</v>
      </c>
    </row>
    <row r="34" spans="1:47" ht="15.75" x14ac:dyDescent="0.25">
      <c r="A34" s="8" t="s">
        <v>40</v>
      </c>
      <c r="B34" s="52">
        <v>0</v>
      </c>
      <c r="C34" s="52">
        <v>129056</v>
      </c>
      <c r="D34" s="52">
        <v>0</v>
      </c>
      <c r="E34" s="52">
        <v>0</v>
      </c>
      <c r="F34" s="52">
        <v>10173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53776</v>
      </c>
      <c r="O34" s="52">
        <v>193005</v>
      </c>
      <c r="P34" s="17">
        <f>O34/O$39</f>
        <v>0.39601654608651404</v>
      </c>
      <c r="Q34" s="18" t="s">
        <v>41</v>
      </c>
      <c r="R34" s="3"/>
      <c r="S34" s="3"/>
      <c r="T34" s="14">
        <f>SUM(T24:T33)</f>
        <v>515.28464000000008</v>
      </c>
      <c r="U34" s="15">
        <f>SUM(U24:U33)</f>
        <v>1</v>
      </c>
    </row>
    <row r="35" spans="1:47" ht="16" x14ac:dyDescent="0.2">
      <c r="A35" s="8" t="s">
        <v>42</v>
      </c>
      <c r="B35" s="61">
        <v>6100</v>
      </c>
      <c r="C35" s="55">
        <v>3384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52173</v>
      </c>
      <c r="O35" s="64">
        <f>SUM(B35:N35)</f>
        <v>61657</v>
      </c>
      <c r="P35" s="17">
        <f>O35/O$39</f>
        <v>0.12651067165128466</v>
      </c>
      <c r="Q35" s="18" t="s">
        <v>43</v>
      </c>
      <c r="R35" s="18"/>
    </row>
    <row r="36" spans="1:47" ht="16" x14ac:dyDescent="0.2">
      <c r="A36" s="8" t="s">
        <v>44</v>
      </c>
      <c r="B36" s="57">
        <v>1700</v>
      </c>
      <c r="C36" s="52">
        <v>697</v>
      </c>
      <c r="D36" s="52">
        <v>0</v>
      </c>
      <c r="E36" s="52">
        <v>0</v>
      </c>
      <c r="F36" s="52">
        <v>0</v>
      </c>
      <c r="G36" s="55">
        <v>33400</v>
      </c>
      <c r="H36" s="52">
        <v>0</v>
      </c>
      <c r="I36" s="52"/>
      <c r="J36" s="52"/>
      <c r="K36" s="52"/>
      <c r="L36" s="52"/>
      <c r="M36" s="44"/>
      <c r="N36" s="52">
        <v>59445</v>
      </c>
      <c r="O36" s="64">
        <f>SUM(B36:N36)</f>
        <v>95242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61">
        <v>24000</v>
      </c>
      <c r="C37" s="52">
        <v>292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8607</v>
      </c>
      <c r="O37" s="61">
        <f>SUM(B37:N37)</f>
        <v>32899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14725</v>
      </c>
      <c r="O38" s="52">
        <v>14725</v>
      </c>
      <c r="P38" s="18">
        <f>SUM(P31:P35)</f>
        <v>0.70686096280823851</v>
      </c>
      <c r="Q38" s="18"/>
      <c r="R38" s="3"/>
      <c r="S38" s="7" t="s">
        <v>47</v>
      </c>
      <c r="T38" s="19">
        <f>O45/1000</f>
        <v>23.018639999999998</v>
      </c>
      <c r="U38" s="7"/>
    </row>
    <row r="39" spans="1:47" ht="16" x14ac:dyDescent="0.2">
      <c r="A39" s="8" t="s">
        <v>16</v>
      </c>
      <c r="B39" s="59">
        <v>44600</v>
      </c>
      <c r="C39" s="55">
        <f>SUM(C31:C38)</f>
        <v>152853</v>
      </c>
      <c r="D39" s="52">
        <v>0</v>
      </c>
      <c r="E39" s="52">
        <v>0</v>
      </c>
      <c r="F39" s="52">
        <v>11605</v>
      </c>
      <c r="G39" s="52">
        <v>34325</v>
      </c>
      <c r="H39" s="52">
        <v>0</v>
      </c>
      <c r="I39" s="52"/>
      <c r="J39" s="52"/>
      <c r="K39" s="52"/>
      <c r="L39" s="52"/>
      <c r="M39" s="44"/>
      <c r="N39" s="55">
        <f>SUM(N31:N38)</f>
        <v>243983</v>
      </c>
      <c r="O39" s="64">
        <f>SUM(O31:O38)</f>
        <v>487366</v>
      </c>
      <c r="P39" s="3"/>
      <c r="Q39" s="3"/>
      <c r="R39" s="3"/>
      <c r="S39" s="7" t="s">
        <v>48</v>
      </c>
      <c r="T39" s="20">
        <f>O41/1000</f>
        <v>0</v>
      </c>
      <c r="U39" s="15">
        <f>P41</f>
        <v>0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61.656999999999996</v>
      </c>
      <c r="U40" s="16">
        <f>P35</f>
        <v>0.12651067165128466</v>
      </c>
    </row>
    <row r="41" spans="1:47" ht="16" x14ac:dyDescent="0.2">
      <c r="A41" s="21" t="s">
        <v>50</v>
      </c>
      <c r="B41" s="22">
        <f>B38+B37+B36</f>
        <v>25700</v>
      </c>
      <c r="C41" s="22">
        <f t="shared" ref="C41:N41" si="0">C38+C37+C36</f>
        <v>989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33400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82777</v>
      </c>
      <c r="O41" s="22"/>
      <c r="P41" s="17">
        <f>O41/O$39</f>
        <v>0</v>
      </c>
      <c r="Q41" s="17" t="s">
        <v>51</v>
      </c>
      <c r="R41" s="7"/>
      <c r="S41" s="7" t="s">
        <v>52</v>
      </c>
      <c r="T41" s="20">
        <f>O33/1000</f>
        <v>20.957000000000001</v>
      </c>
      <c r="U41" s="15">
        <f>P33</f>
        <v>4.3000537583664025E-2</v>
      </c>
    </row>
    <row r="42" spans="1:47" ht="16" x14ac:dyDescent="0.2">
      <c r="A42" s="23" t="s">
        <v>53</v>
      </c>
      <c r="B42" s="22"/>
      <c r="C42" s="24">
        <f>C39+C23+C10</f>
        <v>155653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11605</v>
      </c>
      <c r="G42" s="24">
        <f t="shared" si="1"/>
        <v>84525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263501.64</v>
      </c>
      <c r="O42" s="25">
        <f>SUM(C42:N42)</f>
        <v>515284.64</v>
      </c>
      <c r="P42" s="7"/>
      <c r="Q42" s="7"/>
      <c r="R42" s="7"/>
      <c r="S42" s="7" t="s">
        <v>34</v>
      </c>
      <c r="T42" s="20">
        <f>O31/1000</f>
        <v>30.670999999999999</v>
      </c>
      <c r="U42" s="15">
        <f>P31</f>
        <v>6.2932170073415047E-2</v>
      </c>
    </row>
    <row r="43" spans="1:47" ht="16" x14ac:dyDescent="0.2">
      <c r="A43" s="23" t="s">
        <v>54</v>
      </c>
      <c r="B43" s="22"/>
      <c r="C43" s="17">
        <f t="shared" ref="C43:N43" si="2">C42/$O42</f>
        <v>0.30207188011658953</v>
      </c>
      <c r="D43" s="17">
        <f t="shared" si="2"/>
        <v>0</v>
      </c>
      <c r="E43" s="17">
        <f t="shared" si="2"/>
        <v>0</v>
      </c>
      <c r="F43" s="17">
        <f t="shared" si="2"/>
        <v>2.2521532953126644E-2</v>
      </c>
      <c r="G43" s="17">
        <f t="shared" si="2"/>
        <v>0.16403555130228606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0.51137103562799779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38.21</v>
      </c>
      <c r="U43" s="16">
        <f>P32</f>
        <v>7.8401037413360797E-2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193.005</v>
      </c>
      <c r="U44" s="16">
        <f>P34</f>
        <v>0.39601654608651404</v>
      </c>
    </row>
    <row r="45" spans="1:47" ht="16" x14ac:dyDescent="0.2">
      <c r="A45" s="6" t="s">
        <v>57</v>
      </c>
      <c r="B45" s="6">
        <f>B23-B39</f>
        <v>3500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19518.64</v>
      </c>
      <c r="O45" s="25">
        <f>B45+N45</f>
        <v>23018.639999999999</v>
      </c>
      <c r="P45" s="7"/>
      <c r="Q45" s="7"/>
      <c r="R45" s="7"/>
      <c r="S45" s="7" t="s">
        <v>58</v>
      </c>
      <c r="T45" s="20">
        <f>SUM(T39:T44)</f>
        <v>344.5</v>
      </c>
      <c r="U45" s="15">
        <f>SUM(U39:U44)</f>
        <v>0.70686096280823851</v>
      </c>
    </row>
    <row r="46" spans="1:47" ht="16" x14ac:dyDescent="0.2">
      <c r="A46" s="2" t="s">
        <v>71</v>
      </c>
      <c r="B46" s="46">
        <f>B45/B23</f>
        <v>7.2765072765072769E-2</v>
      </c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ht="16" x14ac:dyDescent="0.2"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6" x14ac:dyDescent="0.2"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6" x14ac:dyDescent="0.2"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6" x14ac:dyDescent="0.2"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6" x14ac:dyDescent="0.2">
      <c r="A51" s="2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6" x14ac:dyDescent="0.2">
      <c r="A52" s="2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6" x14ac:dyDescent="0.2">
      <c r="A53" s="2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16" x14ac:dyDescent="0.2">
      <c r="A54" s="2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16" x14ac:dyDescent="0.2">
      <c r="A55" s="27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16" x14ac:dyDescent="0.2">
      <c r="A56" s="2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6" x14ac:dyDescent="0.2">
      <c r="A57" s="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47" ht="16" x14ac:dyDescent="0.2">
      <c r="A58" s="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47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3"/>
  <sheetViews>
    <sheetView topLeftCell="A5" workbookViewId="0">
      <selection activeCell="U27" sqref="U27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2" width="7.83203125" style="2" customWidth="1"/>
    <col min="13" max="13" width="5.5" style="2" customWidth="1"/>
    <col min="14" max="15" width="8.83203125" style="2"/>
    <col min="16" max="16" width="12.1640625" style="2" customWidth="1"/>
    <col min="17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5.75" x14ac:dyDescent="0.25">
      <c r="A2" s="8" t="s">
        <v>63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1127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9">
        <v>24512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5">
        <f>7180-B9</f>
        <v>4360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8">
        <v>2820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6" x14ac:dyDescent="0.2">
      <c r="A10" s="8" t="s">
        <v>16</v>
      </c>
      <c r="B10" s="64">
        <f>SUM(B4:B9)</f>
        <v>32819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5.75" x14ac:dyDescent="0.25">
      <c r="A14" s="4" t="s">
        <v>63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70</v>
      </c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f>163384+11512</f>
        <v>174896</v>
      </c>
      <c r="C17" s="59">
        <f>827+66</f>
        <v>893</v>
      </c>
      <c r="D17" s="52">
        <v>0</v>
      </c>
      <c r="E17" s="52">
        <v>0</v>
      </c>
      <c r="F17" s="52">
        <v>0</v>
      </c>
      <c r="G17" s="59">
        <v>42321</v>
      </c>
      <c r="H17" s="52">
        <v>0</v>
      </c>
      <c r="I17" s="52"/>
      <c r="J17" s="52"/>
      <c r="K17" s="52"/>
      <c r="L17" s="59">
        <v>194289</v>
      </c>
      <c r="M17" s="52"/>
      <c r="N17" s="52"/>
      <c r="O17" s="59">
        <f>SUM(C17:L17)</f>
        <v>237503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/>
      <c r="J18" s="52"/>
      <c r="K18" s="52"/>
      <c r="L18" s="52"/>
      <c r="M18" s="52"/>
      <c r="N18" s="52"/>
      <c r="O18" s="52">
        <v>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956.64747999999997</v>
      </c>
      <c r="U21" s="3"/>
    </row>
    <row r="22" spans="1:21" ht="16" x14ac:dyDescent="0.2">
      <c r="A22" s="8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2">
        <v>174896</v>
      </c>
      <c r="C23" s="59">
        <f>C17</f>
        <v>893</v>
      </c>
      <c r="D23" s="52">
        <v>0</v>
      </c>
      <c r="E23" s="52">
        <v>0</v>
      </c>
      <c r="F23" s="52">
        <v>0</v>
      </c>
      <c r="G23" s="59">
        <f>G17</f>
        <v>42321</v>
      </c>
      <c r="H23" s="52">
        <v>0</v>
      </c>
      <c r="I23" s="52"/>
      <c r="J23" s="52"/>
      <c r="K23" s="52"/>
      <c r="L23" s="59">
        <f>L17</f>
        <v>194289</v>
      </c>
      <c r="M23" s="52"/>
      <c r="N23" s="52"/>
      <c r="O23" s="59">
        <f>O17</f>
        <v>237503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5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350.92947999999996</v>
      </c>
      <c r="U24" s="15">
        <f>N43</f>
        <v>0.36683259752066666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86.466999999999999</v>
      </c>
      <c r="U25" s="16">
        <f>G43</f>
        <v>9.0385436441017958E-2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70</v>
      </c>
      <c r="T26" s="14">
        <f>L42/1000</f>
        <v>194.28899999999999</v>
      </c>
      <c r="U26" s="15">
        <f>L43</f>
        <v>0.2030936202330246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23.077999999999999</v>
      </c>
      <c r="U27" s="15">
        <f>F43</f>
        <v>2.4123828769193015E-2</v>
      </c>
    </row>
    <row r="28" spans="1:21" ht="15.75" x14ac:dyDescent="0.25">
      <c r="A28" s="4" t="s">
        <v>63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10.276</v>
      </c>
      <c r="U28" s="15">
        <f>E43</f>
        <v>1.0741678847050327E-2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23188</v>
      </c>
      <c r="D31" s="52">
        <v>0</v>
      </c>
      <c r="E31" s="52">
        <v>0</v>
      </c>
      <c r="F31" s="52">
        <v>2087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18799</v>
      </c>
      <c r="O31" s="52">
        <v>44074</v>
      </c>
      <c r="P31" s="17">
        <f>O31/O$39</f>
        <v>5.0127496764243586E-2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52">
        <v>24972</v>
      </c>
      <c r="C32" s="52">
        <v>3405</v>
      </c>
      <c r="D32" s="52">
        <v>0</v>
      </c>
      <c r="E32" s="69">
        <v>10276</v>
      </c>
      <c r="F32" s="52">
        <v>0</v>
      </c>
      <c r="G32" s="52">
        <v>115</v>
      </c>
      <c r="H32" s="71">
        <v>7</v>
      </c>
      <c r="I32" s="52"/>
      <c r="J32" s="52"/>
      <c r="K32" s="52"/>
      <c r="L32" s="52"/>
      <c r="M32" s="44"/>
      <c r="N32" s="55">
        <f>O32-SUM(B32:H32)</f>
        <v>109790</v>
      </c>
      <c r="O32" s="55">
        <f>O39-SUM(O31,O33:O38)</f>
        <v>148565</v>
      </c>
      <c r="P32" s="17">
        <f>O32/O$39</f>
        <v>0.16897017644824269</v>
      </c>
      <c r="Q32" s="18" t="s">
        <v>37</v>
      </c>
      <c r="R32" s="3"/>
      <c r="S32" s="3" t="s">
        <v>6</v>
      </c>
      <c r="T32" s="14">
        <f>H42/1000</f>
        <v>7.0000000000000001E-3</v>
      </c>
      <c r="U32" s="15">
        <f>H43</f>
        <v>7.3172199230588056E-6</v>
      </c>
    </row>
    <row r="33" spans="1:47" ht="15.75" x14ac:dyDescent="0.25">
      <c r="A33" s="8" t="s">
        <v>38</v>
      </c>
      <c r="B33" s="52">
        <v>22163</v>
      </c>
      <c r="C33" s="52">
        <v>192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35430</v>
      </c>
      <c r="O33" s="52">
        <v>57786</v>
      </c>
      <c r="P33" s="17">
        <f>O33/O$39</f>
        <v>6.5722819077428413E-2</v>
      </c>
      <c r="Q33" s="18" t="s">
        <v>39</v>
      </c>
      <c r="R33" s="3"/>
      <c r="S33" s="3" t="s">
        <v>35</v>
      </c>
      <c r="T33" s="14">
        <f>C42/1000</f>
        <v>291.601</v>
      </c>
      <c r="U33" s="16">
        <f>C43</f>
        <v>0.3048155209691244</v>
      </c>
    </row>
    <row r="34" spans="1:47" ht="15.75" x14ac:dyDescent="0.25">
      <c r="A34" s="8" t="s">
        <v>40</v>
      </c>
      <c r="B34" s="52">
        <v>0</v>
      </c>
      <c r="C34" s="52">
        <v>260553</v>
      </c>
      <c r="D34" s="52">
        <v>0</v>
      </c>
      <c r="E34" s="52">
        <v>0</v>
      </c>
      <c r="F34" s="52">
        <v>20990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965</v>
      </c>
      <c r="O34" s="52">
        <v>282508</v>
      </c>
      <c r="P34" s="17">
        <f>O34/O$39</f>
        <v>0.32131004346945879</v>
      </c>
      <c r="Q34" s="18" t="s">
        <v>41</v>
      </c>
      <c r="R34" s="3"/>
      <c r="S34" s="3"/>
      <c r="T34" s="14">
        <f>SUM(T24:T33)</f>
        <v>956.64747999999975</v>
      </c>
      <c r="U34" s="15">
        <f>SUM(U24:U33)</f>
        <v>1</v>
      </c>
    </row>
    <row r="35" spans="1:47" ht="16" x14ac:dyDescent="0.2">
      <c r="A35" s="8" t="s">
        <v>42</v>
      </c>
      <c r="B35" s="52">
        <v>15511</v>
      </c>
      <c r="C35" s="52">
        <v>2163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65974</v>
      </c>
      <c r="O35" s="52">
        <v>83648</v>
      </c>
      <c r="P35" s="17">
        <f>O35/O$39</f>
        <v>9.5136925383115828E-2</v>
      </c>
      <c r="Q35" s="18" t="s">
        <v>43</v>
      </c>
      <c r="R35" s="18"/>
    </row>
    <row r="36" spans="1:47" ht="16" x14ac:dyDescent="0.2">
      <c r="A36" s="8" t="s">
        <v>44</v>
      </c>
      <c r="B36" s="52">
        <v>13857</v>
      </c>
      <c r="C36" s="52">
        <v>1163</v>
      </c>
      <c r="D36" s="52">
        <v>0</v>
      </c>
      <c r="E36" s="52">
        <v>0</v>
      </c>
      <c r="F36" s="52">
        <v>0</v>
      </c>
      <c r="G36" s="52">
        <v>44031</v>
      </c>
      <c r="H36" s="52">
        <v>0</v>
      </c>
      <c r="I36" s="52"/>
      <c r="J36" s="52"/>
      <c r="K36" s="52"/>
      <c r="L36" s="52"/>
      <c r="M36" s="44"/>
      <c r="N36" s="52">
        <v>87218</v>
      </c>
      <c r="O36" s="52">
        <v>146269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52">
        <v>86889</v>
      </c>
      <c r="C37" s="52">
        <v>44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18759</v>
      </c>
      <c r="O37" s="52">
        <v>105692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5">
        <v>10696</v>
      </c>
      <c r="O38" s="55">
        <f>N38</f>
        <v>10696</v>
      </c>
      <c r="P38" s="18">
        <f>SUM(P31:P35)</f>
        <v>0.70126746114248928</v>
      </c>
      <c r="Q38" s="18"/>
      <c r="R38" s="3"/>
      <c r="S38" s="7" t="s">
        <v>47</v>
      </c>
      <c r="T38" s="19">
        <f>O45/1000</f>
        <v>39.315479999999994</v>
      </c>
      <c r="U38" s="7"/>
    </row>
    <row r="39" spans="1:47" ht="16" x14ac:dyDescent="0.2">
      <c r="A39" s="8" t="s">
        <v>16</v>
      </c>
      <c r="B39" s="52">
        <v>163391</v>
      </c>
      <c r="C39" s="52">
        <v>290708</v>
      </c>
      <c r="D39" s="52">
        <v>0</v>
      </c>
      <c r="E39" s="69">
        <f>E32</f>
        <v>10276</v>
      </c>
      <c r="F39" s="52">
        <v>23078</v>
      </c>
      <c r="G39" s="52">
        <v>44146</v>
      </c>
      <c r="H39" s="71">
        <f>7</f>
        <v>7</v>
      </c>
      <c r="I39" s="52"/>
      <c r="J39" s="52"/>
      <c r="K39" s="52"/>
      <c r="L39" s="52"/>
      <c r="M39" s="44"/>
      <c r="N39" s="55">
        <f>SUM(N31:N38)</f>
        <v>347631</v>
      </c>
      <c r="O39" s="52">
        <v>879238</v>
      </c>
      <c r="P39" s="56"/>
      <c r="Q39" s="3"/>
      <c r="R39" s="3"/>
      <c r="S39" s="7" t="s">
        <v>48</v>
      </c>
      <c r="T39" s="20">
        <f>O41/1000</f>
        <v>262.65699999999998</v>
      </c>
      <c r="U39" s="15">
        <f>P41</f>
        <v>0.29873253885751072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83.647999999999996</v>
      </c>
      <c r="U40" s="16">
        <f>P35</f>
        <v>9.5136925383115828E-2</v>
      </c>
    </row>
    <row r="41" spans="1:47" ht="16" x14ac:dyDescent="0.2">
      <c r="A41" s="21" t="s">
        <v>50</v>
      </c>
      <c r="B41" s="22">
        <f>B38+B37+B36</f>
        <v>100746</v>
      </c>
      <c r="C41" s="22">
        <f t="shared" ref="C41:O41" si="0">C38+C37+C36</f>
        <v>1207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44031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116673</v>
      </c>
      <c r="O41" s="22">
        <f t="shared" si="0"/>
        <v>262657</v>
      </c>
      <c r="P41" s="17">
        <f>O41/O$39</f>
        <v>0.29873253885751072</v>
      </c>
      <c r="Q41" s="17" t="s">
        <v>51</v>
      </c>
      <c r="R41" s="7"/>
      <c r="S41" s="7" t="s">
        <v>52</v>
      </c>
      <c r="T41" s="20">
        <f>O33/1000</f>
        <v>57.786000000000001</v>
      </c>
      <c r="U41" s="15">
        <f>P33</f>
        <v>6.5722819077428413E-2</v>
      </c>
    </row>
    <row r="42" spans="1:47" ht="16" x14ac:dyDescent="0.2">
      <c r="A42" s="23" t="s">
        <v>53</v>
      </c>
      <c r="B42" s="22"/>
      <c r="C42" s="24">
        <f>C39+C23+C10</f>
        <v>291601</v>
      </c>
      <c r="D42" s="24">
        <f t="shared" ref="D42:M42" si="1">D39+D23+D10</f>
        <v>0</v>
      </c>
      <c r="E42" s="24">
        <f t="shared" si="1"/>
        <v>10276</v>
      </c>
      <c r="F42" s="24">
        <f t="shared" si="1"/>
        <v>23078</v>
      </c>
      <c r="G42" s="24">
        <f t="shared" si="1"/>
        <v>86467</v>
      </c>
      <c r="H42" s="24">
        <f t="shared" si="1"/>
        <v>7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194289</v>
      </c>
      <c r="M42" s="24">
        <f t="shared" si="1"/>
        <v>0</v>
      </c>
      <c r="N42" s="24">
        <f>N39+N23-B6+N45</f>
        <v>350929.48</v>
      </c>
      <c r="O42" s="25">
        <f>SUM(C42:N42)</f>
        <v>956647.48</v>
      </c>
      <c r="P42" s="7"/>
      <c r="Q42" s="7"/>
      <c r="R42" s="7"/>
      <c r="S42" s="7" t="s">
        <v>34</v>
      </c>
      <c r="T42" s="20">
        <f>O31/1000</f>
        <v>44.073999999999998</v>
      </c>
      <c r="U42" s="15">
        <f>P31</f>
        <v>5.0127496764243586E-2</v>
      </c>
    </row>
    <row r="43" spans="1:47" ht="16" x14ac:dyDescent="0.2">
      <c r="A43" s="23" t="s">
        <v>54</v>
      </c>
      <c r="B43" s="22"/>
      <c r="C43" s="17">
        <f t="shared" ref="C43:N43" si="2">C42/$O42</f>
        <v>0.3048155209691244</v>
      </c>
      <c r="D43" s="17">
        <f t="shared" si="2"/>
        <v>0</v>
      </c>
      <c r="E43" s="17">
        <f t="shared" si="2"/>
        <v>1.0741678847050327E-2</v>
      </c>
      <c r="F43" s="17">
        <f t="shared" si="2"/>
        <v>2.4123828769193015E-2</v>
      </c>
      <c r="G43" s="17">
        <f t="shared" si="2"/>
        <v>9.0385436441017958E-2</v>
      </c>
      <c r="H43" s="17">
        <f t="shared" si="2"/>
        <v>7.3172199230588056E-6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0.2030936202330246</v>
      </c>
      <c r="M43" s="17">
        <f t="shared" si="2"/>
        <v>0</v>
      </c>
      <c r="N43" s="17">
        <f t="shared" si="2"/>
        <v>0.36683259752066666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148.565</v>
      </c>
      <c r="U43" s="16">
        <f>P32</f>
        <v>0.16897017644824269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282.50799999999998</v>
      </c>
      <c r="U44" s="16">
        <f>P34</f>
        <v>0.32131004346945879</v>
      </c>
    </row>
    <row r="45" spans="1:47" ht="16" x14ac:dyDescent="0.2">
      <c r="A45" s="6" t="s">
        <v>57</v>
      </c>
      <c r="B45" s="6">
        <f>B23-B39</f>
        <v>11505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27810.48</v>
      </c>
      <c r="O45" s="25">
        <f>B45+N45</f>
        <v>39315.479999999996</v>
      </c>
      <c r="P45" s="7"/>
      <c r="Q45" s="7"/>
      <c r="R45" s="7"/>
      <c r="S45" s="7" t="s">
        <v>58</v>
      </c>
      <c r="T45" s="20">
        <f>SUM(T39:T44)</f>
        <v>879.23800000000006</v>
      </c>
      <c r="U45" s="15">
        <f>SUM(U39:U44)</f>
        <v>0.99999999999999989</v>
      </c>
    </row>
    <row r="46" spans="1:47" ht="16" x14ac:dyDescent="0.2">
      <c r="A46" s="6" t="s">
        <v>71</v>
      </c>
      <c r="B46" s="15">
        <f>B45/B23</f>
        <v>6.5781950416247376E-2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H48" s="6"/>
      <c r="I48" s="6"/>
      <c r="J48" s="6"/>
      <c r="K48" s="6"/>
      <c r="M48" s="6"/>
      <c r="N48" s="6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8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20" ht="16" x14ac:dyDescent="0.2">
      <c r="H49" s="11"/>
      <c r="I49" s="11"/>
      <c r="J49" s="11"/>
      <c r="K49" s="11"/>
      <c r="M49" s="11"/>
      <c r="N49" s="11"/>
      <c r="P49" s="15"/>
      <c r="Q49" s="7"/>
      <c r="R49" s="7"/>
      <c r="S49" s="6"/>
      <c r="T49" s="40"/>
    </row>
    <row r="50" spans="1:20" ht="16" x14ac:dyDescent="0.2">
      <c r="H50" s="52"/>
      <c r="I50" s="52"/>
      <c r="J50" s="52"/>
      <c r="K50" s="52"/>
      <c r="M50" s="52"/>
      <c r="N50" s="52"/>
      <c r="P50" s="15"/>
      <c r="Q50" s="7"/>
      <c r="R50" s="7"/>
      <c r="S50" s="32"/>
      <c r="T50" s="33"/>
    </row>
    <row r="51" spans="1:20" ht="16" x14ac:dyDescent="0.2">
      <c r="H51" s="52"/>
      <c r="I51" s="52"/>
      <c r="J51" s="52"/>
      <c r="K51" s="52"/>
      <c r="L51" s="52"/>
      <c r="M51" s="52"/>
      <c r="N51" s="52"/>
      <c r="P51" s="7"/>
      <c r="Q51" s="7"/>
      <c r="R51" s="7"/>
      <c r="S51" s="7"/>
      <c r="T51" s="6"/>
    </row>
    <row r="52" spans="1:20" x14ac:dyDescent="0.2">
      <c r="B52" s="34"/>
      <c r="C52" s="34"/>
      <c r="D52" s="34"/>
      <c r="E52" s="76"/>
      <c r="F52" s="34"/>
      <c r="G52" s="7"/>
      <c r="H52" s="34"/>
      <c r="I52" s="34"/>
      <c r="J52" s="7"/>
      <c r="K52" s="7"/>
      <c r="L52" s="7"/>
      <c r="M52" s="7"/>
      <c r="N52" s="7"/>
      <c r="P52" s="7"/>
      <c r="Q52" s="7"/>
      <c r="R52" s="7"/>
      <c r="S52" s="34"/>
      <c r="T52" s="35"/>
    </row>
    <row r="53" spans="1:20" ht="16" x14ac:dyDescent="0.2">
      <c r="A53" s="7"/>
      <c r="B53" s="6"/>
      <c r="C53" s="6"/>
      <c r="D53" s="6"/>
      <c r="E53" s="77"/>
      <c r="F53" s="6"/>
      <c r="G53" s="6"/>
      <c r="H53" s="6"/>
      <c r="I53" s="6"/>
      <c r="J53" s="7"/>
      <c r="K53" s="7"/>
      <c r="L53" s="7"/>
      <c r="M53" s="7"/>
      <c r="N53" s="7"/>
      <c r="O53" s="6"/>
      <c r="P53" s="30"/>
      <c r="Q53" s="7"/>
      <c r="R53" s="7"/>
      <c r="S53" s="6"/>
      <c r="T53" s="40"/>
    </row>
  </sheetData>
  <pageMargins left="0.75" right="0.75" top="0.75" bottom="0.5" header="0.5" footer="0.75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U70"/>
  <sheetViews>
    <sheetView topLeftCell="B11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2" width="6.6640625" style="2" customWidth="1"/>
    <col min="13" max="13" width="5.5" style="2" customWidth="1"/>
    <col min="14" max="14" width="8.83203125" style="2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5.75" x14ac:dyDescent="0.25">
      <c r="A2" s="8" t="s">
        <v>64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1359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67">
        <v>174429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5">
        <v>23953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2"/>
      <c r="U9" s="52"/>
      <c r="V9" s="52"/>
      <c r="W9" s="52"/>
      <c r="X9" s="53"/>
      <c r="Y9" s="52"/>
      <c r="Z9" s="52"/>
      <c r="AA9" s="52"/>
      <c r="AB9" s="52"/>
      <c r="AC9" s="52"/>
      <c r="AD9" s="52"/>
      <c r="AE9" s="52"/>
      <c r="AF9" s="52"/>
      <c r="AG9" s="53"/>
      <c r="AH9" s="44"/>
      <c r="AI9" s="44"/>
    </row>
    <row r="10" spans="1:35" ht="16" x14ac:dyDescent="0.2">
      <c r="A10" s="8" t="s">
        <v>16</v>
      </c>
      <c r="B10" s="58">
        <f>SUM(B4:B9)</f>
        <v>199741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f>O6</f>
        <v>0</v>
      </c>
      <c r="P10" s="52"/>
      <c r="Q10" s="44"/>
      <c r="R10" s="44"/>
      <c r="S10" s="8"/>
      <c r="T10" s="52"/>
      <c r="U10" s="52"/>
      <c r="V10" s="52"/>
      <c r="W10" s="52"/>
      <c r="X10" s="53"/>
      <c r="Y10" s="52"/>
      <c r="Z10" s="52"/>
      <c r="AA10" s="52"/>
      <c r="AB10" s="52"/>
      <c r="AC10" s="52"/>
      <c r="AD10" s="52"/>
      <c r="AE10" s="52"/>
      <c r="AF10" s="52"/>
      <c r="AG10" s="53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5.75" x14ac:dyDescent="0.25">
      <c r="A14" s="4" t="s">
        <v>64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9">
        <f>557749+158833</f>
        <v>716582</v>
      </c>
      <c r="C17" s="59">
        <v>1300</v>
      </c>
      <c r="D17" s="52">
        <v>0</v>
      </c>
      <c r="E17" s="52">
        <v>0</v>
      </c>
      <c r="F17" s="61">
        <v>22303</v>
      </c>
      <c r="G17" s="59">
        <v>828978</v>
      </c>
      <c r="H17" s="52">
        <v>0</v>
      </c>
      <c r="I17" s="52"/>
      <c r="J17" s="52"/>
      <c r="K17" s="52"/>
      <c r="L17" s="52"/>
      <c r="M17" s="52"/>
      <c r="N17" s="52"/>
      <c r="O17" s="61">
        <f>SUM(C17:G17)</f>
        <v>852581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/>
      <c r="J18" s="52"/>
      <c r="K18" s="52"/>
      <c r="L18" s="52"/>
      <c r="M18" s="52"/>
      <c r="N18" s="52"/>
      <c r="O18" s="53">
        <f t="shared" ref="O18:O23" si="0">SUM(C18:G18)</f>
        <v>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3">
        <f t="shared" si="0"/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3">
        <f t="shared" si="0"/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66"/>
      <c r="M21" s="52"/>
      <c r="N21" s="52"/>
      <c r="O21" s="53">
        <f t="shared" si="0"/>
        <v>0</v>
      </c>
      <c r="P21" s="3"/>
      <c r="Q21" s="3"/>
      <c r="R21" s="3"/>
      <c r="S21" s="3" t="s">
        <v>26</v>
      </c>
      <c r="T21" s="13">
        <f>O42/1000</f>
        <v>2456.56864</v>
      </c>
      <c r="U21" s="3"/>
    </row>
    <row r="22" spans="1:21" ht="16" x14ac:dyDescent="0.2">
      <c r="A22" s="8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3">
        <f t="shared" si="0"/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9">
        <f>557749+158833</f>
        <v>716582</v>
      </c>
      <c r="C23" s="59">
        <v>1300</v>
      </c>
      <c r="D23" s="52">
        <v>0</v>
      </c>
      <c r="E23" s="52">
        <v>0</v>
      </c>
      <c r="F23" s="61">
        <f>F17</f>
        <v>22303</v>
      </c>
      <c r="G23" s="61">
        <f>G17</f>
        <v>828978</v>
      </c>
      <c r="H23" s="52">
        <v>0</v>
      </c>
      <c r="I23" s="52"/>
      <c r="J23" s="52"/>
      <c r="K23" s="52"/>
      <c r="L23" s="52"/>
      <c r="M23" s="52"/>
      <c r="N23" s="52"/>
      <c r="O23" s="61">
        <f t="shared" si="0"/>
        <v>852581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705.61764000000005</v>
      </c>
      <c r="U24" s="15">
        <f>N43</f>
        <v>0.28723709507258061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894.08</v>
      </c>
      <c r="U25" s="16">
        <f>G43</f>
        <v>0.36395482114434219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</v>
      </c>
      <c r="T26" s="14">
        <f>J42/1000</f>
        <v>0</v>
      </c>
      <c r="U26" s="15">
        <f>J43</f>
        <v>0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 t="s">
        <v>31</v>
      </c>
      <c r="T27" s="14">
        <f>F42/1000</f>
        <v>72.632999999999996</v>
      </c>
      <c r="U27" s="15">
        <f>F43</f>
        <v>2.956685142736333E-2</v>
      </c>
    </row>
    <row r="28" spans="1:21" ht="15.75" x14ac:dyDescent="0.25">
      <c r="A28" s="4" t="s">
        <v>64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36.558</v>
      </c>
      <c r="U28" s="15">
        <f>E43</f>
        <v>1.4881733571263043E-2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8" t="s">
        <v>33</v>
      </c>
      <c r="B31" s="52">
        <v>0</v>
      </c>
      <c r="C31" s="52">
        <v>18124</v>
      </c>
      <c r="D31" s="52">
        <v>0</v>
      </c>
      <c r="E31" s="52">
        <v>0</v>
      </c>
      <c r="F31" s="52">
        <v>1627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14677</v>
      </c>
      <c r="O31" s="52">
        <v>34428</v>
      </c>
      <c r="P31" s="17">
        <f>O31/O$39</f>
        <v>1.4829511019832554E-2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5.75" x14ac:dyDescent="0.25">
      <c r="A32" s="8" t="s">
        <v>36</v>
      </c>
      <c r="B32" s="52">
        <v>53589</v>
      </c>
      <c r="C32" s="52">
        <v>61031</v>
      </c>
      <c r="D32" s="52">
        <v>0</v>
      </c>
      <c r="E32" s="52">
        <v>36558</v>
      </c>
      <c r="F32" s="52">
        <v>0</v>
      </c>
      <c r="G32" s="52">
        <v>518</v>
      </c>
      <c r="H32" s="52">
        <v>0</v>
      </c>
      <c r="I32" s="52"/>
      <c r="J32" s="52"/>
      <c r="K32" s="52"/>
      <c r="L32" s="52"/>
      <c r="M32" s="44"/>
      <c r="N32" s="55">
        <f>N39-SUM(N31,N33:N38)</f>
        <v>187945</v>
      </c>
      <c r="O32" s="55">
        <f>SUM(B32:N32)</f>
        <v>339641</v>
      </c>
      <c r="P32" s="17">
        <f>O32/O$39</f>
        <v>0.14629690810639445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52">
        <v>94700</v>
      </c>
      <c r="C33" s="52">
        <v>750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94751</v>
      </c>
      <c r="O33" s="52">
        <v>190200</v>
      </c>
      <c r="P33" s="17">
        <f>O33/O$39</f>
        <v>8.1926716509008707E-2</v>
      </c>
      <c r="Q33" s="18" t="s">
        <v>39</v>
      </c>
      <c r="R33" s="3"/>
      <c r="S33" s="3" t="s">
        <v>35</v>
      </c>
      <c r="T33" s="14">
        <f>C42/1000</f>
        <v>747.68</v>
      </c>
      <c r="U33" s="16">
        <f>C43</f>
        <v>0.30435949878445079</v>
      </c>
    </row>
    <row r="34" spans="1:47" ht="15.75" x14ac:dyDescent="0.25">
      <c r="A34" s="8" t="s">
        <v>40</v>
      </c>
      <c r="B34" s="52">
        <v>0</v>
      </c>
      <c r="C34" s="52">
        <v>646953</v>
      </c>
      <c r="D34" s="52">
        <v>0</v>
      </c>
      <c r="E34" s="52">
        <v>0</v>
      </c>
      <c r="F34" s="52">
        <v>48702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37933</v>
      </c>
      <c r="O34" s="52">
        <v>733588</v>
      </c>
      <c r="P34" s="17">
        <f>O34/O$39</f>
        <v>0.31598557366146518</v>
      </c>
      <c r="Q34" s="18" t="s">
        <v>41</v>
      </c>
      <c r="R34" s="3"/>
      <c r="S34" s="3"/>
      <c r="T34" s="14">
        <f>SUM(T24:T33)</f>
        <v>2456.56864</v>
      </c>
      <c r="U34" s="15">
        <f>SUM(U24:U33)</f>
        <v>1</v>
      </c>
    </row>
    <row r="35" spans="1:47" ht="16" x14ac:dyDescent="0.2">
      <c r="A35" s="8" t="s">
        <v>42</v>
      </c>
      <c r="B35" s="52">
        <v>98380</v>
      </c>
      <c r="C35" s="52">
        <v>18250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215714</v>
      </c>
      <c r="O35" s="52">
        <v>332344</v>
      </c>
      <c r="P35" s="17">
        <f>O35/O$39</f>
        <v>0.14315379953454255</v>
      </c>
      <c r="Q35" s="18" t="s">
        <v>43</v>
      </c>
      <c r="R35" s="18"/>
    </row>
    <row r="36" spans="1:47" ht="16" x14ac:dyDescent="0.2">
      <c r="A36" s="8" t="s">
        <v>44</v>
      </c>
      <c r="B36" s="52">
        <v>61600</v>
      </c>
      <c r="C36" s="52">
        <v>1272</v>
      </c>
      <c r="D36" s="52">
        <v>0</v>
      </c>
      <c r="E36" s="52">
        <v>0</v>
      </c>
      <c r="F36" s="52">
        <v>0</v>
      </c>
      <c r="G36" s="52">
        <v>64585</v>
      </c>
      <c r="H36" s="52">
        <v>0</v>
      </c>
      <c r="I36" s="52"/>
      <c r="J36" s="52"/>
      <c r="K36" s="52"/>
      <c r="L36" s="52"/>
      <c r="M36" s="44"/>
      <c r="N36" s="52">
        <v>177375</v>
      </c>
      <c r="O36" s="52">
        <v>304832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52">
        <v>300090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67584</v>
      </c>
      <c r="O37" s="52">
        <v>367674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5">
        <v>18879</v>
      </c>
      <c r="O38" s="53">
        <f>N38</f>
        <v>18879</v>
      </c>
      <c r="P38" s="18">
        <f>SUM(P31:P35)</f>
        <v>0.7021925088312434</v>
      </c>
      <c r="Q38" s="18"/>
      <c r="R38" s="3"/>
      <c r="S38" s="7" t="s">
        <v>47</v>
      </c>
      <c r="T38" s="19">
        <f>O45/1000</f>
        <v>173.41164000000001</v>
      </c>
      <c r="U38" s="7"/>
    </row>
    <row r="39" spans="1:47" ht="16" x14ac:dyDescent="0.2">
      <c r="A39" s="8" t="s">
        <v>16</v>
      </c>
      <c r="B39" s="52">
        <v>608359</v>
      </c>
      <c r="C39" s="52">
        <v>746380</v>
      </c>
      <c r="D39" s="52">
        <v>0</v>
      </c>
      <c r="E39" s="52">
        <v>36558</v>
      </c>
      <c r="F39" s="52">
        <v>50330</v>
      </c>
      <c r="G39" s="52">
        <v>65102</v>
      </c>
      <c r="H39" s="52">
        <v>0</v>
      </c>
      <c r="I39" s="52"/>
      <c r="J39" s="52"/>
      <c r="K39" s="52"/>
      <c r="L39" s="52"/>
      <c r="M39" s="44"/>
      <c r="N39" s="52">
        <v>814858</v>
      </c>
      <c r="O39" s="52">
        <v>2321587</v>
      </c>
      <c r="P39" s="3"/>
      <c r="Q39" s="3"/>
      <c r="R39" s="3"/>
      <c r="S39" s="7" t="s">
        <v>48</v>
      </c>
      <c r="T39" s="20">
        <f>O41/1000</f>
        <v>691.38499999999999</v>
      </c>
      <c r="U39" s="15">
        <f>P41</f>
        <v>0.29780706042892213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332.34399999999999</v>
      </c>
      <c r="U40" s="16">
        <f>P35</f>
        <v>0.14315379953454255</v>
      </c>
    </row>
    <row r="41" spans="1:47" ht="16" x14ac:dyDescent="0.2">
      <c r="A41" s="21" t="s">
        <v>50</v>
      </c>
      <c r="B41" s="22">
        <f>B38+B37+B36</f>
        <v>361690</v>
      </c>
      <c r="C41" s="22">
        <f t="shared" ref="C41:O41" si="1">C38+C37+C36</f>
        <v>1272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64585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263838</v>
      </c>
      <c r="O41" s="22">
        <f t="shared" si="1"/>
        <v>691385</v>
      </c>
      <c r="P41" s="17">
        <f>O41/O$39</f>
        <v>0.29780706042892213</v>
      </c>
      <c r="Q41" s="17" t="s">
        <v>51</v>
      </c>
      <c r="R41" s="7"/>
      <c r="S41" s="7" t="s">
        <v>52</v>
      </c>
      <c r="T41" s="20">
        <f>O33/1000</f>
        <v>190.2</v>
      </c>
      <c r="U41" s="15">
        <f>P33</f>
        <v>8.1926716509008707E-2</v>
      </c>
    </row>
    <row r="42" spans="1:47" ht="16" x14ac:dyDescent="0.2">
      <c r="A42" s="23" t="s">
        <v>53</v>
      </c>
      <c r="B42" s="22"/>
      <c r="C42" s="24">
        <f>C39+C23+C10</f>
        <v>747680</v>
      </c>
      <c r="D42" s="24">
        <f t="shared" ref="D42:M42" si="2">D39+D23+D10</f>
        <v>0</v>
      </c>
      <c r="E42" s="24">
        <f t="shared" si="2"/>
        <v>36558</v>
      </c>
      <c r="F42" s="24">
        <f t="shared" si="2"/>
        <v>72633</v>
      </c>
      <c r="G42" s="24">
        <f t="shared" si="2"/>
        <v>894080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705617.64</v>
      </c>
      <c r="O42" s="25">
        <f>SUM(C42:N42)</f>
        <v>2456568.64</v>
      </c>
      <c r="P42" s="7"/>
      <c r="Q42" s="7"/>
      <c r="R42" s="7"/>
      <c r="S42" s="7" t="s">
        <v>34</v>
      </c>
      <c r="T42" s="20">
        <f>O31/1000</f>
        <v>34.427999999999997</v>
      </c>
      <c r="U42" s="15">
        <f>P31</f>
        <v>1.4829511019832554E-2</v>
      </c>
    </row>
    <row r="43" spans="1:47" ht="16" x14ac:dyDescent="0.2">
      <c r="A43" s="23" t="s">
        <v>54</v>
      </c>
      <c r="B43" s="22"/>
      <c r="C43" s="17">
        <f t="shared" ref="C43:N43" si="3">C42/$O42</f>
        <v>0.30435949878445079</v>
      </c>
      <c r="D43" s="17">
        <f t="shared" si="3"/>
        <v>0</v>
      </c>
      <c r="E43" s="17">
        <f t="shared" si="3"/>
        <v>1.4881733571263043E-2</v>
      </c>
      <c r="F43" s="17">
        <f t="shared" si="3"/>
        <v>2.956685142736333E-2</v>
      </c>
      <c r="G43" s="17">
        <f t="shared" si="3"/>
        <v>0.36395482114434219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0.28723709507258061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339.64100000000002</v>
      </c>
      <c r="U43" s="16">
        <f>P32</f>
        <v>0.14629690810639445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733.58799999999997</v>
      </c>
      <c r="U44" s="16">
        <f>P34</f>
        <v>0.31598557366146518</v>
      </c>
    </row>
    <row r="45" spans="1:47" ht="16" x14ac:dyDescent="0.2">
      <c r="A45" s="6" t="s">
        <v>57</v>
      </c>
      <c r="B45" s="6">
        <f>B23-B39</f>
        <v>108223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65188.639999999999</v>
      </c>
      <c r="O45" s="25">
        <f>B45+N45</f>
        <v>173411.64</v>
      </c>
      <c r="P45" s="7"/>
      <c r="Q45" s="7"/>
      <c r="R45" s="7"/>
      <c r="S45" s="7" t="s">
        <v>58</v>
      </c>
      <c r="T45" s="20">
        <f>SUM(T39:T44)</f>
        <v>2321.5860000000002</v>
      </c>
      <c r="U45" s="15">
        <f>SUM(U39:U44)</f>
        <v>0.99999956926016553</v>
      </c>
    </row>
    <row r="46" spans="1:47" ht="16" x14ac:dyDescent="0.2">
      <c r="A46" s="6" t="s">
        <v>71</v>
      </c>
      <c r="B46" s="78">
        <f>B45/B23</f>
        <v>0.15102667943096534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">
      <c r="A48" s="27"/>
      <c r="B48" s="4"/>
      <c r="C48" s="27"/>
      <c r="D48" s="27"/>
      <c r="E48" s="27"/>
      <c r="F48" s="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">
      <c r="A49" s="27"/>
      <c r="B49" s="4"/>
      <c r="C49" s="27"/>
      <c r="D49" s="27"/>
      <c r="E49" s="27"/>
      <c r="F49" s="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x14ac:dyDescent="0.2">
      <c r="A50" s="27"/>
      <c r="B50" s="4"/>
      <c r="C50" s="27"/>
      <c r="D50" s="27"/>
      <c r="E50" s="27"/>
      <c r="F50" s="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x14ac:dyDescent="0.2">
      <c r="A51" s="27"/>
      <c r="B51" s="4"/>
      <c r="C51" s="27"/>
      <c r="D51" s="27"/>
      <c r="E51" s="27"/>
      <c r="F51" s="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x14ac:dyDescent="0.2">
      <c r="A52" s="27"/>
      <c r="B52" s="4"/>
      <c r="C52" s="27"/>
      <c r="D52" s="27"/>
      <c r="E52" s="27"/>
      <c r="F52" s="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x14ac:dyDescent="0.2">
      <c r="A53" s="27"/>
      <c r="B53" s="4"/>
      <c r="C53" s="27"/>
      <c r="D53" s="27"/>
      <c r="E53" s="27"/>
      <c r="F53" s="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2">
      <c r="A54" s="27"/>
      <c r="B54" s="4"/>
      <c r="E54" s="27"/>
      <c r="F54" s="9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U70"/>
  <sheetViews>
    <sheetView topLeftCell="A7" workbookViewId="0">
      <selection activeCell="U27" sqref="U27"/>
    </sheetView>
  </sheetViews>
  <sheetFormatPr baseColWidth="10" defaultColWidth="8.83203125" defaultRowHeight="15" x14ac:dyDescent="0.2"/>
  <cols>
    <col min="1" max="1" width="15.5" style="2" customWidth="1"/>
    <col min="2" max="11" width="8.6640625" style="2" customWidth="1"/>
    <col min="12" max="12" width="8.5" style="2" customWidth="1"/>
    <col min="13" max="13" width="8.83203125" style="2" customWidth="1"/>
    <col min="14" max="16384" width="8.83203125" style="2"/>
  </cols>
  <sheetData>
    <row r="1" spans="1:35" ht="19" x14ac:dyDescent="0.25">
      <c r="A1" s="1" t="s">
        <v>0</v>
      </c>
      <c r="O1" s="3"/>
      <c r="P1" s="3"/>
      <c r="Q1" s="3"/>
      <c r="R1" s="3"/>
      <c r="S1" s="3"/>
      <c r="T1" s="3"/>
    </row>
    <row r="2" spans="1:35" ht="16" x14ac:dyDescent="0.2">
      <c r="A2" s="8" t="s">
        <v>65</v>
      </c>
      <c r="Q2" s="44"/>
      <c r="R2" s="8"/>
      <c r="AH2" s="44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69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4"/>
      <c r="R3" s="44"/>
      <c r="AH3" s="44"/>
      <c r="AI3" s="44"/>
    </row>
    <row r="4" spans="1:35" ht="15.75" x14ac:dyDescent="0.25">
      <c r="A4" s="8" t="s">
        <v>74</v>
      </c>
      <c r="B4" s="79">
        <v>513</v>
      </c>
      <c r="Q4" s="44"/>
      <c r="R4" s="44"/>
      <c r="AH4" s="44"/>
      <c r="AI4" s="44"/>
    </row>
    <row r="5" spans="1:35" ht="15.75" x14ac:dyDescent="0.25">
      <c r="A5" s="44"/>
      <c r="Q5" s="44"/>
      <c r="R5" s="44"/>
      <c r="AH5" s="44"/>
      <c r="AI5" s="44"/>
    </row>
    <row r="6" spans="1:35" ht="16" x14ac:dyDescent="0.2">
      <c r="A6" s="8" t="s">
        <v>12</v>
      </c>
      <c r="B6" s="53">
        <v>28000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/>
      <c r="J6" s="52"/>
      <c r="K6" s="52"/>
      <c r="L6" s="52"/>
      <c r="M6" s="52"/>
      <c r="N6" s="52"/>
      <c r="O6" s="52">
        <v>0</v>
      </c>
      <c r="Q6" s="44"/>
      <c r="R6" s="44"/>
      <c r="AH6" s="44"/>
      <c r="AI6" s="44"/>
    </row>
    <row r="7" spans="1:35" ht="16" x14ac:dyDescent="0.2">
      <c r="A7" s="8" t="s">
        <v>13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>
        <v>0</v>
      </c>
      <c r="P7" s="52"/>
      <c r="Q7" s="44"/>
      <c r="R7" s="44"/>
      <c r="AH7" s="44"/>
      <c r="AI7" s="44"/>
    </row>
    <row r="8" spans="1:35" ht="15.75" x14ac:dyDescent="0.25">
      <c r="A8" s="8" t="s">
        <v>14</v>
      </c>
      <c r="B8" s="55">
        <v>323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/>
      <c r="J8" s="52"/>
      <c r="K8" s="52"/>
      <c r="L8" s="52"/>
      <c r="M8" s="52"/>
      <c r="N8" s="52"/>
      <c r="O8" s="52">
        <v>0</v>
      </c>
      <c r="P8" s="52"/>
      <c r="Q8" s="44"/>
      <c r="R8" s="44"/>
      <c r="AH8" s="44"/>
      <c r="AI8" s="44"/>
    </row>
    <row r="9" spans="1:35" ht="15.75" x14ac:dyDescent="0.25">
      <c r="A9" s="8" t="s">
        <v>15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/>
      <c r="J9" s="52"/>
      <c r="K9" s="52"/>
      <c r="L9" s="52"/>
      <c r="M9" s="52"/>
      <c r="N9" s="52"/>
      <c r="O9" s="52">
        <v>0</v>
      </c>
      <c r="P9" s="52"/>
      <c r="Q9" s="44"/>
      <c r="R9" s="44"/>
      <c r="S9" s="8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44"/>
      <c r="AI9" s="44"/>
    </row>
    <row r="10" spans="1:35" ht="16" x14ac:dyDescent="0.2">
      <c r="A10" s="8" t="s">
        <v>16</v>
      </c>
      <c r="B10" s="58">
        <v>28836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/>
      <c r="J10" s="52"/>
      <c r="K10" s="52"/>
      <c r="L10" s="52"/>
      <c r="M10" s="52"/>
      <c r="N10" s="52"/>
      <c r="O10" s="52">
        <v>0</v>
      </c>
      <c r="P10" s="52"/>
      <c r="Q10" s="44"/>
      <c r="R10" s="44"/>
      <c r="S10" s="8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44"/>
      <c r="AI10" s="44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35" ht="15.7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35" ht="19" x14ac:dyDescent="0.25">
      <c r="A13" s="1" t="s">
        <v>17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35" ht="16" x14ac:dyDescent="0.2">
      <c r="A14" s="4" t="s">
        <v>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69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70</v>
      </c>
      <c r="M15" s="6"/>
      <c r="N15" s="6" t="s">
        <v>10</v>
      </c>
      <c r="O15" s="11" t="s">
        <v>11</v>
      </c>
      <c r="P15" s="3"/>
      <c r="Q15" s="3"/>
      <c r="R15" s="3"/>
      <c r="S15" s="3"/>
      <c r="T15" s="3"/>
    </row>
    <row r="16" spans="1:35" ht="15.75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1" ht="16" x14ac:dyDescent="0.2">
      <c r="A17" s="8" t="s">
        <v>20</v>
      </c>
      <c r="B17" s="52">
        <v>180764</v>
      </c>
      <c r="C17" s="59">
        <f>3500+900</f>
        <v>4400</v>
      </c>
      <c r="D17" s="52">
        <v>0</v>
      </c>
      <c r="E17" s="52">
        <v>0</v>
      </c>
      <c r="F17" s="52">
        <v>0</v>
      </c>
      <c r="G17" s="59">
        <f>9000/0.9+30400</f>
        <v>40400</v>
      </c>
      <c r="H17" s="52">
        <v>0</v>
      </c>
      <c r="I17" s="52"/>
      <c r="J17" s="52"/>
      <c r="K17" s="59">
        <v>16400</v>
      </c>
      <c r="L17" s="59">
        <f>177400</f>
        <v>177400</v>
      </c>
      <c r="M17" s="52"/>
      <c r="N17" s="52"/>
      <c r="O17" s="59">
        <f>SUM(C17:L17)</f>
        <v>238600</v>
      </c>
      <c r="P17" s="3"/>
      <c r="Q17" s="3"/>
      <c r="R17" s="3"/>
      <c r="S17" s="3"/>
      <c r="T17" s="3"/>
    </row>
    <row r="18" spans="1:21" ht="16" x14ac:dyDescent="0.2">
      <c r="A18" s="8" t="s">
        <v>21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/>
      <c r="J18" s="52"/>
      <c r="K18" s="52"/>
      <c r="L18" s="52"/>
      <c r="M18" s="52"/>
      <c r="N18" s="52"/>
      <c r="O18" s="52">
        <v>0</v>
      </c>
      <c r="P18" s="3"/>
      <c r="Q18" s="3"/>
      <c r="R18" s="3"/>
      <c r="S18" s="3"/>
      <c r="T18" s="3"/>
    </row>
    <row r="19" spans="1:21" ht="15.75" x14ac:dyDescent="0.25">
      <c r="A19" s="8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/>
      <c r="J19" s="52"/>
      <c r="K19" s="52"/>
      <c r="L19" s="52"/>
      <c r="M19" s="52"/>
      <c r="N19" s="52"/>
      <c r="O19" s="52">
        <v>0</v>
      </c>
      <c r="P19" s="3"/>
      <c r="Q19" s="3"/>
      <c r="R19" s="3"/>
      <c r="S19" s="3"/>
      <c r="T19" s="3"/>
    </row>
    <row r="20" spans="1:21" ht="16" x14ac:dyDescent="0.2">
      <c r="A20" s="8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52"/>
      <c r="L20" s="52"/>
      <c r="M20" s="52"/>
      <c r="N20" s="52"/>
      <c r="O20" s="52">
        <v>0</v>
      </c>
      <c r="P20" s="3"/>
      <c r="Q20" s="3"/>
      <c r="R20" s="3"/>
      <c r="S20" s="3"/>
      <c r="T20" s="3"/>
    </row>
    <row r="21" spans="1:21" ht="16" x14ac:dyDescent="0.2">
      <c r="A21" s="8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>
        <v>0</v>
      </c>
      <c r="P21" s="3"/>
      <c r="Q21" s="3"/>
      <c r="R21" s="3"/>
      <c r="S21" s="3" t="s">
        <v>26</v>
      </c>
      <c r="T21" s="13">
        <f>O42/1000</f>
        <v>1101.3878</v>
      </c>
      <c r="U21" s="3"/>
    </row>
    <row r="22" spans="1:21" ht="16" x14ac:dyDescent="0.2">
      <c r="A22" s="8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/>
      <c r="J22" s="52"/>
      <c r="K22" s="52"/>
      <c r="L22" s="52"/>
      <c r="M22" s="52"/>
      <c r="N22" s="52"/>
      <c r="O22" s="52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52">
        <v>180764</v>
      </c>
      <c r="C23" s="59">
        <f>C17</f>
        <v>4400</v>
      </c>
      <c r="D23" s="52">
        <v>0</v>
      </c>
      <c r="E23" s="52">
        <v>0</v>
      </c>
      <c r="F23" s="52">
        <v>0</v>
      </c>
      <c r="G23" s="59">
        <f>G17</f>
        <v>40400</v>
      </c>
      <c r="H23" s="52">
        <v>0</v>
      </c>
      <c r="I23" s="52"/>
      <c r="J23" s="52"/>
      <c r="K23" s="59">
        <f>K17</f>
        <v>16400</v>
      </c>
      <c r="L23" s="59">
        <f>L17</f>
        <v>177400</v>
      </c>
      <c r="M23" s="52"/>
      <c r="N23" s="52"/>
      <c r="O23" s="59">
        <f>O17</f>
        <v>238600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4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 t="s">
        <v>10</v>
      </c>
      <c r="T24" s="14">
        <f>N42/1000</f>
        <v>413.48779999999999</v>
      </c>
      <c r="U24" s="15">
        <f>N43</f>
        <v>0.37542435098700017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69</v>
      </c>
      <c r="T25" s="14">
        <f>G42/1000</f>
        <v>131.1</v>
      </c>
      <c r="U25" s="16">
        <f>G43</f>
        <v>0.11903164353191491</v>
      </c>
    </row>
    <row r="26" spans="1:21" ht="15.7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  <c r="S26" s="3" t="s">
        <v>70</v>
      </c>
      <c r="T26" s="14">
        <f>L42/1000</f>
        <v>177.4</v>
      </c>
      <c r="U26" s="15">
        <f>L43</f>
        <v>0.16106951611412437</v>
      </c>
    </row>
    <row r="27" spans="1:21" ht="19" x14ac:dyDescent="0.25">
      <c r="A27" s="1" t="s">
        <v>29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N27" s="11"/>
      <c r="O27" s="3"/>
      <c r="P27" s="3"/>
      <c r="Q27" s="3"/>
      <c r="R27" s="3"/>
      <c r="S27" s="3" t="s">
        <v>31</v>
      </c>
      <c r="T27" s="14">
        <f>F42/1000</f>
        <v>24.814</v>
      </c>
      <c r="U27" s="15">
        <f>F43</f>
        <v>2.2529757456910271E-2</v>
      </c>
    </row>
    <row r="28" spans="1:21" ht="16" x14ac:dyDescent="0.2">
      <c r="A28" s="4" t="s">
        <v>65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  <c r="S28" s="3" t="s">
        <v>4</v>
      </c>
      <c r="T28" s="13">
        <f>E42/1000</f>
        <v>0</v>
      </c>
      <c r="U28" s="15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69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75</v>
      </c>
      <c r="M29" s="6" t="s">
        <v>67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  <c r="S30" s="2" t="s">
        <v>8</v>
      </c>
      <c r="T30" s="2">
        <f>K42/1000</f>
        <v>16.399999999999999</v>
      </c>
      <c r="U30" s="46">
        <f>K43</f>
        <v>1.4890304759141148E-2</v>
      </c>
    </row>
    <row r="31" spans="1:21" ht="15.75" x14ac:dyDescent="0.25">
      <c r="A31" s="8" t="s">
        <v>33</v>
      </c>
      <c r="B31" s="52">
        <v>0</v>
      </c>
      <c r="C31" s="52">
        <v>10458</v>
      </c>
      <c r="D31" s="52">
        <v>0</v>
      </c>
      <c r="E31" s="52">
        <v>0</v>
      </c>
      <c r="F31" s="52">
        <v>883</v>
      </c>
      <c r="G31" s="52">
        <v>0</v>
      </c>
      <c r="H31" s="52">
        <v>0</v>
      </c>
      <c r="I31" s="52"/>
      <c r="J31" s="52"/>
      <c r="K31" s="52"/>
      <c r="L31" s="52"/>
      <c r="M31" s="44"/>
      <c r="N31" s="52">
        <v>18238</v>
      </c>
      <c r="O31" s="52">
        <v>29578</v>
      </c>
      <c r="P31" s="17">
        <f>O31/O$39</f>
        <v>2.939381833431717E-2</v>
      </c>
      <c r="Q31" s="18" t="s">
        <v>34</v>
      </c>
      <c r="R31" s="3"/>
      <c r="S31" s="3" t="s">
        <v>5</v>
      </c>
      <c r="T31" s="14">
        <f>I42/1000</f>
        <v>0</v>
      </c>
      <c r="U31" s="15">
        <f>I43</f>
        <v>0</v>
      </c>
    </row>
    <row r="32" spans="1:21" ht="16" x14ac:dyDescent="0.2">
      <c r="A32" s="8" t="s">
        <v>36</v>
      </c>
      <c r="B32" s="52">
        <v>3812</v>
      </c>
      <c r="C32" s="58">
        <v>8679</v>
      </c>
      <c r="D32" s="52">
        <v>0</v>
      </c>
      <c r="E32" s="52">
        <v>0</v>
      </c>
      <c r="F32" s="52">
        <v>0</v>
      </c>
      <c r="G32" s="70">
        <v>51300</v>
      </c>
      <c r="H32" s="52">
        <v>0</v>
      </c>
      <c r="I32" s="52"/>
      <c r="J32" s="52"/>
      <c r="K32" s="52"/>
      <c r="L32" s="71"/>
      <c r="M32" s="71">
        <v>14537</v>
      </c>
      <c r="N32" s="55">
        <f>N39-SUM(N33:N38,N31)</f>
        <v>99728</v>
      </c>
      <c r="O32" s="71">
        <v>178056</v>
      </c>
      <c r="P32" s="17">
        <f>O32/O$39</f>
        <v>0.17694724854064434</v>
      </c>
      <c r="Q32" s="18" t="s">
        <v>37</v>
      </c>
      <c r="R32" s="3"/>
      <c r="S32" s="3" t="s">
        <v>6</v>
      </c>
      <c r="T32" s="14">
        <f>H42/1000</f>
        <v>0</v>
      </c>
      <c r="U32" s="15">
        <f>H43</f>
        <v>0</v>
      </c>
    </row>
    <row r="33" spans="1:47" ht="15.75" x14ac:dyDescent="0.25">
      <c r="A33" s="8" t="s">
        <v>38</v>
      </c>
      <c r="B33" s="52">
        <v>15337</v>
      </c>
      <c r="C33" s="52">
        <v>120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/>
      <c r="M33" s="44"/>
      <c r="N33" s="52">
        <v>28124</v>
      </c>
      <c r="O33" s="52">
        <v>43580</v>
      </c>
      <c r="P33" s="17">
        <f>O33/O$39</f>
        <v>4.3308628136099203E-2</v>
      </c>
      <c r="Q33" s="18" t="s">
        <v>39</v>
      </c>
      <c r="R33" s="3"/>
      <c r="S33" s="3" t="s">
        <v>35</v>
      </c>
      <c r="T33" s="14">
        <f>C42/1000</f>
        <v>338.18599999999998</v>
      </c>
      <c r="U33" s="16">
        <f>C43</f>
        <v>0.30705442715090903</v>
      </c>
    </row>
    <row r="34" spans="1:47" ht="15.75" x14ac:dyDescent="0.25">
      <c r="A34" s="8" t="s">
        <v>40</v>
      </c>
      <c r="B34" s="52">
        <v>0</v>
      </c>
      <c r="C34" s="52">
        <v>304539</v>
      </c>
      <c r="D34" s="52">
        <v>0</v>
      </c>
      <c r="E34" s="52">
        <v>0</v>
      </c>
      <c r="F34" s="52">
        <v>23931</v>
      </c>
      <c r="G34" s="52">
        <v>0</v>
      </c>
      <c r="H34" s="52">
        <v>0</v>
      </c>
      <c r="I34" s="52"/>
      <c r="J34" s="52"/>
      <c r="K34" s="52"/>
      <c r="L34" s="52"/>
      <c r="M34" s="44"/>
      <c r="N34" s="52">
        <v>696</v>
      </c>
      <c r="O34" s="52">
        <v>329166</v>
      </c>
      <c r="P34" s="17">
        <f>O34/O$39</f>
        <v>0.32711628933105164</v>
      </c>
      <c r="Q34" s="18" t="s">
        <v>41</v>
      </c>
      <c r="R34" s="3"/>
      <c r="S34" s="3"/>
      <c r="T34" s="14">
        <f>SUM(T24:T33)</f>
        <v>1101.3878</v>
      </c>
      <c r="U34" s="15">
        <f>SUM(U24:U33)</f>
        <v>0.99999999999999978</v>
      </c>
    </row>
    <row r="35" spans="1:47" ht="16" x14ac:dyDescent="0.2">
      <c r="A35" s="8" t="s">
        <v>42</v>
      </c>
      <c r="B35" s="52">
        <v>17805</v>
      </c>
      <c r="C35" s="52">
        <v>8796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44"/>
      <c r="N35" s="52">
        <v>72423</v>
      </c>
      <c r="O35" s="52">
        <v>99024</v>
      </c>
      <c r="P35" s="17">
        <f>O35/O$39</f>
        <v>9.8407379360924446E-2</v>
      </c>
      <c r="Q35" s="18" t="s">
        <v>43</v>
      </c>
      <c r="R35" s="18"/>
    </row>
    <row r="36" spans="1:47" ht="16" x14ac:dyDescent="0.2">
      <c r="A36" s="8" t="s">
        <v>44</v>
      </c>
      <c r="B36" s="52">
        <v>14266</v>
      </c>
      <c r="C36" s="52">
        <v>1194</v>
      </c>
      <c r="D36" s="52">
        <v>0</v>
      </c>
      <c r="E36" s="52">
        <v>0</v>
      </c>
      <c r="F36" s="52">
        <v>0</v>
      </c>
      <c r="G36" s="55">
        <v>39400</v>
      </c>
      <c r="H36" s="52">
        <v>0</v>
      </c>
      <c r="I36" s="52"/>
      <c r="J36" s="52"/>
      <c r="K36" s="52"/>
      <c r="L36" s="52"/>
      <c r="M36" s="44"/>
      <c r="N36" s="55">
        <f>O36-G36-C36-B36</f>
        <v>143456</v>
      </c>
      <c r="O36" s="52">
        <v>198316</v>
      </c>
      <c r="P36" s="18"/>
      <c r="Q36" s="18"/>
      <c r="R36" s="3"/>
      <c r="S36" s="7"/>
      <c r="T36" s="7"/>
      <c r="U36" s="7"/>
    </row>
    <row r="37" spans="1:47" ht="15.75" x14ac:dyDescent="0.25">
      <c r="A37" s="8" t="s">
        <v>45</v>
      </c>
      <c r="B37" s="52">
        <v>82426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/>
      <c r="M37" s="44"/>
      <c r="N37" s="52">
        <v>19282</v>
      </c>
      <c r="O37" s="52">
        <v>101708</v>
      </c>
      <c r="P37" s="18"/>
      <c r="Q37" s="18"/>
      <c r="R37" s="3"/>
      <c r="S37" s="7"/>
      <c r="T37" s="7" t="s">
        <v>27</v>
      </c>
      <c r="U37" s="7" t="s">
        <v>28</v>
      </c>
    </row>
    <row r="38" spans="1:47" ht="16" x14ac:dyDescent="0.2">
      <c r="A38" s="8" t="s">
        <v>46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/>
      <c r="J38" s="52"/>
      <c r="K38" s="52"/>
      <c r="L38" s="52"/>
      <c r="M38" s="44"/>
      <c r="N38" s="52">
        <v>26838</v>
      </c>
      <c r="O38" s="52">
        <v>26838</v>
      </c>
      <c r="P38" s="18">
        <f>SUM(P31:P35)</f>
        <v>0.67517336370303682</v>
      </c>
      <c r="Q38" s="18"/>
      <c r="R38" s="3"/>
      <c r="S38" s="7" t="s">
        <v>47</v>
      </c>
      <c r="T38" s="19">
        <f>O45/1000</f>
        <v>79.820800000000006</v>
      </c>
      <c r="U38" s="7"/>
    </row>
    <row r="39" spans="1:47" ht="16" x14ac:dyDescent="0.2">
      <c r="A39" s="8" t="s">
        <v>16</v>
      </c>
      <c r="B39" s="52">
        <v>133646</v>
      </c>
      <c r="C39" s="72">
        <f>SUM(C31:C38)</f>
        <v>333786</v>
      </c>
      <c r="D39" s="52">
        <v>0</v>
      </c>
      <c r="E39" s="52">
        <v>0</v>
      </c>
      <c r="F39" s="52">
        <v>24814</v>
      </c>
      <c r="G39" s="72">
        <f>G32+G36</f>
        <v>90700</v>
      </c>
      <c r="H39" s="52">
        <v>0</v>
      </c>
      <c r="I39" s="52"/>
      <c r="J39" s="52"/>
      <c r="K39" s="52"/>
      <c r="L39" s="71"/>
      <c r="M39" s="71">
        <f>M32</f>
        <v>14537</v>
      </c>
      <c r="N39" s="52">
        <v>408785</v>
      </c>
      <c r="O39" s="52">
        <f>14537+991729</f>
        <v>1006266</v>
      </c>
      <c r="P39" s="56"/>
      <c r="Q39" s="3"/>
      <c r="R39" s="3"/>
      <c r="S39" s="7" t="s">
        <v>48</v>
      </c>
      <c r="T39" s="20">
        <f>O41/1000</f>
        <v>326.86200000000002</v>
      </c>
      <c r="U39" s="15">
        <f>P41</f>
        <v>0.32482663629696323</v>
      </c>
    </row>
    <row r="40" spans="1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S40" s="7" t="s">
        <v>49</v>
      </c>
      <c r="T40" s="20">
        <f>O35/1000</f>
        <v>99.024000000000001</v>
      </c>
      <c r="U40" s="16">
        <f>P35</f>
        <v>9.8407379360924446E-2</v>
      </c>
    </row>
    <row r="41" spans="1:47" ht="16" x14ac:dyDescent="0.2">
      <c r="A41" s="21" t="s">
        <v>50</v>
      </c>
      <c r="B41" s="22">
        <f t="shared" ref="B41:O41" si="0">B38+B37+B36</f>
        <v>96692</v>
      </c>
      <c r="C41" s="22">
        <f t="shared" si="0"/>
        <v>1194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39400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189576</v>
      </c>
      <c r="O41" s="22">
        <f t="shared" si="0"/>
        <v>326862</v>
      </c>
      <c r="P41" s="17">
        <f>O41/O$39</f>
        <v>0.32482663629696323</v>
      </c>
      <c r="Q41" s="17" t="s">
        <v>51</v>
      </c>
      <c r="R41" s="7"/>
      <c r="S41" s="7" t="s">
        <v>52</v>
      </c>
      <c r="T41" s="20">
        <f>O33/1000</f>
        <v>43.58</v>
      </c>
      <c r="U41" s="15">
        <f>P33</f>
        <v>4.3308628136099203E-2</v>
      </c>
    </row>
    <row r="42" spans="1:47" ht="16" x14ac:dyDescent="0.2">
      <c r="A42" s="23" t="s">
        <v>53</v>
      </c>
      <c r="B42" s="22"/>
      <c r="C42" s="24">
        <f t="shared" ref="C42:L42" si="1">C39+C23+C10</f>
        <v>338186</v>
      </c>
      <c r="D42" s="24">
        <f t="shared" si="1"/>
        <v>0</v>
      </c>
      <c r="E42" s="24">
        <f t="shared" si="1"/>
        <v>0</v>
      </c>
      <c r="F42" s="24">
        <f t="shared" si="1"/>
        <v>24814</v>
      </c>
      <c r="G42" s="24">
        <f t="shared" si="1"/>
        <v>131100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16400</v>
      </c>
      <c r="L42" s="24">
        <f t="shared" si="1"/>
        <v>177400</v>
      </c>
      <c r="M42" s="52">
        <v>0</v>
      </c>
      <c r="N42" s="24">
        <f>N39+N23-B6+N45</f>
        <v>413487.8</v>
      </c>
      <c r="O42" s="25">
        <f>SUM(C42:N42)</f>
        <v>1101387.8</v>
      </c>
      <c r="P42" s="7"/>
      <c r="Q42" s="7"/>
      <c r="R42" s="7"/>
      <c r="S42" s="7" t="s">
        <v>34</v>
      </c>
      <c r="T42" s="20">
        <f>O31/1000</f>
        <v>29.577999999999999</v>
      </c>
      <c r="U42" s="15">
        <f>P31</f>
        <v>2.939381833431717E-2</v>
      </c>
    </row>
    <row r="43" spans="1:47" ht="16" x14ac:dyDescent="0.2">
      <c r="A43" s="23" t="s">
        <v>54</v>
      </c>
      <c r="B43" s="22"/>
      <c r="C43" s="17">
        <f t="shared" ref="C43:N43" si="2">C42/$O42</f>
        <v>0.30705442715090903</v>
      </c>
      <c r="D43" s="17">
        <f t="shared" si="2"/>
        <v>0</v>
      </c>
      <c r="E43" s="17">
        <f t="shared" si="2"/>
        <v>0</v>
      </c>
      <c r="F43" s="17">
        <f t="shared" si="2"/>
        <v>2.2529757456910271E-2</v>
      </c>
      <c r="G43" s="17">
        <f t="shared" si="2"/>
        <v>0.11903164353191491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1.4890304759141148E-2</v>
      </c>
      <c r="L43" s="17">
        <f t="shared" si="2"/>
        <v>0.16106951611412437</v>
      </c>
      <c r="M43" s="17">
        <f t="shared" si="2"/>
        <v>0</v>
      </c>
      <c r="N43" s="17">
        <f t="shared" si="2"/>
        <v>0.37542435098700017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178.05600000000001</v>
      </c>
      <c r="U43" s="16">
        <f>P32</f>
        <v>0.17694724854064434</v>
      </c>
    </row>
    <row r="44" spans="1:4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329.166</v>
      </c>
      <c r="U44" s="16">
        <f>P34</f>
        <v>0.32711628933105164</v>
      </c>
    </row>
    <row r="45" spans="1:47" ht="16" x14ac:dyDescent="0.2">
      <c r="A45" s="6" t="s">
        <v>57</v>
      </c>
      <c r="B45" s="6">
        <f>B23-B39-L39</f>
        <v>47118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32702.799999999999</v>
      </c>
      <c r="O45" s="25">
        <f>B45+N45</f>
        <v>79820.800000000003</v>
      </c>
      <c r="P45" s="7"/>
      <c r="Q45" s="7"/>
      <c r="R45" s="7"/>
      <c r="S45" s="7" t="s">
        <v>58</v>
      </c>
      <c r="T45" s="20">
        <f>SUM(T39:T44)</f>
        <v>1006.2660000000001</v>
      </c>
      <c r="U45" s="15">
        <f>SUM(U39:U44)</f>
        <v>1</v>
      </c>
    </row>
    <row r="46" spans="1:47" ht="16" x14ac:dyDescent="0.2">
      <c r="A46" s="6" t="s">
        <v>71</v>
      </c>
      <c r="B46" s="78">
        <f>B45/B23</f>
        <v>0.26066030846850036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66" spans="1:20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311CB42-F1BB-4D0D-920A-70062426F45A}"/>
</file>

<file path=customXml/itemProps2.xml><?xml version="1.0" encoding="utf-8"?>
<ds:datastoreItem xmlns:ds="http://schemas.openxmlformats.org/officeDocument/2006/customXml" ds:itemID="{1E99DCFB-E06D-4935-A56E-B092FB534B06}"/>
</file>

<file path=customXml/itemProps3.xml><?xml version="1.0" encoding="utf-8"?>
<ds:datastoreItem xmlns:ds="http://schemas.openxmlformats.org/officeDocument/2006/customXml" ds:itemID="{2DE3514D-97CA-404C-A684-F41858E1E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Södermanland</vt:lpstr>
      <vt:lpstr>Vingåker</vt:lpstr>
      <vt:lpstr>Gnesta</vt:lpstr>
      <vt:lpstr>Nyköping</vt:lpstr>
      <vt:lpstr>Oxelösund</vt:lpstr>
      <vt:lpstr>Flen</vt:lpstr>
      <vt:lpstr>Katrineholm</vt:lpstr>
      <vt:lpstr>Eskilstuna</vt:lpstr>
      <vt:lpstr>Strängnäs</vt:lpstr>
      <vt:lpstr>Trosa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2016-02-05T21:16:45Z</dcterms:created>
  <dcterms:modified xsi:type="dcterms:W3CDTF">2017-11-01T17:01:01Z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