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omments10.xml" ContentType="application/vnd.openxmlformats-officedocument.spreadsheetml.comments+xml"/>
  <Override PartName="/xl/comments26.xml" ContentType="application/vnd.openxmlformats-officedocument.spreadsheetml.comments+xml"/>
  <Override PartName="/docProps/app.xml" ContentType="application/vnd.openxmlformats-officedocument.extended-propertie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6.xml" ContentType="application/vnd.openxmlformats-officedocument.spreadsheetml.comments+xml"/>
  <Override PartName="/xl/comments17.xml" ContentType="application/vnd.openxmlformats-officedocument.spreadsheetml.comments+xml"/>
  <Override PartName="/xl/comments7.xml" ContentType="application/vnd.openxmlformats-officedocument.spreadsheetml.comments+xml"/>
  <Override PartName="/xl/comments14.xml" ContentType="application/vnd.openxmlformats-officedocument.spreadsheetml.comments+xml"/>
  <Override PartName="/xl/comments13.xml" ContentType="application/vnd.openxmlformats-officedocument.spreadsheetml.comments+xml"/>
  <Override PartName="/xl/comments9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8.xml" ContentType="application/vnd.openxmlformats-officedocument.spreadsheetml.comments+xml"/>
  <Override PartName="/xl/comments18.xml" ContentType="application/vnd.openxmlformats-officedocument.spreadsheetml.comments+xml"/>
  <Override PartName="/xl/comments5.xml" ContentType="application/vnd.openxmlformats-officedocument.spreadsheetml.comments+xml"/>
  <Override PartName="/xl/comments19.xml" ContentType="application/vnd.openxmlformats-officedocument.spreadsheetml.comments+xml"/>
  <Override PartName="/xl/comments2.xml" ContentType="application/vnd.openxmlformats-officedocument.spreadsheetml.comments+xml"/>
  <Override PartName="/xl/comments2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24.xml" ContentType="application/vnd.openxmlformats-officedocument.spreadsheetml.comments+xml"/>
  <Override PartName="/xl/comments23.xml" ContentType="application/vnd.openxmlformats-officedocument.spreadsheetml.comments+xml"/>
  <Override PartName="/xl/comments3.xml" ContentType="application/vnd.openxmlformats-officedocument.spreadsheetml.comments+xml"/>
  <Override PartName="/xl/comments20.xml" ContentType="application/vnd.openxmlformats-officedocument.spreadsheetml.comments+xml"/>
  <Override PartName="/xl/comments4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codeName="ThisWorkbook" autoCompressPictures="0"/>
  <bookViews>
    <workbookView xWindow="0" yWindow="0" windowWidth="25600" windowHeight="16060" tabRatio="919"/>
  </bookViews>
  <sheets>
    <sheet name="Stockholms län" sheetId="31" r:id="rId1"/>
    <sheet name="Vallentuna" sheetId="3" r:id="rId2"/>
    <sheet name="Upplands Väsby" sheetId="2" r:id="rId3"/>
    <sheet name="Österåker" sheetId="4" r:id="rId4"/>
    <sheet name="Värmdö" sheetId="5" r:id="rId5"/>
    <sheet name="Järfälla" sheetId="6" r:id="rId6"/>
    <sheet name="Ekerö" sheetId="7" r:id="rId7"/>
    <sheet name="Huddinge" sheetId="8" r:id="rId8"/>
    <sheet name="Botkyrka" sheetId="9" r:id="rId9"/>
    <sheet name="Salem" sheetId="10" r:id="rId10"/>
    <sheet name="Haninge" sheetId="11" r:id="rId11"/>
    <sheet name="Tyresö" sheetId="12" r:id="rId12"/>
    <sheet name="Upplands-Bro" sheetId="13" r:id="rId13"/>
    <sheet name="Nykvarn" sheetId="14" r:id="rId14"/>
    <sheet name="Täby" sheetId="15" r:id="rId15"/>
    <sheet name="Danderyd" sheetId="16" r:id="rId16"/>
    <sheet name="Sollentuna" sheetId="17" r:id="rId17"/>
    <sheet name="Stockholm" sheetId="18" r:id="rId18"/>
    <sheet name="Södertälje" sheetId="19" r:id="rId19"/>
    <sheet name="Nacka" sheetId="20" r:id="rId20"/>
    <sheet name="Sundbyberg" sheetId="21" r:id="rId21"/>
    <sheet name="Solna" sheetId="22" r:id="rId22"/>
    <sheet name="Lidingö" sheetId="23" r:id="rId23"/>
    <sheet name="Vaxholm" sheetId="24" r:id="rId24"/>
    <sheet name="Norrtälje" sheetId="25" r:id="rId25"/>
    <sheet name="Sigtuna" sheetId="26" r:id="rId26"/>
    <sheet name="Nynäshamn" sheetId="27" r:id="rId2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8" i="31" l="1"/>
  <c r="N37" i="31"/>
  <c r="N36" i="31"/>
  <c r="N41" i="31"/>
  <c r="N31" i="31"/>
  <c r="N32" i="31"/>
  <c r="N33" i="31"/>
  <c r="N34" i="31"/>
  <c r="N35" i="31"/>
  <c r="N39" i="31"/>
  <c r="O41" i="31"/>
  <c r="T42" i="31"/>
  <c r="O35" i="31"/>
  <c r="T43" i="31"/>
  <c r="O33" i="31"/>
  <c r="T44" i="31"/>
  <c r="O31" i="31"/>
  <c r="T45" i="31"/>
  <c r="O32" i="31"/>
  <c r="T46" i="31"/>
  <c r="O34" i="31"/>
  <c r="T47" i="31"/>
  <c r="T48" i="31"/>
  <c r="S42" i="31"/>
  <c r="S43" i="31"/>
  <c r="S44" i="31"/>
  <c r="S45" i="31"/>
  <c r="S46" i="31"/>
  <c r="S47" i="31"/>
  <c r="S48" i="31"/>
  <c r="M39" i="31"/>
  <c r="M23" i="31"/>
  <c r="M45" i="31"/>
  <c r="M42" i="31"/>
  <c r="M47" i="31"/>
  <c r="B23" i="31"/>
  <c r="B39" i="31"/>
  <c r="B45" i="31"/>
  <c r="B46" i="31"/>
  <c r="N45" i="31"/>
  <c r="C39" i="31"/>
  <c r="C23" i="31"/>
  <c r="C10" i="31"/>
  <c r="C42" i="31"/>
  <c r="D39" i="31"/>
  <c r="D23" i="31"/>
  <c r="D10" i="31"/>
  <c r="D42" i="31"/>
  <c r="E39" i="31"/>
  <c r="E23" i="31"/>
  <c r="E10" i="31"/>
  <c r="E42" i="31"/>
  <c r="F39" i="31"/>
  <c r="F23" i="31"/>
  <c r="F10" i="31"/>
  <c r="F42" i="31"/>
  <c r="G39" i="31"/>
  <c r="G23" i="31"/>
  <c r="G10" i="31"/>
  <c r="G42" i="31"/>
  <c r="H39" i="31"/>
  <c r="H23" i="31"/>
  <c r="H10" i="31"/>
  <c r="H42" i="31"/>
  <c r="I39" i="31"/>
  <c r="I23" i="31"/>
  <c r="I10" i="31"/>
  <c r="I42" i="31"/>
  <c r="J39" i="31"/>
  <c r="J23" i="31"/>
  <c r="J10" i="31"/>
  <c r="J42" i="31"/>
  <c r="K39" i="31"/>
  <c r="K23" i="31"/>
  <c r="K10" i="31"/>
  <c r="K42" i="31"/>
  <c r="L39" i="31"/>
  <c r="L23" i="31"/>
  <c r="L10" i="31"/>
  <c r="L42" i="31"/>
  <c r="N42" i="31"/>
  <c r="C43" i="31"/>
  <c r="D43" i="31"/>
  <c r="E43" i="31"/>
  <c r="F43" i="31"/>
  <c r="G43" i="31"/>
  <c r="H43" i="31"/>
  <c r="I43" i="31"/>
  <c r="J43" i="31"/>
  <c r="K43" i="31"/>
  <c r="L43" i="31"/>
  <c r="M43" i="31"/>
  <c r="N43" i="31"/>
  <c r="S41" i="31"/>
  <c r="M41" i="31"/>
  <c r="L41" i="31"/>
  <c r="K41" i="31"/>
  <c r="J41" i="31"/>
  <c r="I41" i="31"/>
  <c r="H41" i="31"/>
  <c r="G41" i="31"/>
  <c r="F41" i="31"/>
  <c r="E41" i="31"/>
  <c r="D41" i="31"/>
  <c r="C41" i="31"/>
  <c r="B41" i="31"/>
  <c r="O38" i="31"/>
  <c r="T26" i="31"/>
  <c r="T27" i="31"/>
  <c r="T28" i="31"/>
  <c r="T29" i="31"/>
  <c r="T30" i="31"/>
  <c r="T31" i="31"/>
  <c r="T32" i="31"/>
  <c r="T33" i="31"/>
  <c r="T34" i="31"/>
  <c r="T35" i="31"/>
  <c r="T36" i="31"/>
  <c r="T37" i="31"/>
  <c r="S26" i="31"/>
  <c r="S27" i="31"/>
  <c r="S28" i="31"/>
  <c r="S29" i="31"/>
  <c r="S30" i="31"/>
  <c r="S31" i="31"/>
  <c r="S32" i="31"/>
  <c r="S33" i="31"/>
  <c r="S34" i="31"/>
  <c r="S35" i="31"/>
  <c r="S36" i="31"/>
  <c r="S37" i="31"/>
  <c r="S23" i="31"/>
  <c r="N17" i="31"/>
  <c r="N18" i="31"/>
  <c r="N19" i="31"/>
  <c r="N20" i="31"/>
  <c r="N23" i="31"/>
  <c r="N7" i="31"/>
  <c r="N10" i="31"/>
  <c r="B10" i="31"/>
  <c r="N33" i="26"/>
  <c r="N34" i="26"/>
  <c r="N35" i="26"/>
  <c r="N37" i="26"/>
  <c r="N38" i="26"/>
  <c r="N31" i="26"/>
  <c r="F39" i="26"/>
  <c r="C32" i="25"/>
  <c r="G32" i="25"/>
  <c r="M32" i="25"/>
  <c r="N32" i="25"/>
  <c r="N33" i="25"/>
  <c r="N34" i="25"/>
  <c r="N35" i="25"/>
  <c r="N36" i="25"/>
  <c r="N37" i="25"/>
  <c r="N38" i="25"/>
  <c r="N31" i="25"/>
  <c r="C39" i="25"/>
  <c r="D39" i="25"/>
  <c r="E39" i="25"/>
  <c r="F39" i="25"/>
  <c r="G39" i="25"/>
  <c r="H39" i="25"/>
  <c r="M39" i="25"/>
  <c r="B39" i="25"/>
  <c r="M39" i="22"/>
  <c r="C39" i="22"/>
  <c r="D39" i="22"/>
  <c r="E39" i="22"/>
  <c r="F39" i="22"/>
  <c r="G39" i="22"/>
  <c r="H39" i="22"/>
  <c r="B39" i="22"/>
  <c r="N33" i="22"/>
  <c r="N34" i="22"/>
  <c r="N35" i="22"/>
  <c r="N36" i="22"/>
  <c r="N37" i="22"/>
  <c r="N38" i="22"/>
  <c r="N31" i="22"/>
  <c r="N39" i="20"/>
  <c r="F39" i="20"/>
  <c r="N34" i="4"/>
  <c r="N34" i="13"/>
  <c r="N34" i="17"/>
  <c r="N34" i="18"/>
  <c r="N34" i="24"/>
  <c r="F39" i="18"/>
  <c r="N31" i="18"/>
  <c r="N32" i="18"/>
  <c r="N33" i="18"/>
  <c r="N35" i="18"/>
  <c r="N36" i="18"/>
  <c r="N37" i="18"/>
  <c r="N38" i="18"/>
  <c r="N39" i="18"/>
  <c r="N39" i="19"/>
  <c r="N32" i="3"/>
  <c r="N33" i="3"/>
  <c r="N35" i="3"/>
  <c r="N36" i="3"/>
  <c r="N37" i="3"/>
  <c r="N39" i="3"/>
  <c r="F32" i="4"/>
  <c r="N32" i="4"/>
  <c r="N33" i="4"/>
  <c r="N35" i="4"/>
  <c r="N36" i="4"/>
  <c r="N37" i="4"/>
  <c r="N39" i="4"/>
  <c r="N32" i="5"/>
  <c r="N33" i="5"/>
  <c r="B35" i="5"/>
  <c r="N35" i="5"/>
  <c r="N36" i="5"/>
  <c r="N37" i="5"/>
  <c r="N39" i="5"/>
  <c r="N32" i="13"/>
  <c r="N33" i="13"/>
  <c r="N35" i="13"/>
  <c r="N36" i="13"/>
  <c r="N37" i="13"/>
  <c r="N39" i="13"/>
  <c r="N33" i="17"/>
  <c r="N35" i="17"/>
  <c r="N36" i="17"/>
  <c r="N37" i="17"/>
  <c r="N38" i="17"/>
  <c r="N39" i="17"/>
  <c r="E39" i="18"/>
  <c r="C31" i="23"/>
  <c r="C32" i="23"/>
  <c r="F31" i="23"/>
  <c r="F32" i="23"/>
  <c r="N32" i="23"/>
  <c r="N39" i="23"/>
  <c r="N32" i="24"/>
  <c r="N33" i="24"/>
  <c r="N35" i="24"/>
  <c r="N36" i="24"/>
  <c r="N37" i="24"/>
  <c r="N39" i="24"/>
  <c r="N39" i="25"/>
  <c r="B39" i="27"/>
  <c r="C36" i="27"/>
  <c r="C39" i="27"/>
  <c r="E39" i="27"/>
  <c r="G39" i="27"/>
  <c r="N39" i="27"/>
  <c r="B39" i="3"/>
  <c r="B39" i="4"/>
  <c r="B39" i="5"/>
  <c r="C31" i="2"/>
  <c r="C39" i="2"/>
  <c r="C36" i="6"/>
  <c r="C39" i="6"/>
  <c r="C32" i="8"/>
  <c r="C36" i="8"/>
  <c r="C39" i="8"/>
  <c r="C32" i="9"/>
  <c r="C39" i="9"/>
  <c r="C39" i="11"/>
  <c r="C31" i="16"/>
  <c r="C39" i="16"/>
  <c r="C32" i="20"/>
  <c r="C36" i="20"/>
  <c r="C39" i="20"/>
  <c r="D39" i="2"/>
  <c r="D39" i="19"/>
  <c r="E39" i="2"/>
  <c r="E39" i="4"/>
  <c r="E39" i="5"/>
  <c r="E39" i="8"/>
  <c r="E39" i="13"/>
  <c r="E32" i="17"/>
  <c r="E39" i="17"/>
  <c r="E39" i="19"/>
  <c r="E39" i="20"/>
  <c r="E39" i="26"/>
  <c r="F39" i="3"/>
  <c r="F39" i="4"/>
  <c r="F39" i="5"/>
  <c r="C32" i="7"/>
  <c r="C31" i="7"/>
  <c r="F31" i="7"/>
  <c r="F39" i="7"/>
  <c r="F39" i="9"/>
  <c r="F32" i="11"/>
  <c r="F39" i="11"/>
  <c r="F31" i="13"/>
  <c r="F39" i="13"/>
  <c r="F39" i="15"/>
  <c r="F39" i="17"/>
  <c r="G39" i="5"/>
  <c r="G32" i="6"/>
  <c r="G39" i="6"/>
  <c r="G39" i="8"/>
  <c r="N31" i="16"/>
  <c r="N32" i="16"/>
  <c r="G32" i="16"/>
  <c r="G39" i="16"/>
  <c r="G39" i="19"/>
  <c r="G32" i="20"/>
  <c r="G39" i="20"/>
  <c r="G39" i="26"/>
  <c r="C31" i="13"/>
  <c r="C31" i="24"/>
  <c r="F31" i="2"/>
  <c r="F31" i="24"/>
  <c r="N31" i="14"/>
  <c r="C32" i="14"/>
  <c r="F32" i="2"/>
  <c r="F32" i="14"/>
  <c r="N32" i="14"/>
  <c r="N32" i="27"/>
  <c r="B21" i="18"/>
  <c r="G41" i="26"/>
  <c r="B45" i="11"/>
  <c r="N23" i="23"/>
  <c r="G17" i="25"/>
  <c r="B6" i="25"/>
  <c r="D23" i="19"/>
  <c r="J23" i="19"/>
  <c r="I42" i="13"/>
  <c r="N18" i="5"/>
  <c r="B18" i="5"/>
  <c r="B23" i="5"/>
  <c r="B45" i="5"/>
  <c r="B46" i="5"/>
  <c r="C23" i="13"/>
  <c r="F23" i="13"/>
  <c r="G23" i="13"/>
  <c r="H23" i="13"/>
  <c r="M20" i="13"/>
  <c r="N20" i="13"/>
  <c r="N18" i="13"/>
  <c r="N23" i="13"/>
  <c r="M23" i="13"/>
  <c r="B18" i="13"/>
  <c r="B23" i="13"/>
  <c r="M20" i="15"/>
  <c r="N20" i="15"/>
  <c r="C18" i="15"/>
  <c r="N18" i="15"/>
  <c r="N23" i="15"/>
  <c r="C23" i="15"/>
  <c r="B23" i="17"/>
  <c r="B23" i="10"/>
  <c r="B45" i="10"/>
  <c r="B46" i="10"/>
  <c r="B23" i="6"/>
  <c r="B45" i="6"/>
  <c r="B46" i="6"/>
  <c r="B17" i="27"/>
  <c r="B18" i="27"/>
  <c r="B23" i="27"/>
  <c r="M19" i="27"/>
  <c r="N19" i="27"/>
  <c r="N17" i="27"/>
  <c r="N23" i="27"/>
  <c r="C23" i="27"/>
  <c r="K23" i="27"/>
  <c r="G23" i="27"/>
  <c r="M23" i="27"/>
  <c r="B23" i="26"/>
  <c r="N17" i="26"/>
  <c r="N23" i="26"/>
  <c r="C23" i="26"/>
  <c r="G23" i="26"/>
  <c r="N10" i="25"/>
  <c r="C10" i="25"/>
  <c r="N17" i="25"/>
  <c r="N23" i="25"/>
  <c r="C23" i="25"/>
  <c r="G23" i="25"/>
  <c r="B23" i="23"/>
  <c r="B45" i="23"/>
  <c r="B46" i="23"/>
  <c r="M20" i="22"/>
  <c r="N20" i="22"/>
  <c r="N18" i="22"/>
  <c r="N23" i="22"/>
  <c r="M23" i="22"/>
  <c r="G23" i="22"/>
  <c r="F23" i="22"/>
  <c r="C23" i="22"/>
  <c r="C23" i="21"/>
  <c r="F23" i="21"/>
  <c r="N18" i="21"/>
  <c r="N23" i="21"/>
  <c r="B23" i="21"/>
  <c r="B45" i="21"/>
  <c r="B46" i="21"/>
  <c r="B23" i="20"/>
  <c r="B45" i="20"/>
  <c r="B46" i="20"/>
  <c r="B17" i="19"/>
  <c r="B18" i="19"/>
  <c r="B23" i="19"/>
  <c r="B23" i="18"/>
  <c r="B45" i="18"/>
  <c r="B46" i="18"/>
  <c r="B23" i="16"/>
  <c r="B45" i="16"/>
  <c r="B46" i="16"/>
  <c r="B23" i="14"/>
  <c r="B45" i="14"/>
  <c r="B46" i="14"/>
  <c r="B23" i="12"/>
  <c r="B45" i="12"/>
  <c r="B46" i="12"/>
  <c r="B23" i="2"/>
  <c r="B45" i="2"/>
  <c r="B46" i="2"/>
  <c r="B23" i="9"/>
  <c r="B45" i="9"/>
  <c r="B46" i="9"/>
  <c r="B18" i="8"/>
  <c r="B23" i="8"/>
  <c r="B45" i="8"/>
  <c r="B46" i="8"/>
  <c r="C18" i="8"/>
  <c r="N18" i="8"/>
  <c r="N23" i="8"/>
  <c r="C23" i="8"/>
  <c r="N23" i="5"/>
  <c r="G23" i="5"/>
  <c r="E23" i="19"/>
  <c r="F23" i="19"/>
  <c r="G23" i="19"/>
  <c r="H23" i="19"/>
  <c r="C23" i="19"/>
  <c r="N18" i="19"/>
  <c r="N19" i="19"/>
  <c r="N20" i="19"/>
  <c r="N21" i="19"/>
  <c r="N22" i="19"/>
  <c r="N23" i="19"/>
  <c r="N17" i="19"/>
  <c r="D10" i="18"/>
  <c r="E10" i="18"/>
  <c r="F10" i="18"/>
  <c r="C10" i="18"/>
  <c r="N10" i="18"/>
  <c r="K23" i="18"/>
  <c r="M20" i="18"/>
  <c r="M19" i="18"/>
  <c r="M23" i="18"/>
  <c r="C23" i="18"/>
  <c r="D23" i="18"/>
  <c r="E23" i="18"/>
  <c r="F23" i="18"/>
  <c r="G23" i="18"/>
  <c r="N17" i="18"/>
  <c r="N18" i="18"/>
  <c r="N19" i="18"/>
  <c r="N20" i="18"/>
  <c r="N21" i="18"/>
  <c r="N23" i="18"/>
  <c r="N22" i="18"/>
  <c r="G23" i="15"/>
  <c r="M23" i="15"/>
  <c r="N17" i="11"/>
  <c r="N23" i="11"/>
  <c r="F23" i="11"/>
  <c r="G23" i="11"/>
  <c r="M20" i="6"/>
  <c r="N20" i="6"/>
  <c r="N23" i="6"/>
  <c r="M23" i="6"/>
  <c r="M20" i="4"/>
  <c r="N20" i="4"/>
  <c r="N23" i="4"/>
  <c r="M23" i="4"/>
  <c r="M20" i="2"/>
  <c r="M23" i="2"/>
  <c r="N20" i="2"/>
  <c r="N23" i="2"/>
  <c r="M20" i="3"/>
  <c r="N20" i="3"/>
  <c r="N23" i="3"/>
  <c r="M23" i="3"/>
  <c r="M19" i="25"/>
  <c r="M20" i="21"/>
  <c r="M20" i="23"/>
  <c r="B10" i="25"/>
  <c r="B18" i="15"/>
  <c r="B45" i="19"/>
  <c r="B46" i="19"/>
  <c r="B23" i="22"/>
  <c r="B45" i="22"/>
  <c r="B41" i="18"/>
  <c r="B45" i="26"/>
  <c r="B23" i="15"/>
  <c r="B45" i="15"/>
  <c r="B45" i="3"/>
  <c r="B46" i="3"/>
  <c r="B45" i="27"/>
  <c r="B46" i="27"/>
  <c r="B45" i="17"/>
  <c r="B46" i="17"/>
  <c r="B41" i="2"/>
  <c r="B46" i="26"/>
  <c r="B45" i="25"/>
  <c r="B46" i="25"/>
  <c r="B45" i="24"/>
  <c r="B46" i="24"/>
  <c r="B46" i="22"/>
  <c r="B46" i="15"/>
  <c r="B45" i="13"/>
  <c r="B46" i="13"/>
  <c r="B45" i="7"/>
  <c r="B46" i="7"/>
  <c r="B45" i="4"/>
  <c r="B46" i="4"/>
  <c r="N41" i="27"/>
  <c r="O41" i="27"/>
  <c r="T39" i="27"/>
  <c r="O35" i="27"/>
  <c r="T40" i="27"/>
  <c r="O33" i="27"/>
  <c r="T41" i="27"/>
  <c r="O31" i="27"/>
  <c r="T42" i="27"/>
  <c r="O32" i="27"/>
  <c r="T43" i="27"/>
  <c r="O34" i="27"/>
  <c r="T44" i="27"/>
  <c r="T45" i="27"/>
  <c r="S39" i="27"/>
  <c r="S40" i="27"/>
  <c r="S41" i="27"/>
  <c r="S42" i="27"/>
  <c r="S43" i="27"/>
  <c r="S44" i="27"/>
  <c r="S45" i="27"/>
  <c r="M45" i="27"/>
  <c r="N45" i="27"/>
  <c r="C42" i="27"/>
  <c r="L42" i="27"/>
  <c r="M42" i="27"/>
  <c r="D42" i="27"/>
  <c r="E42" i="27"/>
  <c r="F42" i="27"/>
  <c r="G42" i="27"/>
  <c r="H42" i="27"/>
  <c r="I42" i="27"/>
  <c r="J42" i="27"/>
  <c r="K42" i="27"/>
  <c r="N42" i="27"/>
  <c r="C43" i="27"/>
  <c r="D43" i="27"/>
  <c r="E43" i="27"/>
  <c r="F43" i="27"/>
  <c r="G43" i="27"/>
  <c r="H43" i="27"/>
  <c r="I43" i="27"/>
  <c r="J43" i="27"/>
  <c r="K43" i="27"/>
  <c r="L43" i="27"/>
  <c r="M43" i="27"/>
  <c r="N43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S38" i="27"/>
  <c r="O38" i="27"/>
  <c r="T26" i="27"/>
  <c r="T27" i="27"/>
  <c r="T28" i="27"/>
  <c r="T29" i="27"/>
  <c r="T30" i="27"/>
  <c r="T31" i="27"/>
  <c r="T32" i="27"/>
  <c r="T33" i="27"/>
  <c r="T34" i="27"/>
  <c r="S26" i="27"/>
  <c r="S27" i="27"/>
  <c r="S30" i="27"/>
  <c r="S31" i="27"/>
  <c r="S28" i="27"/>
  <c r="S29" i="27"/>
  <c r="S32" i="27"/>
  <c r="S33" i="27"/>
  <c r="S34" i="27"/>
  <c r="S23" i="27"/>
  <c r="O35" i="26"/>
  <c r="T40" i="26"/>
  <c r="O33" i="26"/>
  <c r="T41" i="26"/>
  <c r="O31" i="26"/>
  <c r="T42" i="26"/>
  <c r="O34" i="26"/>
  <c r="T44" i="26"/>
  <c r="S40" i="26"/>
  <c r="S41" i="26"/>
  <c r="S42" i="26"/>
  <c r="S44" i="26"/>
  <c r="M45" i="26"/>
  <c r="N45" i="26"/>
  <c r="E42" i="26"/>
  <c r="D42" i="26"/>
  <c r="F42" i="26"/>
  <c r="G42" i="26"/>
  <c r="H42" i="26"/>
  <c r="I42" i="26"/>
  <c r="J42" i="26"/>
  <c r="K42" i="26"/>
  <c r="L42" i="26"/>
  <c r="M42" i="26"/>
  <c r="M41" i="26"/>
  <c r="L41" i="26"/>
  <c r="K41" i="26"/>
  <c r="J41" i="26"/>
  <c r="I41" i="26"/>
  <c r="H41" i="26"/>
  <c r="F41" i="26"/>
  <c r="E41" i="26"/>
  <c r="D41" i="26"/>
  <c r="B41" i="26"/>
  <c r="S38" i="26"/>
  <c r="S26" i="26"/>
  <c r="S27" i="26"/>
  <c r="S30" i="26"/>
  <c r="S28" i="26"/>
  <c r="S29" i="26"/>
  <c r="S32" i="26"/>
  <c r="S33" i="26"/>
  <c r="N41" i="25"/>
  <c r="O41" i="25"/>
  <c r="T39" i="25"/>
  <c r="O35" i="25"/>
  <c r="T40" i="25"/>
  <c r="O33" i="25"/>
  <c r="T41" i="25"/>
  <c r="O31" i="25"/>
  <c r="T42" i="25"/>
  <c r="O32" i="25"/>
  <c r="T43" i="25"/>
  <c r="O34" i="25"/>
  <c r="T44" i="25"/>
  <c r="T45" i="25"/>
  <c r="S39" i="25"/>
  <c r="S40" i="25"/>
  <c r="S41" i="25"/>
  <c r="S42" i="25"/>
  <c r="S43" i="25"/>
  <c r="S44" i="25"/>
  <c r="S45" i="25"/>
  <c r="M45" i="25"/>
  <c r="N45" i="25"/>
  <c r="C42" i="25"/>
  <c r="D42" i="25"/>
  <c r="E42" i="25"/>
  <c r="G42" i="25"/>
  <c r="M42" i="25"/>
  <c r="F42" i="25"/>
  <c r="H42" i="25"/>
  <c r="I42" i="25"/>
  <c r="J42" i="25"/>
  <c r="K42" i="25"/>
  <c r="L42" i="25"/>
  <c r="N42" i="25"/>
  <c r="C43" i="25"/>
  <c r="D43" i="25"/>
  <c r="E43" i="25"/>
  <c r="F43" i="25"/>
  <c r="G43" i="25"/>
  <c r="H43" i="25"/>
  <c r="I43" i="25"/>
  <c r="J43" i="25"/>
  <c r="K43" i="25"/>
  <c r="L43" i="25"/>
  <c r="M43" i="25"/>
  <c r="N43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S38" i="25"/>
  <c r="O38" i="25"/>
  <c r="T26" i="25"/>
  <c r="T27" i="25"/>
  <c r="T28" i="25"/>
  <c r="T29" i="25"/>
  <c r="T30" i="25"/>
  <c r="T31" i="25"/>
  <c r="T32" i="25"/>
  <c r="T33" i="25"/>
  <c r="T34" i="25"/>
  <c r="S26" i="25"/>
  <c r="S27" i="25"/>
  <c r="S28" i="25"/>
  <c r="S29" i="25"/>
  <c r="S30" i="25"/>
  <c r="S31" i="25"/>
  <c r="S32" i="25"/>
  <c r="S33" i="25"/>
  <c r="S34" i="25"/>
  <c r="S23" i="25"/>
  <c r="N41" i="24"/>
  <c r="O41" i="24"/>
  <c r="T39" i="24"/>
  <c r="O35" i="24"/>
  <c r="T40" i="24"/>
  <c r="O33" i="24"/>
  <c r="T41" i="24"/>
  <c r="O31" i="24"/>
  <c r="T42" i="24"/>
  <c r="O32" i="24"/>
  <c r="T43" i="24"/>
  <c r="O34" i="24"/>
  <c r="T44" i="24"/>
  <c r="T45" i="24"/>
  <c r="S39" i="24"/>
  <c r="S40" i="24"/>
  <c r="S41" i="24"/>
  <c r="S42" i="24"/>
  <c r="S43" i="24"/>
  <c r="S44" i="24"/>
  <c r="S45" i="24"/>
  <c r="M45" i="24"/>
  <c r="N45" i="24"/>
  <c r="C42" i="24"/>
  <c r="D42" i="24"/>
  <c r="E42" i="24"/>
  <c r="F42" i="24"/>
  <c r="G42" i="24"/>
  <c r="H42" i="24"/>
  <c r="I42" i="24"/>
  <c r="J42" i="24"/>
  <c r="K42" i="24"/>
  <c r="L42" i="24"/>
  <c r="M42" i="24"/>
  <c r="N42" i="24"/>
  <c r="C43" i="24"/>
  <c r="D43" i="24"/>
  <c r="E43" i="24"/>
  <c r="F43" i="24"/>
  <c r="G43" i="24"/>
  <c r="H43" i="24"/>
  <c r="I43" i="24"/>
  <c r="J43" i="24"/>
  <c r="K43" i="24"/>
  <c r="L43" i="24"/>
  <c r="M43" i="24"/>
  <c r="N43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S38" i="24"/>
  <c r="O38" i="24"/>
  <c r="T26" i="24"/>
  <c r="T27" i="24"/>
  <c r="T28" i="24"/>
  <c r="T29" i="24"/>
  <c r="T30" i="24"/>
  <c r="T31" i="24"/>
  <c r="T32" i="24"/>
  <c r="T33" i="24"/>
  <c r="T34" i="24"/>
  <c r="S26" i="24"/>
  <c r="S27" i="24"/>
  <c r="S28" i="24"/>
  <c r="S29" i="24"/>
  <c r="S30" i="24"/>
  <c r="S31" i="24"/>
  <c r="S32" i="24"/>
  <c r="S33" i="24"/>
  <c r="S34" i="24"/>
  <c r="S23" i="24"/>
  <c r="N41" i="23"/>
  <c r="O41" i="23"/>
  <c r="T39" i="23"/>
  <c r="O35" i="23"/>
  <c r="T40" i="23"/>
  <c r="O33" i="23"/>
  <c r="T41" i="23"/>
  <c r="O31" i="23"/>
  <c r="T42" i="23"/>
  <c r="O32" i="23"/>
  <c r="T43" i="23"/>
  <c r="O34" i="23"/>
  <c r="T44" i="23"/>
  <c r="T45" i="23"/>
  <c r="S39" i="23"/>
  <c r="S40" i="23"/>
  <c r="S41" i="23"/>
  <c r="S42" i="23"/>
  <c r="S43" i="23"/>
  <c r="S44" i="23"/>
  <c r="S45" i="23"/>
  <c r="M45" i="23"/>
  <c r="N45" i="23"/>
  <c r="C42" i="23"/>
  <c r="D42" i="23"/>
  <c r="E42" i="23"/>
  <c r="F42" i="23"/>
  <c r="G42" i="23"/>
  <c r="H42" i="23"/>
  <c r="I42" i="23"/>
  <c r="J42" i="23"/>
  <c r="K42" i="23"/>
  <c r="L42" i="23"/>
  <c r="M42" i="23"/>
  <c r="N42" i="23"/>
  <c r="C43" i="23"/>
  <c r="D43" i="23"/>
  <c r="E43" i="23"/>
  <c r="F43" i="23"/>
  <c r="G43" i="23"/>
  <c r="H43" i="23"/>
  <c r="I43" i="23"/>
  <c r="J43" i="23"/>
  <c r="K43" i="23"/>
  <c r="L43" i="23"/>
  <c r="M43" i="23"/>
  <c r="N43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S38" i="23"/>
  <c r="O38" i="23"/>
  <c r="T26" i="23"/>
  <c r="T27" i="23"/>
  <c r="T28" i="23"/>
  <c r="T29" i="23"/>
  <c r="T30" i="23"/>
  <c r="T31" i="23"/>
  <c r="T32" i="23"/>
  <c r="T33" i="23"/>
  <c r="T34" i="23"/>
  <c r="S26" i="23"/>
  <c r="S27" i="23"/>
  <c r="S28" i="23"/>
  <c r="S29" i="23"/>
  <c r="S30" i="23"/>
  <c r="S31" i="23"/>
  <c r="S32" i="23"/>
  <c r="S33" i="23"/>
  <c r="S34" i="23"/>
  <c r="S23" i="23"/>
  <c r="N41" i="22"/>
  <c r="O41" i="22"/>
  <c r="T39" i="22"/>
  <c r="O35" i="22"/>
  <c r="T40" i="22"/>
  <c r="O33" i="22"/>
  <c r="T41" i="22"/>
  <c r="O31" i="22"/>
  <c r="T42" i="22"/>
  <c r="O34" i="22"/>
  <c r="T44" i="22"/>
  <c r="S39" i="22"/>
  <c r="S40" i="22"/>
  <c r="S41" i="22"/>
  <c r="S42" i="22"/>
  <c r="S44" i="22"/>
  <c r="M45" i="22"/>
  <c r="N45" i="22"/>
  <c r="C42" i="22"/>
  <c r="D42" i="22"/>
  <c r="F42" i="22"/>
  <c r="G42" i="22"/>
  <c r="H42" i="22"/>
  <c r="I42" i="22"/>
  <c r="J42" i="22"/>
  <c r="K42" i="22"/>
  <c r="L42" i="22"/>
  <c r="M42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S38" i="22"/>
  <c r="S26" i="22"/>
  <c r="S27" i="22"/>
  <c r="S28" i="22"/>
  <c r="S29" i="22"/>
  <c r="S31" i="22"/>
  <c r="S32" i="22"/>
  <c r="S33" i="22"/>
  <c r="N41" i="21"/>
  <c r="O41" i="21"/>
  <c r="T39" i="21"/>
  <c r="O35" i="21"/>
  <c r="T40" i="21"/>
  <c r="O33" i="21"/>
  <c r="T41" i="21"/>
  <c r="O31" i="21"/>
  <c r="T42" i="21"/>
  <c r="O32" i="21"/>
  <c r="T43" i="21"/>
  <c r="O34" i="21"/>
  <c r="T44" i="21"/>
  <c r="T45" i="21"/>
  <c r="S39" i="21"/>
  <c r="S40" i="21"/>
  <c r="S41" i="21"/>
  <c r="S42" i="21"/>
  <c r="S43" i="21"/>
  <c r="S44" i="21"/>
  <c r="S45" i="21"/>
  <c r="M45" i="21"/>
  <c r="N45" i="21"/>
  <c r="C42" i="21"/>
  <c r="D42" i="21"/>
  <c r="E42" i="21"/>
  <c r="F42" i="21"/>
  <c r="G42" i="21"/>
  <c r="H42" i="21"/>
  <c r="I42" i="21"/>
  <c r="J42" i="21"/>
  <c r="K42" i="21"/>
  <c r="L42" i="21"/>
  <c r="M42" i="21"/>
  <c r="N42" i="21"/>
  <c r="C43" i="21"/>
  <c r="D43" i="21"/>
  <c r="E43" i="21"/>
  <c r="F43" i="21"/>
  <c r="G43" i="21"/>
  <c r="H43" i="21"/>
  <c r="I43" i="21"/>
  <c r="J43" i="21"/>
  <c r="K43" i="21"/>
  <c r="L43" i="21"/>
  <c r="M43" i="21"/>
  <c r="N43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S38" i="21"/>
  <c r="O38" i="21"/>
  <c r="T26" i="21"/>
  <c r="T27" i="21"/>
  <c r="T28" i="21"/>
  <c r="T29" i="21"/>
  <c r="T30" i="21"/>
  <c r="T31" i="21"/>
  <c r="T32" i="21"/>
  <c r="T33" i="21"/>
  <c r="T34" i="21"/>
  <c r="S26" i="21"/>
  <c r="S27" i="21"/>
  <c r="S28" i="21"/>
  <c r="S29" i="21"/>
  <c r="S30" i="21"/>
  <c r="S31" i="21"/>
  <c r="S32" i="21"/>
  <c r="S33" i="21"/>
  <c r="S34" i="21"/>
  <c r="S23" i="21"/>
  <c r="N41" i="20"/>
  <c r="O41" i="20"/>
  <c r="T39" i="20"/>
  <c r="O35" i="20"/>
  <c r="T40" i="20"/>
  <c r="O33" i="20"/>
  <c r="T41" i="20"/>
  <c r="O31" i="20"/>
  <c r="T42" i="20"/>
  <c r="O32" i="20"/>
  <c r="T43" i="20"/>
  <c r="O34" i="20"/>
  <c r="T44" i="20"/>
  <c r="T45" i="20"/>
  <c r="S39" i="20"/>
  <c r="S40" i="20"/>
  <c r="S41" i="20"/>
  <c r="S42" i="20"/>
  <c r="S43" i="20"/>
  <c r="S44" i="20"/>
  <c r="S45" i="20"/>
  <c r="M45" i="20"/>
  <c r="N45" i="20"/>
  <c r="C42" i="20"/>
  <c r="D42" i="20"/>
  <c r="E42" i="20"/>
  <c r="F42" i="20"/>
  <c r="G42" i="20"/>
  <c r="H42" i="20"/>
  <c r="I42" i="20"/>
  <c r="J42" i="20"/>
  <c r="K42" i="20"/>
  <c r="L42" i="20"/>
  <c r="M42" i="20"/>
  <c r="N42" i="20"/>
  <c r="C43" i="20"/>
  <c r="D43" i="20"/>
  <c r="E43" i="20"/>
  <c r="F43" i="20"/>
  <c r="G43" i="20"/>
  <c r="H43" i="20"/>
  <c r="I43" i="20"/>
  <c r="J43" i="20"/>
  <c r="K43" i="20"/>
  <c r="L43" i="20"/>
  <c r="M43" i="20"/>
  <c r="N43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S38" i="20"/>
  <c r="O38" i="20"/>
  <c r="T26" i="20"/>
  <c r="T27" i="20"/>
  <c r="T28" i="20"/>
  <c r="T29" i="20"/>
  <c r="T30" i="20"/>
  <c r="T31" i="20"/>
  <c r="T32" i="20"/>
  <c r="T33" i="20"/>
  <c r="T34" i="20"/>
  <c r="S26" i="20"/>
  <c r="S27" i="20"/>
  <c r="S30" i="20"/>
  <c r="S31" i="20"/>
  <c r="S28" i="20"/>
  <c r="S29" i="20"/>
  <c r="S32" i="20"/>
  <c r="S33" i="20"/>
  <c r="S34" i="20"/>
  <c r="S23" i="20"/>
  <c r="N41" i="19"/>
  <c r="O41" i="19"/>
  <c r="T39" i="19"/>
  <c r="O35" i="19"/>
  <c r="T40" i="19"/>
  <c r="O33" i="19"/>
  <c r="T41" i="19"/>
  <c r="O31" i="19"/>
  <c r="T42" i="19"/>
  <c r="O32" i="19"/>
  <c r="T43" i="19"/>
  <c r="O34" i="19"/>
  <c r="T44" i="19"/>
  <c r="T45" i="19"/>
  <c r="S39" i="19"/>
  <c r="S40" i="19"/>
  <c r="S41" i="19"/>
  <c r="S42" i="19"/>
  <c r="S43" i="19"/>
  <c r="S44" i="19"/>
  <c r="S45" i="19"/>
  <c r="M45" i="19"/>
  <c r="N45" i="19"/>
  <c r="C42" i="19"/>
  <c r="D42" i="19"/>
  <c r="M42" i="19"/>
  <c r="G42" i="19"/>
  <c r="E42" i="19"/>
  <c r="F42" i="19"/>
  <c r="H42" i="19"/>
  <c r="I42" i="19"/>
  <c r="J42" i="19"/>
  <c r="K42" i="19"/>
  <c r="L42" i="19"/>
  <c r="N42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S38" i="19"/>
  <c r="O38" i="19"/>
  <c r="T26" i="19"/>
  <c r="T27" i="19"/>
  <c r="T28" i="19"/>
  <c r="T29" i="19"/>
  <c r="T30" i="19"/>
  <c r="T31" i="19"/>
  <c r="T32" i="19"/>
  <c r="T33" i="19"/>
  <c r="T34" i="19"/>
  <c r="S26" i="19"/>
  <c r="S27" i="19"/>
  <c r="S30" i="19"/>
  <c r="S28" i="19"/>
  <c r="S29" i="19"/>
  <c r="S31" i="19"/>
  <c r="S32" i="19"/>
  <c r="S33" i="19"/>
  <c r="S34" i="19"/>
  <c r="S23" i="19"/>
  <c r="N41" i="18"/>
  <c r="S39" i="18"/>
  <c r="S40" i="18"/>
  <c r="S41" i="18"/>
  <c r="S42" i="18"/>
  <c r="S44" i="18"/>
  <c r="M45" i="18"/>
  <c r="N45" i="18"/>
  <c r="C42" i="18"/>
  <c r="D42" i="18"/>
  <c r="E42" i="18"/>
  <c r="G42" i="18"/>
  <c r="H42" i="18"/>
  <c r="I42" i="18"/>
  <c r="J42" i="18"/>
  <c r="K42" i="18"/>
  <c r="L42" i="18"/>
  <c r="M42" i="18"/>
  <c r="M41" i="18"/>
  <c r="L41" i="18"/>
  <c r="K41" i="18"/>
  <c r="J41" i="18"/>
  <c r="I41" i="18"/>
  <c r="H41" i="18"/>
  <c r="G41" i="18"/>
  <c r="F41" i="18"/>
  <c r="E41" i="18"/>
  <c r="D41" i="18"/>
  <c r="C41" i="18"/>
  <c r="S38" i="18"/>
  <c r="S26" i="18"/>
  <c r="S27" i="18"/>
  <c r="S28" i="18"/>
  <c r="S30" i="18"/>
  <c r="S31" i="18"/>
  <c r="S32" i="18"/>
  <c r="S33" i="18"/>
  <c r="N41" i="17"/>
  <c r="O41" i="17"/>
  <c r="T39" i="17"/>
  <c r="O35" i="17"/>
  <c r="T40" i="17"/>
  <c r="O33" i="17"/>
  <c r="T41" i="17"/>
  <c r="O31" i="17"/>
  <c r="T42" i="17"/>
  <c r="O32" i="17"/>
  <c r="T43" i="17"/>
  <c r="O34" i="17"/>
  <c r="T44" i="17"/>
  <c r="T45" i="17"/>
  <c r="S39" i="17"/>
  <c r="S40" i="17"/>
  <c r="S41" i="17"/>
  <c r="S42" i="17"/>
  <c r="S43" i="17"/>
  <c r="S44" i="17"/>
  <c r="S45" i="17"/>
  <c r="M45" i="17"/>
  <c r="N45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S38" i="17"/>
  <c r="O38" i="17"/>
  <c r="T26" i="17"/>
  <c r="T27" i="17"/>
  <c r="T28" i="17"/>
  <c r="T29" i="17"/>
  <c r="T30" i="17"/>
  <c r="T31" i="17"/>
  <c r="T32" i="17"/>
  <c r="T33" i="17"/>
  <c r="T34" i="17"/>
  <c r="S26" i="17"/>
  <c r="S27" i="17"/>
  <c r="S28" i="17"/>
  <c r="S29" i="17"/>
  <c r="S30" i="17"/>
  <c r="S31" i="17"/>
  <c r="S32" i="17"/>
  <c r="S33" i="17"/>
  <c r="S34" i="17"/>
  <c r="S23" i="17"/>
  <c r="N41" i="16"/>
  <c r="O41" i="16"/>
  <c r="T39" i="16"/>
  <c r="O35" i="16"/>
  <c r="T40" i="16"/>
  <c r="O33" i="16"/>
  <c r="T41" i="16"/>
  <c r="O31" i="16"/>
  <c r="T42" i="16"/>
  <c r="O32" i="16"/>
  <c r="T43" i="16"/>
  <c r="O34" i="16"/>
  <c r="T44" i="16"/>
  <c r="T45" i="16"/>
  <c r="S39" i="16"/>
  <c r="S40" i="16"/>
  <c r="S41" i="16"/>
  <c r="S42" i="16"/>
  <c r="S43" i="16"/>
  <c r="S44" i="16"/>
  <c r="S45" i="16"/>
  <c r="M45" i="16"/>
  <c r="N45" i="16"/>
  <c r="C42" i="16"/>
  <c r="G42" i="16"/>
  <c r="D42" i="16"/>
  <c r="E42" i="16"/>
  <c r="F42" i="16"/>
  <c r="H42" i="16"/>
  <c r="I42" i="16"/>
  <c r="J42" i="16"/>
  <c r="K42" i="16"/>
  <c r="L42" i="16"/>
  <c r="M42" i="16"/>
  <c r="N42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M41" i="16"/>
  <c r="L41" i="16"/>
  <c r="K41" i="16"/>
  <c r="J41" i="16"/>
  <c r="I41" i="16"/>
  <c r="H41" i="16"/>
  <c r="G41" i="16"/>
  <c r="F41" i="16"/>
  <c r="E41" i="16"/>
  <c r="D41" i="16"/>
  <c r="C41" i="16"/>
  <c r="B41" i="16"/>
  <c r="S38" i="16"/>
  <c r="O38" i="16"/>
  <c r="T26" i="16"/>
  <c r="T27" i="16"/>
  <c r="T28" i="16"/>
  <c r="T29" i="16"/>
  <c r="T30" i="16"/>
  <c r="T31" i="16"/>
  <c r="T32" i="16"/>
  <c r="T33" i="16"/>
  <c r="T34" i="16"/>
  <c r="S26" i="16"/>
  <c r="S27" i="16"/>
  <c r="S28" i="16"/>
  <c r="S29" i="16"/>
  <c r="S30" i="16"/>
  <c r="S31" i="16"/>
  <c r="S32" i="16"/>
  <c r="S33" i="16"/>
  <c r="S34" i="16"/>
  <c r="S23" i="16"/>
  <c r="N41" i="15"/>
  <c r="O41" i="15"/>
  <c r="T39" i="15"/>
  <c r="O35" i="15"/>
  <c r="T40" i="15"/>
  <c r="O33" i="15"/>
  <c r="T41" i="15"/>
  <c r="O31" i="15"/>
  <c r="T42" i="15"/>
  <c r="O32" i="15"/>
  <c r="T43" i="15"/>
  <c r="O34" i="15"/>
  <c r="T44" i="15"/>
  <c r="T45" i="15"/>
  <c r="S39" i="15"/>
  <c r="S40" i="15"/>
  <c r="S41" i="15"/>
  <c r="S42" i="15"/>
  <c r="S43" i="15"/>
  <c r="S44" i="15"/>
  <c r="S45" i="15"/>
  <c r="M45" i="15"/>
  <c r="N45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S38" i="15"/>
  <c r="O38" i="15"/>
  <c r="T26" i="15"/>
  <c r="T27" i="15"/>
  <c r="T28" i="15"/>
  <c r="T29" i="15"/>
  <c r="T30" i="15"/>
  <c r="T31" i="15"/>
  <c r="T32" i="15"/>
  <c r="T33" i="15"/>
  <c r="T34" i="15"/>
  <c r="S26" i="15"/>
  <c r="S27" i="15"/>
  <c r="S28" i="15"/>
  <c r="S29" i="15"/>
  <c r="S30" i="15"/>
  <c r="S31" i="15"/>
  <c r="S32" i="15"/>
  <c r="S33" i="15"/>
  <c r="S34" i="15"/>
  <c r="S23" i="15"/>
  <c r="N41" i="14"/>
  <c r="O41" i="14"/>
  <c r="T39" i="14"/>
  <c r="O35" i="14"/>
  <c r="T40" i="14"/>
  <c r="O33" i="14"/>
  <c r="T41" i="14"/>
  <c r="O31" i="14"/>
  <c r="T42" i="14"/>
  <c r="O32" i="14"/>
  <c r="T43" i="14"/>
  <c r="O34" i="14"/>
  <c r="T44" i="14"/>
  <c r="T45" i="14"/>
  <c r="S39" i="14"/>
  <c r="S40" i="14"/>
  <c r="S41" i="14"/>
  <c r="S42" i="14"/>
  <c r="S43" i="14"/>
  <c r="S44" i="14"/>
  <c r="S45" i="14"/>
  <c r="M45" i="14"/>
  <c r="N45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C43" i="14"/>
  <c r="D43" i="14"/>
  <c r="E43" i="14"/>
  <c r="F43" i="14"/>
  <c r="G43" i="14"/>
  <c r="H43" i="14"/>
  <c r="I43" i="14"/>
  <c r="J43" i="14"/>
  <c r="K43" i="14"/>
  <c r="L43" i="14"/>
  <c r="M43" i="14"/>
  <c r="N43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S38" i="14"/>
  <c r="O38" i="14"/>
  <c r="T26" i="14"/>
  <c r="T27" i="14"/>
  <c r="T28" i="14"/>
  <c r="T29" i="14"/>
  <c r="T30" i="14"/>
  <c r="T31" i="14"/>
  <c r="T32" i="14"/>
  <c r="T33" i="14"/>
  <c r="T34" i="14"/>
  <c r="S26" i="14"/>
  <c r="S27" i="14"/>
  <c r="S28" i="14"/>
  <c r="S29" i="14"/>
  <c r="S30" i="14"/>
  <c r="S31" i="14"/>
  <c r="S32" i="14"/>
  <c r="S33" i="14"/>
  <c r="S34" i="14"/>
  <c r="S23" i="14"/>
  <c r="N41" i="13"/>
  <c r="O41" i="13"/>
  <c r="T39" i="13"/>
  <c r="O35" i="13"/>
  <c r="T40" i="13"/>
  <c r="O33" i="13"/>
  <c r="T41" i="13"/>
  <c r="O31" i="13"/>
  <c r="T42" i="13"/>
  <c r="O34" i="13"/>
  <c r="T44" i="13"/>
  <c r="S39" i="13"/>
  <c r="S40" i="13"/>
  <c r="S41" i="13"/>
  <c r="S42" i="13"/>
  <c r="S44" i="13"/>
  <c r="M45" i="13"/>
  <c r="N45" i="13"/>
  <c r="C42" i="13"/>
  <c r="D42" i="13"/>
  <c r="E42" i="13"/>
  <c r="G42" i="13"/>
  <c r="H42" i="13"/>
  <c r="J42" i="13"/>
  <c r="K42" i="13"/>
  <c r="L42" i="13"/>
  <c r="M42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S38" i="13"/>
  <c r="S26" i="13"/>
  <c r="S27" i="13"/>
  <c r="S28" i="13"/>
  <c r="S30" i="13"/>
  <c r="S31" i="13"/>
  <c r="S32" i="13"/>
  <c r="S33" i="13"/>
  <c r="N41" i="12"/>
  <c r="O41" i="12"/>
  <c r="T39" i="12"/>
  <c r="O35" i="12"/>
  <c r="T40" i="12"/>
  <c r="O33" i="12"/>
  <c r="T41" i="12"/>
  <c r="O31" i="12"/>
  <c r="T42" i="12"/>
  <c r="O32" i="12"/>
  <c r="T43" i="12"/>
  <c r="O34" i="12"/>
  <c r="T44" i="12"/>
  <c r="T45" i="12"/>
  <c r="S39" i="12"/>
  <c r="S40" i="12"/>
  <c r="S41" i="12"/>
  <c r="S42" i="12"/>
  <c r="S43" i="12"/>
  <c r="S44" i="12"/>
  <c r="S45" i="12"/>
  <c r="M45" i="12"/>
  <c r="C42" i="12"/>
  <c r="D42" i="12"/>
  <c r="E42" i="12"/>
  <c r="F42" i="12"/>
  <c r="G42" i="12"/>
  <c r="H42" i="12"/>
  <c r="I42" i="12"/>
  <c r="J42" i="12"/>
  <c r="K42" i="12"/>
  <c r="L42" i="12"/>
  <c r="M42" i="12"/>
  <c r="N42" i="12"/>
  <c r="C43" i="12"/>
  <c r="D43" i="12"/>
  <c r="E43" i="12"/>
  <c r="F43" i="12"/>
  <c r="G43" i="12"/>
  <c r="H43" i="12"/>
  <c r="I43" i="12"/>
  <c r="J43" i="12"/>
  <c r="K43" i="12"/>
  <c r="L43" i="12"/>
  <c r="M43" i="12"/>
  <c r="N43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O38" i="12"/>
  <c r="T26" i="12"/>
  <c r="T27" i="12"/>
  <c r="T28" i="12"/>
  <c r="T29" i="12"/>
  <c r="T30" i="12"/>
  <c r="T31" i="12"/>
  <c r="T32" i="12"/>
  <c r="T33" i="12"/>
  <c r="T34" i="12"/>
  <c r="S26" i="12"/>
  <c r="S27" i="12"/>
  <c r="S28" i="12"/>
  <c r="S29" i="12"/>
  <c r="S30" i="12"/>
  <c r="S31" i="12"/>
  <c r="S32" i="12"/>
  <c r="S33" i="12"/>
  <c r="S34" i="12"/>
  <c r="S23" i="12"/>
  <c r="N41" i="11"/>
  <c r="O41" i="11"/>
  <c r="T39" i="11"/>
  <c r="O35" i="11"/>
  <c r="T40" i="11"/>
  <c r="O33" i="11"/>
  <c r="T41" i="11"/>
  <c r="O31" i="11"/>
  <c r="T42" i="11"/>
  <c r="O32" i="11"/>
  <c r="T43" i="11"/>
  <c r="O34" i="11"/>
  <c r="T44" i="11"/>
  <c r="T45" i="11"/>
  <c r="S39" i="11"/>
  <c r="S40" i="11"/>
  <c r="S41" i="11"/>
  <c r="S42" i="11"/>
  <c r="S43" i="11"/>
  <c r="S44" i="11"/>
  <c r="S45" i="11"/>
  <c r="M45" i="11"/>
  <c r="C42" i="11"/>
  <c r="F42" i="11"/>
  <c r="D42" i="11"/>
  <c r="E42" i="11"/>
  <c r="G42" i="11"/>
  <c r="H42" i="11"/>
  <c r="I42" i="11"/>
  <c r="J42" i="11"/>
  <c r="K42" i="11"/>
  <c r="L42" i="11"/>
  <c r="M42" i="11"/>
  <c r="N42" i="11"/>
  <c r="C43" i="11"/>
  <c r="D43" i="11"/>
  <c r="E43" i="11"/>
  <c r="F43" i="11"/>
  <c r="G43" i="11"/>
  <c r="H43" i="11"/>
  <c r="I43" i="11"/>
  <c r="J43" i="11"/>
  <c r="K43" i="11"/>
  <c r="L43" i="11"/>
  <c r="M43" i="11"/>
  <c r="N43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O38" i="11"/>
  <c r="T26" i="11"/>
  <c r="T27" i="11"/>
  <c r="T28" i="11"/>
  <c r="T29" i="11"/>
  <c r="T30" i="11"/>
  <c r="T31" i="11"/>
  <c r="T32" i="11"/>
  <c r="T33" i="11"/>
  <c r="T34" i="11"/>
  <c r="S26" i="11"/>
  <c r="S27" i="11"/>
  <c r="S28" i="11"/>
  <c r="S29" i="11"/>
  <c r="S31" i="11"/>
  <c r="S30" i="11"/>
  <c r="S32" i="11"/>
  <c r="S33" i="11"/>
  <c r="S34" i="11"/>
  <c r="S23" i="11"/>
  <c r="N41" i="10"/>
  <c r="O41" i="10"/>
  <c r="T39" i="10"/>
  <c r="O35" i="10"/>
  <c r="T40" i="10"/>
  <c r="O33" i="10"/>
  <c r="T41" i="10"/>
  <c r="O31" i="10"/>
  <c r="T42" i="10"/>
  <c r="O32" i="10"/>
  <c r="T43" i="10"/>
  <c r="O34" i="10"/>
  <c r="T44" i="10"/>
  <c r="T45" i="10"/>
  <c r="S39" i="10"/>
  <c r="S40" i="10"/>
  <c r="S41" i="10"/>
  <c r="S42" i="10"/>
  <c r="S43" i="10"/>
  <c r="S44" i="10"/>
  <c r="S45" i="10"/>
  <c r="M45" i="10"/>
  <c r="N45" i="10"/>
  <c r="C42" i="10"/>
  <c r="D42" i="10"/>
  <c r="E42" i="10"/>
  <c r="F42" i="10"/>
  <c r="G42" i="10"/>
  <c r="H42" i="10"/>
  <c r="I42" i="10"/>
  <c r="J42" i="10"/>
  <c r="K42" i="10"/>
  <c r="L42" i="10"/>
  <c r="M42" i="10"/>
  <c r="N42" i="10"/>
  <c r="C43" i="10"/>
  <c r="D43" i="10"/>
  <c r="E43" i="10"/>
  <c r="F43" i="10"/>
  <c r="G43" i="10"/>
  <c r="H43" i="10"/>
  <c r="I43" i="10"/>
  <c r="J43" i="10"/>
  <c r="K43" i="10"/>
  <c r="L43" i="10"/>
  <c r="M43" i="10"/>
  <c r="N43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S38" i="10"/>
  <c r="O38" i="10"/>
  <c r="T26" i="10"/>
  <c r="T27" i="10"/>
  <c r="T28" i="10"/>
  <c r="T29" i="10"/>
  <c r="T30" i="10"/>
  <c r="T31" i="10"/>
  <c r="T32" i="10"/>
  <c r="T33" i="10"/>
  <c r="T34" i="10"/>
  <c r="S26" i="10"/>
  <c r="S27" i="10"/>
  <c r="S28" i="10"/>
  <c r="S29" i="10"/>
  <c r="S30" i="10"/>
  <c r="S31" i="10"/>
  <c r="S32" i="10"/>
  <c r="S33" i="10"/>
  <c r="S34" i="10"/>
  <c r="S23" i="10"/>
  <c r="N41" i="9"/>
  <c r="O41" i="9"/>
  <c r="T39" i="9"/>
  <c r="O35" i="9"/>
  <c r="T40" i="9"/>
  <c r="O33" i="9"/>
  <c r="T41" i="9"/>
  <c r="O31" i="9"/>
  <c r="T42" i="9"/>
  <c r="O32" i="9"/>
  <c r="T43" i="9"/>
  <c r="O34" i="9"/>
  <c r="T44" i="9"/>
  <c r="T45" i="9"/>
  <c r="S39" i="9"/>
  <c r="S40" i="9"/>
  <c r="S41" i="9"/>
  <c r="S42" i="9"/>
  <c r="S43" i="9"/>
  <c r="S44" i="9"/>
  <c r="S45" i="9"/>
  <c r="M45" i="9"/>
  <c r="N45" i="9"/>
  <c r="C42" i="9"/>
  <c r="E42" i="9"/>
  <c r="D42" i="9"/>
  <c r="F42" i="9"/>
  <c r="G42" i="9"/>
  <c r="H42" i="9"/>
  <c r="I42" i="9"/>
  <c r="J42" i="9"/>
  <c r="K42" i="9"/>
  <c r="L42" i="9"/>
  <c r="M42" i="9"/>
  <c r="N42" i="9"/>
  <c r="C43" i="9"/>
  <c r="D43" i="9"/>
  <c r="E43" i="9"/>
  <c r="F43" i="9"/>
  <c r="G43" i="9"/>
  <c r="H43" i="9"/>
  <c r="I43" i="9"/>
  <c r="J43" i="9"/>
  <c r="K43" i="9"/>
  <c r="L43" i="9"/>
  <c r="M43" i="9"/>
  <c r="N43" i="9"/>
  <c r="M41" i="9"/>
  <c r="L41" i="9"/>
  <c r="K41" i="9"/>
  <c r="J41" i="9"/>
  <c r="I41" i="9"/>
  <c r="H41" i="9"/>
  <c r="G41" i="9"/>
  <c r="F41" i="9"/>
  <c r="E41" i="9"/>
  <c r="D41" i="9"/>
  <c r="C41" i="9"/>
  <c r="B41" i="9"/>
  <c r="S38" i="9"/>
  <c r="O38" i="9"/>
  <c r="T26" i="9"/>
  <c r="T27" i="9"/>
  <c r="T28" i="9"/>
  <c r="T29" i="9"/>
  <c r="T30" i="9"/>
  <c r="T31" i="9"/>
  <c r="T32" i="9"/>
  <c r="T33" i="9"/>
  <c r="T34" i="9"/>
  <c r="S26" i="9"/>
  <c r="S27" i="9"/>
  <c r="S28" i="9"/>
  <c r="S29" i="9"/>
  <c r="S30" i="9"/>
  <c r="S31" i="9"/>
  <c r="S32" i="9"/>
  <c r="S33" i="9"/>
  <c r="S34" i="9"/>
  <c r="S23" i="9"/>
  <c r="N41" i="8"/>
  <c r="O41" i="8"/>
  <c r="T39" i="8"/>
  <c r="O35" i="8"/>
  <c r="T40" i="8"/>
  <c r="O33" i="8"/>
  <c r="T41" i="8"/>
  <c r="O31" i="8"/>
  <c r="T42" i="8"/>
  <c r="O32" i="8"/>
  <c r="T43" i="8"/>
  <c r="O34" i="8"/>
  <c r="T44" i="8"/>
  <c r="T45" i="8"/>
  <c r="S39" i="8"/>
  <c r="S40" i="8"/>
  <c r="S41" i="8"/>
  <c r="S42" i="8"/>
  <c r="S43" i="8"/>
  <c r="S44" i="8"/>
  <c r="S45" i="8"/>
  <c r="M45" i="8"/>
  <c r="N45" i="8"/>
  <c r="C42" i="8"/>
  <c r="E42" i="8"/>
  <c r="G42" i="8"/>
  <c r="D42" i="8"/>
  <c r="F42" i="8"/>
  <c r="H42" i="8"/>
  <c r="I42" i="8"/>
  <c r="J42" i="8"/>
  <c r="K42" i="8"/>
  <c r="L42" i="8"/>
  <c r="M42" i="8"/>
  <c r="N42" i="8"/>
  <c r="C43" i="8"/>
  <c r="D43" i="8"/>
  <c r="E43" i="8"/>
  <c r="F43" i="8"/>
  <c r="G43" i="8"/>
  <c r="H43" i="8"/>
  <c r="I43" i="8"/>
  <c r="J43" i="8"/>
  <c r="K43" i="8"/>
  <c r="L43" i="8"/>
  <c r="M43" i="8"/>
  <c r="N43" i="8"/>
  <c r="M41" i="8"/>
  <c r="L41" i="8"/>
  <c r="K41" i="8"/>
  <c r="J41" i="8"/>
  <c r="I41" i="8"/>
  <c r="H41" i="8"/>
  <c r="G41" i="8"/>
  <c r="F41" i="8"/>
  <c r="E41" i="8"/>
  <c r="D41" i="8"/>
  <c r="C41" i="8"/>
  <c r="B41" i="8"/>
  <c r="S38" i="8"/>
  <c r="O38" i="8"/>
  <c r="T26" i="8"/>
  <c r="T27" i="8"/>
  <c r="T28" i="8"/>
  <c r="T29" i="8"/>
  <c r="T30" i="8"/>
  <c r="T31" i="8"/>
  <c r="T32" i="8"/>
  <c r="T33" i="8"/>
  <c r="T34" i="8"/>
  <c r="S26" i="8"/>
  <c r="S27" i="8"/>
  <c r="S30" i="8"/>
  <c r="S31" i="8"/>
  <c r="S28" i="8"/>
  <c r="S29" i="8"/>
  <c r="S32" i="8"/>
  <c r="S33" i="8"/>
  <c r="S34" i="8"/>
  <c r="S23" i="8"/>
  <c r="N41" i="7"/>
  <c r="O41" i="7"/>
  <c r="T39" i="7"/>
  <c r="O35" i="7"/>
  <c r="T40" i="7"/>
  <c r="O33" i="7"/>
  <c r="T41" i="7"/>
  <c r="O31" i="7"/>
  <c r="T42" i="7"/>
  <c r="O32" i="7"/>
  <c r="T43" i="7"/>
  <c r="O34" i="7"/>
  <c r="T44" i="7"/>
  <c r="T45" i="7"/>
  <c r="S39" i="7"/>
  <c r="S40" i="7"/>
  <c r="S41" i="7"/>
  <c r="S42" i="7"/>
  <c r="S43" i="7"/>
  <c r="S44" i="7"/>
  <c r="S45" i="7"/>
  <c r="M45" i="7"/>
  <c r="N45" i="7"/>
  <c r="C42" i="7"/>
  <c r="D42" i="7"/>
  <c r="E42" i="7"/>
  <c r="F42" i="7"/>
  <c r="G42" i="7"/>
  <c r="H42" i="7"/>
  <c r="I42" i="7"/>
  <c r="J42" i="7"/>
  <c r="K42" i="7"/>
  <c r="L42" i="7"/>
  <c r="M42" i="7"/>
  <c r="N42" i="7"/>
  <c r="C43" i="7"/>
  <c r="D43" i="7"/>
  <c r="E43" i="7"/>
  <c r="F43" i="7"/>
  <c r="G43" i="7"/>
  <c r="H43" i="7"/>
  <c r="I43" i="7"/>
  <c r="J43" i="7"/>
  <c r="K43" i="7"/>
  <c r="L43" i="7"/>
  <c r="M43" i="7"/>
  <c r="N43" i="7"/>
  <c r="M41" i="7"/>
  <c r="L41" i="7"/>
  <c r="K41" i="7"/>
  <c r="J41" i="7"/>
  <c r="I41" i="7"/>
  <c r="H41" i="7"/>
  <c r="G41" i="7"/>
  <c r="F41" i="7"/>
  <c r="E41" i="7"/>
  <c r="D41" i="7"/>
  <c r="C41" i="7"/>
  <c r="B41" i="7"/>
  <c r="S38" i="7"/>
  <c r="O38" i="7"/>
  <c r="T26" i="7"/>
  <c r="T27" i="7"/>
  <c r="T28" i="7"/>
  <c r="T29" i="7"/>
  <c r="T30" i="7"/>
  <c r="T31" i="7"/>
  <c r="T32" i="7"/>
  <c r="T33" i="7"/>
  <c r="T34" i="7"/>
  <c r="S26" i="7"/>
  <c r="S27" i="7"/>
  <c r="S28" i="7"/>
  <c r="S29" i="7"/>
  <c r="S30" i="7"/>
  <c r="S31" i="7"/>
  <c r="S32" i="7"/>
  <c r="S33" i="7"/>
  <c r="S34" i="7"/>
  <c r="S23" i="7"/>
  <c r="N41" i="6"/>
  <c r="O41" i="6"/>
  <c r="T39" i="6"/>
  <c r="O35" i="6"/>
  <c r="T40" i="6"/>
  <c r="O33" i="6"/>
  <c r="T41" i="6"/>
  <c r="O31" i="6"/>
  <c r="T42" i="6"/>
  <c r="O32" i="6"/>
  <c r="T43" i="6"/>
  <c r="O34" i="6"/>
  <c r="T44" i="6"/>
  <c r="T45" i="6"/>
  <c r="S39" i="6"/>
  <c r="S40" i="6"/>
  <c r="S41" i="6"/>
  <c r="S42" i="6"/>
  <c r="S43" i="6"/>
  <c r="S44" i="6"/>
  <c r="S45" i="6"/>
  <c r="M45" i="6"/>
  <c r="N45" i="6"/>
  <c r="C42" i="6"/>
  <c r="G42" i="6"/>
  <c r="D42" i="6"/>
  <c r="E42" i="6"/>
  <c r="F42" i="6"/>
  <c r="H42" i="6"/>
  <c r="I42" i="6"/>
  <c r="J42" i="6"/>
  <c r="K42" i="6"/>
  <c r="L42" i="6"/>
  <c r="M42" i="6"/>
  <c r="N42" i="6"/>
  <c r="C43" i="6"/>
  <c r="D43" i="6"/>
  <c r="E43" i="6"/>
  <c r="F43" i="6"/>
  <c r="G43" i="6"/>
  <c r="H43" i="6"/>
  <c r="I43" i="6"/>
  <c r="J43" i="6"/>
  <c r="K43" i="6"/>
  <c r="L43" i="6"/>
  <c r="M43" i="6"/>
  <c r="N43" i="6"/>
  <c r="M41" i="6"/>
  <c r="L41" i="6"/>
  <c r="K41" i="6"/>
  <c r="J41" i="6"/>
  <c r="I41" i="6"/>
  <c r="H41" i="6"/>
  <c r="G41" i="6"/>
  <c r="F41" i="6"/>
  <c r="E41" i="6"/>
  <c r="D41" i="6"/>
  <c r="C41" i="6"/>
  <c r="B41" i="6"/>
  <c r="S38" i="6"/>
  <c r="O38" i="6"/>
  <c r="T26" i="6"/>
  <c r="T27" i="6"/>
  <c r="T28" i="6"/>
  <c r="T29" i="6"/>
  <c r="T30" i="6"/>
  <c r="T31" i="6"/>
  <c r="T32" i="6"/>
  <c r="T33" i="6"/>
  <c r="T34" i="6"/>
  <c r="S26" i="6"/>
  <c r="S27" i="6"/>
  <c r="S28" i="6"/>
  <c r="S29" i="6"/>
  <c r="S30" i="6"/>
  <c r="S31" i="6"/>
  <c r="S32" i="6"/>
  <c r="S33" i="6"/>
  <c r="S34" i="6"/>
  <c r="S23" i="6"/>
  <c r="N41" i="5"/>
  <c r="S39" i="5"/>
  <c r="S40" i="5"/>
  <c r="S41" i="5"/>
  <c r="S42" i="5"/>
  <c r="S44" i="5"/>
  <c r="M45" i="5"/>
  <c r="N45" i="5"/>
  <c r="C42" i="5"/>
  <c r="D42" i="5"/>
  <c r="M42" i="5"/>
  <c r="L42" i="5"/>
  <c r="K42" i="5"/>
  <c r="J42" i="5"/>
  <c r="I42" i="5"/>
  <c r="H42" i="5"/>
  <c r="F42" i="5"/>
  <c r="M41" i="5"/>
  <c r="L41" i="5"/>
  <c r="K41" i="5"/>
  <c r="J41" i="5"/>
  <c r="I41" i="5"/>
  <c r="H41" i="5"/>
  <c r="G41" i="5"/>
  <c r="F41" i="5"/>
  <c r="E41" i="5"/>
  <c r="D41" i="5"/>
  <c r="C41" i="5"/>
  <c r="B41" i="5"/>
  <c r="S38" i="5"/>
  <c r="S26" i="5"/>
  <c r="S28" i="5"/>
  <c r="S29" i="5"/>
  <c r="S33" i="5"/>
  <c r="S32" i="5"/>
  <c r="S31" i="5"/>
  <c r="N41" i="4"/>
  <c r="O41" i="4"/>
  <c r="T39" i="4"/>
  <c r="O35" i="4"/>
  <c r="T40" i="4"/>
  <c r="O33" i="4"/>
  <c r="T41" i="4"/>
  <c r="O31" i="4"/>
  <c r="T42" i="4"/>
  <c r="O34" i="4"/>
  <c r="T44" i="4"/>
  <c r="S39" i="4"/>
  <c r="S40" i="4"/>
  <c r="S41" i="4"/>
  <c r="S42" i="4"/>
  <c r="S44" i="4"/>
  <c r="M45" i="4"/>
  <c r="N45" i="4"/>
  <c r="C42" i="4"/>
  <c r="D42" i="4"/>
  <c r="F42" i="4"/>
  <c r="G42" i="4"/>
  <c r="H42" i="4"/>
  <c r="I42" i="4"/>
  <c r="J42" i="4"/>
  <c r="K42" i="4"/>
  <c r="L42" i="4"/>
  <c r="M42" i="4"/>
  <c r="M41" i="4"/>
  <c r="L41" i="4"/>
  <c r="K41" i="4"/>
  <c r="J41" i="4"/>
  <c r="I41" i="4"/>
  <c r="H41" i="4"/>
  <c r="G41" i="4"/>
  <c r="F41" i="4"/>
  <c r="E41" i="4"/>
  <c r="D41" i="4"/>
  <c r="C41" i="4"/>
  <c r="B41" i="4"/>
  <c r="S38" i="4"/>
  <c r="S26" i="4"/>
  <c r="S27" i="4"/>
  <c r="S28" i="4"/>
  <c r="S29" i="4"/>
  <c r="S31" i="4"/>
  <c r="S32" i="4"/>
  <c r="S33" i="4"/>
  <c r="N41" i="3"/>
  <c r="O41" i="3"/>
  <c r="T39" i="3"/>
  <c r="O35" i="3"/>
  <c r="T40" i="3"/>
  <c r="O33" i="3"/>
  <c r="T41" i="3"/>
  <c r="O31" i="3"/>
  <c r="T42" i="3"/>
  <c r="O32" i="3"/>
  <c r="T43" i="3"/>
  <c r="O34" i="3"/>
  <c r="T44" i="3"/>
  <c r="T45" i="3"/>
  <c r="S39" i="3"/>
  <c r="S40" i="3"/>
  <c r="S41" i="3"/>
  <c r="S42" i="3"/>
  <c r="S43" i="3"/>
  <c r="S44" i="3"/>
  <c r="S45" i="3"/>
  <c r="M45" i="3"/>
  <c r="N45" i="3"/>
  <c r="C42" i="3"/>
  <c r="D42" i="3"/>
  <c r="E42" i="3"/>
  <c r="F42" i="3"/>
  <c r="G42" i="3"/>
  <c r="H42" i="3"/>
  <c r="I42" i="3"/>
  <c r="J42" i="3"/>
  <c r="K42" i="3"/>
  <c r="L42" i="3"/>
  <c r="M42" i="3"/>
  <c r="N42" i="3"/>
  <c r="C43" i="3"/>
  <c r="D43" i="3"/>
  <c r="E43" i="3"/>
  <c r="F43" i="3"/>
  <c r="G43" i="3"/>
  <c r="H43" i="3"/>
  <c r="I43" i="3"/>
  <c r="J43" i="3"/>
  <c r="K43" i="3"/>
  <c r="L43" i="3"/>
  <c r="M43" i="3"/>
  <c r="N43" i="3"/>
  <c r="M41" i="3"/>
  <c r="L41" i="3"/>
  <c r="K41" i="3"/>
  <c r="J41" i="3"/>
  <c r="I41" i="3"/>
  <c r="H41" i="3"/>
  <c r="G41" i="3"/>
  <c r="F41" i="3"/>
  <c r="E41" i="3"/>
  <c r="D41" i="3"/>
  <c r="C41" i="3"/>
  <c r="B41" i="3"/>
  <c r="S38" i="3"/>
  <c r="O38" i="3"/>
  <c r="T26" i="3"/>
  <c r="T27" i="3"/>
  <c r="T28" i="3"/>
  <c r="T29" i="3"/>
  <c r="T30" i="3"/>
  <c r="T31" i="3"/>
  <c r="T32" i="3"/>
  <c r="T33" i="3"/>
  <c r="T34" i="3"/>
  <c r="S26" i="3"/>
  <c r="S27" i="3"/>
  <c r="S28" i="3"/>
  <c r="S29" i="3"/>
  <c r="S30" i="3"/>
  <c r="S31" i="3"/>
  <c r="S32" i="3"/>
  <c r="S33" i="3"/>
  <c r="S34" i="3"/>
  <c r="S23" i="3"/>
  <c r="N41" i="2"/>
  <c r="O41" i="2"/>
  <c r="T39" i="2"/>
  <c r="O35" i="2"/>
  <c r="T40" i="2"/>
  <c r="O33" i="2"/>
  <c r="T41" i="2"/>
  <c r="O31" i="2"/>
  <c r="T42" i="2"/>
  <c r="O32" i="2"/>
  <c r="T43" i="2"/>
  <c r="O34" i="2"/>
  <c r="T44" i="2"/>
  <c r="T45" i="2"/>
  <c r="S39" i="2"/>
  <c r="S40" i="2"/>
  <c r="S41" i="2"/>
  <c r="S42" i="2"/>
  <c r="S43" i="2"/>
  <c r="S44" i="2"/>
  <c r="S45" i="2"/>
  <c r="M45" i="2"/>
  <c r="N45" i="2"/>
  <c r="C42" i="2"/>
  <c r="D42" i="2"/>
  <c r="E42" i="2"/>
  <c r="G42" i="2"/>
  <c r="H42" i="2"/>
  <c r="I42" i="2"/>
  <c r="J42" i="2"/>
  <c r="K42" i="2"/>
  <c r="L42" i="2"/>
  <c r="M42" i="2"/>
  <c r="M41" i="2"/>
  <c r="L41" i="2"/>
  <c r="K41" i="2"/>
  <c r="J41" i="2"/>
  <c r="I41" i="2"/>
  <c r="H41" i="2"/>
  <c r="G41" i="2"/>
  <c r="F41" i="2"/>
  <c r="E41" i="2"/>
  <c r="D41" i="2"/>
  <c r="C41" i="2"/>
  <c r="S38" i="2"/>
  <c r="O38" i="2"/>
  <c r="S26" i="2"/>
  <c r="S27" i="2"/>
  <c r="S28" i="2"/>
  <c r="S30" i="2"/>
  <c r="S31" i="2"/>
  <c r="S32" i="2"/>
  <c r="S33" i="2"/>
  <c r="F42" i="2"/>
  <c r="N42" i="2"/>
  <c r="D43" i="2"/>
  <c r="K43" i="2"/>
  <c r="L43" i="2"/>
  <c r="C43" i="2"/>
  <c r="E43" i="2"/>
  <c r="F43" i="2"/>
  <c r="G43" i="2"/>
  <c r="H43" i="2"/>
  <c r="I43" i="2"/>
  <c r="J43" i="2"/>
  <c r="M43" i="2"/>
  <c r="N43" i="2"/>
  <c r="T27" i="2"/>
  <c r="T28" i="2"/>
  <c r="T29" i="2"/>
  <c r="T30" i="2"/>
  <c r="T31" i="2"/>
  <c r="T32" i="2"/>
  <c r="T33" i="2"/>
  <c r="T26" i="2"/>
  <c r="T34" i="2"/>
  <c r="S29" i="2"/>
  <c r="S34" i="2"/>
  <c r="S23" i="2"/>
  <c r="F42" i="18"/>
  <c r="N42" i="18"/>
  <c r="S23" i="18"/>
  <c r="S29" i="18"/>
  <c r="S34" i="18"/>
  <c r="G43" i="18"/>
  <c r="T27" i="18"/>
  <c r="J43" i="18"/>
  <c r="T28" i="18"/>
  <c r="F43" i="18"/>
  <c r="T29" i="18"/>
  <c r="E43" i="18"/>
  <c r="T30" i="18"/>
  <c r="C43" i="18"/>
  <c r="T31" i="18"/>
  <c r="I43" i="18"/>
  <c r="T32" i="18"/>
  <c r="H43" i="18"/>
  <c r="T33" i="18"/>
  <c r="M43" i="18"/>
  <c r="T26" i="18"/>
  <c r="T34" i="18"/>
  <c r="O31" i="18"/>
  <c r="O32" i="18"/>
  <c r="O33" i="18"/>
  <c r="O34" i="18"/>
  <c r="O35" i="18"/>
  <c r="O38" i="18"/>
  <c r="D43" i="18"/>
  <c r="K43" i="18"/>
  <c r="L43" i="18"/>
  <c r="N43" i="18"/>
  <c r="S43" i="18"/>
  <c r="S45" i="18"/>
  <c r="T40" i="18"/>
  <c r="T41" i="18"/>
  <c r="T42" i="18"/>
  <c r="T43" i="18"/>
  <c r="T44" i="18"/>
  <c r="O41" i="18"/>
  <c r="T39" i="18"/>
  <c r="T45" i="18"/>
  <c r="N45" i="12"/>
  <c r="S38" i="12"/>
  <c r="B46" i="11"/>
  <c r="N45" i="11"/>
  <c r="S38" i="11"/>
  <c r="E42" i="4"/>
  <c r="N42" i="4"/>
  <c r="S23" i="4"/>
  <c r="S30" i="4"/>
  <c r="S34" i="4"/>
  <c r="M43" i="4"/>
  <c r="T26" i="4"/>
  <c r="G43" i="4"/>
  <c r="T27" i="4"/>
  <c r="J43" i="4"/>
  <c r="T28" i="4"/>
  <c r="F43" i="4"/>
  <c r="T29" i="4"/>
  <c r="E43" i="4"/>
  <c r="T30" i="4"/>
  <c r="C43" i="4"/>
  <c r="T31" i="4"/>
  <c r="I43" i="4"/>
  <c r="T32" i="4"/>
  <c r="H43" i="4"/>
  <c r="T33" i="4"/>
  <c r="T34" i="4"/>
  <c r="O32" i="4"/>
  <c r="O38" i="4"/>
  <c r="D43" i="4"/>
  <c r="K43" i="4"/>
  <c r="L43" i="4"/>
  <c r="N43" i="4"/>
  <c r="S43" i="4"/>
  <c r="S45" i="4"/>
  <c r="T43" i="4"/>
  <c r="T45" i="4"/>
  <c r="O32" i="13"/>
  <c r="T43" i="13"/>
  <c r="T45" i="13"/>
  <c r="S43" i="13"/>
  <c r="S45" i="13"/>
  <c r="F42" i="13"/>
  <c r="O38" i="13"/>
  <c r="S29" i="13"/>
  <c r="S34" i="13"/>
  <c r="N42" i="13"/>
  <c r="S23" i="13"/>
  <c r="M43" i="13"/>
  <c r="T26" i="13"/>
  <c r="G43" i="13"/>
  <c r="T27" i="13"/>
  <c r="J43" i="13"/>
  <c r="T28" i="13"/>
  <c r="F43" i="13"/>
  <c r="T29" i="13"/>
  <c r="E43" i="13"/>
  <c r="T30" i="13"/>
  <c r="C43" i="13"/>
  <c r="T31" i="13"/>
  <c r="I43" i="13"/>
  <c r="T32" i="13"/>
  <c r="H43" i="13"/>
  <c r="T33" i="13"/>
  <c r="T34" i="13"/>
  <c r="D43" i="13"/>
  <c r="K43" i="13"/>
  <c r="L43" i="13"/>
  <c r="N43" i="13"/>
  <c r="E42" i="5"/>
  <c r="S30" i="5"/>
  <c r="G42" i="5"/>
  <c r="N42" i="5"/>
  <c r="S23" i="5"/>
  <c r="S27" i="5"/>
  <c r="S34" i="5"/>
  <c r="M43" i="5"/>
  <c r="T26" i="5"/>
  <c r="G43" i="5"/>
  <c r="T27" i="5"/>
  <c r="J43" i="5"/>
  <c r="T28" i="5"/>
  <c r="F43" i="5"/>
  <c r="T29" i="5"/>
  <c r="E43" i="5"/>
  <c r="T30" i="5"/>
  <c r="C43" i="5"/>
  <c r="T31" i="5"/>
  <c r="I43" i="5"/>
  <c r="T32" i="5"/>
  <c r="H43" i="5"/>
  <c r="T33" i="5"/>
  <c r="T34" i="5"/>
  <c r="O31" i="5"/>
  <c r="O32" i="5"/>
  <c r="O33" i="5"/>
  <c r="O34" i="5"/>
  <c r="O35" i="5"/>
  <c r="O38" i="5"/>
  <c r="D43" i="5"/>
  <c r="K43" i="5"/>
  <c r="L43" i="5"/>
  <c r="N43" i="5"/>
  <c r="S43" i="5"/>
  <c r="S45" i="5"/>
  <c r="O41" i="5"/>
  <c r="T39" i="5"/>
  <c r="T40" i="5"/>
  <c r="T41" i="5"/>
  <c r="T42" i="5"/>
  <c r="T43" i="5"/>
  <c r="T44" i="5"/>
  <c r="T45" i="5"/>
  <c r="N32" i="22"/>
  <c r="E42" i="22"/>
  <c r="N42" i="22"/>
  <c r="S23" i="22"/>
  <c r="S30" i="22"/>
  <c r="S34" i="22"/>
  <c r="M43" i="22"/>
  <c r="T26" i="22"/>
  <c r="G43" i="22"/>
  <c r="T27" i="22"/>
  <c r="J43" i="22"/>
  <c r="T28" i="22"/>
  <c r="F43" i="22"/>
  <c r="T29" i="22"/>
  <c r="E43" i="22"/>
  <c r="T30" i="22"/>
  <c r="C43" i="22"/>
  <c r="T31" i="22"/>
  <c r="I43" i="22"/>
  <c r="T32" i="22"/>
  <c r="H43" i="22"/>
  <c r="T33" i="22"/>
  <c r="T34" i="22"/>
  <c r="O32" i="22"/>
  <c r="O38" i="22"/>
  <c r="D43" i="22"/>
  <c r="K43" i="22"/>
  <c r="L43" i="22"/>
  <c r="N43" i="22"/>
  <c r="S43" i="22"/>
  <c r="S45" i="22"/>
  <c r="T43" i="22"/>
  <c r="T45" i="22"/>
  <c r="N36" i="26"/>
  <c r="C41" i="26"/>
  <c r="N41" i="26"/>
  <c r="S39" i="26"/>
  <c r="O41" i="26"/>
  <c r="T39" i="26"/>
  <c r="C39" i="26"/>
  <c r="N32" i="26"/>
  <c r="O32" i="26"/>
  <c r="T43" i="26"/>
  <c r="T45" i="26"/>
  <c r="S43" i="26"/>
  <c r="S45" i="26"/>
  <c r="C42" i="26"/>
  <c r="N42" i="26"/>
  <c r="D43" i="26"/>
  <c r="K43" i="26"/>
  <c r="L43" i="26"/>
  <c r="C43" i="26"/>
  <c r="E43" i="26"/>
  <c r="F43" i="26"/>
  <c r="G43" i="26"/>
  <c r="H43" i="26"/>
  <c r="I43" i="26"/>
  <c r="J43" i="26"/>
  <c r="M43" i="26"/>
  <c r="N43" i="26"/>
  <c r="O38" i="26"/>
  <c r="T27" i="26"/>
  <c r="T28" i="26"/>
  <c r="T29" i="26"/>
  <c r="T30" i="26"/>
  <c r="T31" i="26"/>
  <c r="T32" i="26"/>
  <c r="T33" i="26"/>
  <c r="T26" i="26"/>
  <c r="T34" i="26"/>
  <c r="S31" i="26"/>
  <c r="S34" i="26"/>
  <c r="S23" i="26"/>
</calcChain>
</file>

<file path=xl/comments1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0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9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0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1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<sst xmlns="http://schemas.openxmlformats.org/spreadsheetml/2006/main" count="2659" uniqueCount="101">
  <si>
    <t>Elproduktion och bränsleanvändning (MWh) efter tid, region, produktionssätt och bränsletyp</t>
  </si>
  <si>
    <t>0114 Upplands Väsby</t>
  </si>
  <si>
    <t>Elproduktion</t>
  </si>
  <si>
    <t>Olja</t>
  </si>
  <si>
    <t>Kol och koks</t>
  </si>
  <si>
    <t>Gasol/naturgas</t>
  </si>
  <si>
    <t>Avlutar</t>
  </si>
  <si>
    <t>Biobränsle</t>
  </si>
  <si>
    <t>Biogas</t>
  </si>
  <si>
    <t>Torv</t>
  </si>
  <si>
    <t>Avfall</t>
  </si>
  <si>
    <t>Övrigt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</si>
  <si>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</si>
  <si>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</si>
  <si>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</si>
  <si>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</si>
  <si>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</si>
  <si>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</si>
  <si>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</si>
  <si>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</si>
  <si>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</si>
  <si>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</si>
  <si>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</si>
  <si>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</si>
  <si>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</si>
  <si>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</si>
  <si>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</si>
  <si>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</si>
  <si>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</si>
  <si>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</si>
  <si>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</si>
  <si>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</si>
  <si>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Fjärrvärme</t>
  </si>
  <si>
    <t>Biodrivmedel</t>
  </si>
  <si>
    <t>Summa förbrukarkategori</t>
  </si>
  <si>
    <t>Gasol</t>
  </si>
  <si>
    <t>slutanv. jordbruk,skogsbruk,fiske</t>
  </si>
  <si>
    <t>Jord, skog</t>
  </si>
  <si>
    <t>Oljeprodukter</t>
  </si>
  <si>
    <t>slutanv. industri, byggverks.</t>
  </si>
  <si>
    <t>industri</t>
  </si>
  <si>
    <t>Etanol</t>
  </si>
  <si>
    <t>slutanv. offentlig verksamhet</t>
  </si>
  <si>
    <t>offentligt</t>
  </si>
  <si>
    <t>slutanv. transporter</t>
  </si>
  <si>
    <t>transporter</t>
  </si>
  <si>
    <t>slutanv. övriga tjänster</t>
  </si>
  <si>
    <t>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</si>
  <si>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</si>
  <si>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</si>
  <si>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</si>
  <si>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</si>
  <si>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</si>
  <si>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</si>
  <si>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</si>
  <si>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</si>
  <si>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</si>
  <si>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</si>
  <si>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</si>
  <si>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</si>
  <si>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</si>
  <si>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</si>
  <si>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</si>
  <si>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0115 Vallentuna</t>
  </si>
  <si>
    <t>0117 Österåker</t>
  </si>
  <si>
    <t>0120 Värmdö</t>
  </si>
  <si>
    <t>0123 Järfälla</t>
  </si>
  <si>
    <t>0125 Ekerö</t>
  </si>
  <si>
    <t>0126 Huddinge</t>
  </si>
  <si>
    <t>0127 Botkyrka</t>
  </si>
  <si>
    <t>0128 Salem</t>
  </si>
  <si>
    <t>0136 Haninge</t>
  </si>
  <si>
    <t>0138 Tyresö</t>
  </si>
  <si>
    <t>0139 Upplands-Bro</t>
  </si>
  <si>
    <t>0140 Nykvarn</t>
  </si>
  <si>
    <t>0160 Täby</t>
  </si>
  <si>
    <t>0162 Danderyd</t>
  </si>
  <si>
    <t>0163 Sollentuna</t>
  </si>
  <si>
    <t>0180 Stockholm</t>
  </si>
  <si>
    <t>0181 Södertälje</t>
  </si>
  <si>
    <t>0182 Nacka</t>
  </si>
  <si>
    <t>0183 Sundbyberg</t>
  </si>
  <si>
    <t>0184 Solna</t>
  </si>
  <si>
    <t>0186 Lidingö</t>
  </si>
  <si>
    <t>0187 Vaxholm</t>
  </si>
  <si>
    <t>0188 Norrtälje</t>
  </si>
  <si>
    <t>0191 Sigtuna</t>
  </si>
  <si>
    <t>0192 Nynäshamn</t>
  </si>
  <si>
    <t>Förluster i %</t>
  </si>
  <si>
    <t>Import</t>
  </si>
  <si>
    <t>Export</t>
  </si>
  <si>
    <t>Köpt hetvatten</t>
  </si>
  <si>
    <t>Import från annan kommun</t>
  </si>
  <si>
    <t>Från Fortum</t>
  </si>
  <si>
    <t>EXPORT</t>
  </si>
  <si>
    <t>IMPORT</t>
  </si>
  <si>
    <t>Hälften distr. Förluster</t>
  </si>
  <si>
    <t>fr. Haninge</t>
  </si>
  <si>
    <t>Stockholms län</t>
  </si>
  <si>
    <t>Kol/koks</t>
  </si>
  <si>
    <t>El tillförd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</si>
</sst>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rgb="FF000000"/>
      <name val="Calibri"/>
      <family val="2"/>
    </font>
    <font>
      <i/>
      <sz val="11"/>
      <color rgb="FF000000"/>
      <name val="Calibri"/>
      <family val="2"/>
      <scheme val="minor"/>
    </font>
    <font>
      <i/>
      <sz val="11"/>
      <name val="Calibri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89">
    <xf numFmtId="0" fontId="0" fillId="0" borderId="0"/>
    <xf numFmtId="0" fontId="4" fillId="0" borderId="0" applyNumberFormat="0" applyBorder="0" applyAlignment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5" fillId="0" borderId="0" xfId="1" applyFont="1" applyFill="1" applyProtection="1"/>
    <xf numFmtId="0" fontId="4" fillId="0" borderId="0" xfId="1" applyFill="1" applyProtection="1"/>
    <xf numFmtId="0" fontId="6" fillId="0" borderId="0" xfId="1" applyFont="1"/>
    <xf numFmtId="0" fontId="7" fillId="0" borderId="0" xfId="0" applyFont="1" applyFill="1" applyProtection="1"/>
    <xf numFmtId="0" fontId="7" fillId="0" borderId="0" xfId="1" applyFont="1" applyFill="1" applyProtection="1"/>
    <xf numFmtId="3" fontId="4" fillId="0" borderId="0" xfId="1" applyNumberFormat="1"/>
    <xf numFmtId="0" fontId="4" fillId="0" borderId="0" xfId="1"/>
    <xf numFmtId="3" fontId="0" fillId="0" borderId="0" xfId="0" applyNumberFormat="1" applyFill="1" applyProtection="1"/>
    <xf numFmtId="3" fontId="4" fillId="0" borderId="0" xfId="1" applyNumberFormat="1" applyFill="1" applyProtection="1"/>
    <xf numFmtId="3" fontId="8" fillId="0" borderId="0" xfId="1" applyNumberFormat="1" applyFont="1" applyFill="1" applyProtection="1"/>
    <xf numFmtId="164" fontId="4" fillId="0" borderId="0" xfId="1" applyNumberFormat="1"/>
    <xf numFmtId="4" fontId="4" fillId="0" borderId="0" xfId="1" applyNumberFormat="1"/>
    <xf numFmtId="165" fontId="4" fillId="0" borderId="0" xfId="1" applyNumberFormat="1"/>
    <xf numFmtId="10" fontId="4" fillId="0" borderId="0" xfId="1" applyNumberFormat="1"/>
    <xf numFmtId="3" fontId="0" fillId="0" borderId="0" xfId="0" applyNumberFormat="1"/>
    <xf numFmtId="3" fontId="0" fillId="0" borderId="0" xfId="0" applyNumberFormat="1" applyAlignment="1">
      <alignment horizontal="right"/>
    </xf>
    <xf numFmtId="165" fontId="9" fillId="0" borderId="0" xfId="1" applyNumberFormat="1" applyFont="1"/>
    <xf numFmtId="165" fontId="6" fillId="0" borderId="0" xfId="1" applyNumberFormat="1" applyFont="1"/>
    <xf numFmtId="166" fontId="4" fillId="0" borderId="0" xfId="1" applyNumberFormat="1"/>
    <xf numFmtId="2" fontId="4" fillId="0" borderId="0" xfId="1" applyNumberFormat="1"/>
    <xf numFmtId="0" fontId="10" fillId="0" borderId="0" xfId="1" applyFont="1"/>
    <xf numFmtId="3" fontId="10" fillId="0" borderId="0" xfId="1" applyNumberFormat="1" applyFont="1"/>
    <xf numFmtId="3" fontId="9" fillId="0" borderId="0" xfId="1" applyNumberFormat="1" applyFont="1"/>
    <xf numFmtId="3" fontId="9" fillId="2" borderId="0" xfId="1" applyNumberFormat="1" applyFont="1" applyFill="1"/>
    <xf numFmtId="3" fontId="11" fillId="2" borderId="0" xfId="1" applyNumberFormat="1" applyFont="1" applyFill="1"/>
    <xf numFmtId="3" fontId="4" fillId="2" borderId="0" xfId="1" applyNumberFormat="1" applyFill="1"/>
    <xf numFmtId="0" fontId="0" fillId="0" borderId="0" xfId="0" applyFill="1" applyProtection="1"/>
    <xf numFmtId="1" fontId="4" fillId="0" borderId="0" xfId="1" applyNumberFormat="1"/>
    <xf numFmtId="165" fontId="9" fillId="0" borderId="0" xfId="2" applyNumberFormat="1" applyFont="1"/>
    <xf numFmtId="165" fontId="3" fillId="0" borderId="0" xfId="2" applyNumberFormat="1" applyFont="1"/>
    <xf numFmtId="3" fontId="11" fillId="0" borderId="0" xfId="1" applyNumberFormat="1" applyFont="1"/>
    <xf numFmtId="9" fontId="11" fillId="0" borderId="0" xfId="2" applyFont="1"/>
    <xf numFmtId="0" fontId="4" fillId="0" borderId="0" xfId="1" applyAlignment="1">
      <alignment horizontal="right"/>
    </xf>
    <xf numFmtId="3" fontId="4" fillId="0" borderId="0" xfId="1" applyNumberFormat="1" applyAlignment="1">
      <alignment horizontal="right"/>
    </xf>
    <xf numFmtId="9" fontId="11" fillId="0" borderId="0" xfId="2" applyNumberFormat="1" applyFont="1"/>
    <xf numFmtId="9" fontId="3" fillId="0" borderId="0" xfId="2" applyFont="1"/>
    <xf numFmtId="0" fontId="13" fillId="0" borderId="0" xfId="0" applyFont="1"/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9" fontId="4" fillId="0" borderId="0" xfId="3" applyFont="1"/>
    <xf numFmtId="9" fontId="4" fillId="0" borderId="0" xfId="3" applyFont="1" applyFill="1" applyProtection="1"/>
    <xf numFmtId="3" fontId="14" fillId="3" borderId="0" xfId="0" applyNumberFormat="1" applyFont="1" applyFill="1"/>
    <xf numFmtId="3" fontId="13" fillId="0" borderId="0" xfId="0" applyNumberFormat="1" applyFont="1"/>
    <xf numFmtId="3" fontId="6" fillId="0" borderId="0" xfId="1" applyNumberFormat="1" applyFont="1"/>
    <xf numFmtId="9" fontId="13" fillId="0" borderId="0" xfId="3" applyFont="1"/>
    <xf numFmtId="1" fontId="0" fillId="0" borderId="0" xfId="0" applyNumberFormat="1" applyFill="1" applyProtection="1"/>
    <xf numFmtId="9" fontId="8" fillId="0" borderId="0" xfId="3" applyFont="1" applyFill="1" applyProtection="1"/>
    <xf numFmtId="9" fontId="14" fillId="0" borderId="0" xfId="0" applyNumberFormat="1" applyFont="1"/>
    <xf numFmtId="3" fontId="4" fillId="3" borderId="0" xfId="1" applyNumberFormat="1" applyFill="1"/>
    <xf numFmtId="0" fontId="18" fillId="0" borderId="0" xfId="1" applyFont="1" applyFill="1" applyProtection="1"/>
    <xf numFmtId="3" fontId="18" fillId="0" borderId="0" xfId="1" applyNumberFormat="1" applyFont="1" applyFill="1" applyProtection="1"/>
    <xf numFmtId="3" fontId="19" fillId="0" borderId="0" xfId="0" applyNumberFormat="1" applyFont="1"/>
    <xf numFmtId="3" fontId="14" fillId="0" borderId="0" xfId="0" applyNumberFormat="1" applyFont="1" applyFill="1"/>
    <xf numFmtId="1" fontId="4" fillId="0" borderId="0" xfId="3" applyNumberFormat="1" applyFont="1" applyFill="1" applyProtection="1"/>
    <xf numFmtId="9" fontId="0" fillId="0" borderId="0" xfId="3" applyFont="1"/>
    <xf numFmtId="165" fontId="14" fillId="0" borderId="0" xfId="3" applyNumberFormat="1" applyFont="1"/>
    <xf numFmtId="3" fontId="17" fillId="0" borderId="0" xfId="0" applyNumberFormat="1" applyFont="1" applyFill="1"/>
    <xf numFmtId="3" fontId="17" fillId="0" borderId="0" xfId="0" applyNumberFormat="1" applyFont="1" applyFill="1" applyProtection="1"/>
    <xf numFmtId="0" fontId="17" fillId="0" borderId="0" xfId="0" applyNumberFormat="1" applyFont="1" applyFill="1" applyProtection="1"/>
    <xf numFmtId="1" fontId="17" fillId="0" borderId="0" xfId="0" applyNumberFormat="1" applyFont="1" applyFill="1" applyProtection="1"/>
    <xf numFmtId="3" fontId="0" fillId="0" borderId="0" xfId="0" applyNumberFormat="1" applyFill="1"/>
    <xf numFmtId="3" fontId="17" fillId="0" borderId="0" xfId="0" applyNumberFormat="1" applyFont="1" applyFill="1" applyAlignment="1">
      <alignment horizontal="right"/>
    </xf>
    <xf numFmtId="3" fontId="19" fillId="0" borderId="0" xfId="0" applyNumberFormat="1" applyFont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9" fillId="0" borderId="0" xfId="0" applyNumberFormat="1" applyFont="1" applyFill="1" applyAlignment="1">
      <alignment horizontal="right"/>
    </xf>
    <xf numFmtId="3" fontId="19" fillId="0" borderId="0" xfId="0" applyNumberFormat="1" applyFont="1" applyFill="1"/>
    <xf numFmtId="0" fontId="19" fillId="0" borderId="0" xfId="0" applyNumberFormat="1" applyFont="1" applyFill="1"/>
    <xf numFmtId="3" fontId="4" fillId="0" borderId="0" xfId="1" applyNumberFormat="1" applyFill="1"/>
    <xf numFmtId="0" fontId="14" fillId="0" borderId="0" xfId="0" applyFont="1" applyFill="1"/>
    <xf numFmtId="0" fontId="14" fillId="0" borderId="0" xfId="0" applyFont="1" applyFill="1" applyAlignment="1">
      <alignment horizontal="right"/>
    </xf>
    <xf numFmtId="0" fontId="17" fillId="0" borderId="0" xfId="0" applyFont="1" applyFill="1" applyProtection="1"/>
    <xf numFmtId="0" fontId="13" fillId="0" borderId="0" xfId="0" applyFont="1" applyFill="1"/>
    <xf numFmtId="0" fontId="0" fillId="0" borderId="0" xfId="0" applyFill="1"/>
    <xf numFmtId="1" fontId="4" fillId="0" borderId="0" xfId="1" applyNumberFormat="1" applyFill="1"/>
    <xf numFmtId="3" fontId="9" fillId="0" borderId="0" xfId="1" applyNumberFormat="1" applyFont="1" applyFill="1"/>
    <xf numFmtId="0" fontId="4" fillId="0" borderId="0" xfId="1" applyFill="1"/>
    <xf numFmtId="0" fontId="4" fillId="0" borderId="0" xfId="1" applyFill="1" applyAlignment="1">
      <alignment horizontal="right"/>
    </xf>
    <xf numFmtId="1" fontId="18" fillId="0" borderId="0" xfId="3" applyNumberFormat="1" applyFont="1" applyFill="1" applyProtection="1"/>
    <xf numFmtId="3" fontId="20" fillId="0" borderId="0" xfId="0" applyNumberFormat="1" applyFont="1" applyFill="1"/>
    <xf numFmtId="9" fontId="14" fillId="0" borderId="0" xfId="0" applyNumberFormat="1" applyFont="1" applyFill="1"/>
    <xf numFmtId="9" fontId="4" fillId="0" borderId="0" xfId="3" applyFont="1" applyFill="1"/>
    <xf numFmtId="0" fontId="21" fillId="0" borderId="0" xfId="0" applyFont="1"/>
    <xf numFmtId="9" fontId="0" fillId="0" borderId="0" xfId="188" applyFont="1"/>
  </cellXfs>
  <cellStyles count="189"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Normal" xfId="0" builtinId="0"/>
    <cellStyle name="Normal 2" xfId="1"/>
    <cellStyle name="Percent" xfId="3" builtinId="5"/>
    <cellStyle name="Percent 2" xfId="2"/>
    <cellStyle name="Percent 3" xfId="188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1" Type="http://schemas.openxmlformats.org/officeDocument/2006/relationships/worksheet" Target="worksheets/sheet21.xml"/><Relationship Id="rId3" Type="http://schemas.openxmlformats.org/officeDocument/2006/relationships/worksheet" Target="worksheets/sheet3.xml"/><Relationship Id="rId34" Type="http://schemas.openxmlformats.org/officeDocument/2006/relationships/customXml" Target="../customXml/item3.xml"/><Relationship Id="rId25" Type="http://schemas.openxmlformats.org/officeDocument/2006/relationships/worksheet" Target="worksheets/sheet2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7" Type="http://schemas.openxmlformats.org/officeDocument/2006/relationships/worksheet" Target="worksheets/sheet7.xml"/><Relationship Id="rId33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6" Type="http://schemas.openxmlformats.org/officeDocument/2006/relationships/worksheet" Target="worksheets/sheet16.xml"/><Relationship Id="rId2" Type="http://schemas.openxmlformats.org/officeDocument/2006/relationships/worksheet" Target="worksheets/sheet2.xml"/><Relationship Id="rId24" Type="http://schemas.openxmlformats.org/officeDocument/2006/relationships/worksheet" Target="worksheets/sheet24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32" Type="http://schemas.openxmlformats.org/officeDocument/2006/relationships/customXml" Target="../customXml/item1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5" Type="http://schemas.openxmlformats.org/officeDocument/2006/relationships/worksheet" Target="worksheets/sheet15.xml"/><Relationship Id="rId5" Type="http://schemas.openxmlformats.org/officeDocument/2006/relationships/worksheet" Target="worksheets/sheet5.xml"/><Relationship Id="rId3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9" Type="http://schemas.openxmlformats.org/officeDocument/2006/relationships/worksheet" Target="worksheets/sheet9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4" Type="http://schemas.openxmlformats.org/officeDocument/2006/relationships/worksheet" Target="worksheets/sheet4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Relationship Id="rId2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Relationship Id="rId2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Relationship Id="rId2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Relationship Id="rId2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Relationship Id="rId2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Relationship Id="rId2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5.vml"/><Relationship Id="rId2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6.vml"/><Relationship Id="rId2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7.vml"/><Relationship Id="rId2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8.vml"/><Relationship Id="rId2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9.vml"/><Relationship Id="rId2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0.vml"/><Relationship Id="rId2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1.vml"/><Relationship Id="rId2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2.vml"/><Relationship Id="rId2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3.vml"/><Relationship Id="rId2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4.vml"/><Relationship Id="rId2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5.vml"/><Relationship Id="rId2" Type="http://schemas.openxmlformats.org/officeDocument/2006/relationships/comments" Target="../comments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6.vml"/><Relationship Id="rId2" Type="http://schemas.openxmlformats.org/officeDocument/2006/relationships/comments" Target="../comments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zoomScale="125" zoomScaleNormal="125" zoomScalePageLayoutView="125" workbookViewId="0">
      <selection activeCell="B4" sqref="B4"/>
    </sheetView>
  </sheetViews>
  <sheetFormatPr baseColWidth="10" defaultRowHeight="15" x14ac:dyDescent="0"/>
  <cols>
    <col min="1" max="1" width="20.33203125" customWidth="1"/>
    <col min="13" max="13" width="12" customWidth="1"/>
    <col min="14" max="14" width="11.83203125" customWidth="1"/>
    <col min="19" max="19" width="11.83203125" customWidth="1"/>
  </cols>
  <sheetData>
    <row r="1" spans="1:14">
      <c r="A1" s="84" t="s">
        <v>0</v>
      </c>
    </row>
    <row r="2" spans="1:14">
      <c r="A2" s="84" t="s">
        <v>98</v>
      </c>
    </row>
    <row r="3" spans="1:14">
      <c r="A3">
        <v>2013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6</v>
      </c>
      <c r="J3" t="s">
        <v>9</v>
      </c>
      <c r="K3" t="s">
        <v>10</v>
      </c>
      <c r="L3" t="s">
        <v>11</v>
      </c>
      <c r="M3" t="s">
        <v>12</v>
      </c>
      <c r="N3" t="s">
        <v>13</v>
      </c>
    </row>
    <row r="6" spans="1:14">
      <c r="A6" t="s">
        <v>14</v>
      </c>
      <c r="B6" s="15">
        <v>1809235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</row>
    <row r="7" spans="1:14">
      <c r="A7" t="s">
        <v>15</v>
      </c>
      <c r="B7" s="15">
        <v>938</v>
      </c>
      <c r="C7" s="15">
        <v>4405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f>SUM(C7:M7)</f>
        <v>4405</v>
      </c>
    </row>
    <row r="8" spans="1:14">
      <c r="A8" t="s">
        <v>16</v>
      </c>
      <c r="B8" s="15">
        <v>794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</row>
    <row r="9" spans="1:14">
      <c r="A9" t="s">
        <v>17</v>
      </c>
      <c r="B9" s="15">
        <v>10889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</row>
    <row r="10" spans="1:14">
      <c r="A10" t="s">
        <v>18</v>
      </c>
      <c r="B10" s="15">
        <f>SUM(B6:B9)</f>
        <v>1821856</v>
      </c>
      <c r="C10" s="15">
        <f>SUM(C6:C9)</f>
        <v>4405</v>
      </c>
      <c r="D10" s="15">
        <f t="shared" ref="D10:L10" si="0">SUM(D6:D9)</f>
        <v>0</v>
      </c>
      <c r="E10" s="15">
        <f t="shared" si="0"/>
        <v>0</v>
      </c>
      <c r="F10" s="15">
        <f t="shared" si="0"/>
        <v>0</v>
      </c>
      <c r="G10" s="15">
        <f t="shared" si="0"/>
        <v>0</v>
      </c>
      <c r="H10" s="15">
        <f t="shared" si="0"/>
        <v>0</v>
      </c>
      <c r="I10" s="15">
        <f t="shared" si="0"/>
        <v>0</v>
      </c>
      <c r="J10" s="15">
        <f t="shared" si="0"/>
        <v>0</v>
      </c>
      <c r="K10" s="15">
        <f t="shared" si="0"/>
        <v>0</v>
      </c>
      <c r="L10" s="15">
        <f t="shared" si="0"/>
        <v>0</v>
      </c>
      <c r="M10" s="15">
        <v>0</v>
      </c>
      <c r="N10" s="15">
        <f>SUM(N6:N9)</f>
        <v>4405</v>
      </c>
    </row>
    <row r="11" spans="1:14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>
      <c r="A13" s="84" t="s">
        <v>19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>
      <c r="B15" s="15" t="s">
        <v>20</v>
      </c>
      <c r="C15" s="15" t="s">
        <v>3</v>
      </c>
      <c r="D15" s="15" t="s">
        <v>4</v>
      </c>
      <c r="E15" s="15" t="s">
        <v>5</v>
      </c>
      <c r="F15" s="15"/>
      <c r="G15" s="15" t="s">
        <v>7</v>
      </c>
      <c r="H15" s="15" t="s">
        <v>8</v>
      </c>
      <c r="I15" s="15" t="s">
        <v>21</v>
      </c>
      <c r="J15" s="15" t="s">
        <v>9</v>
      </c>
      <c r="K15" s="15" t="s">
        <v>10</v>
      </c>
      <c r="L15" s="15" t="s">
        <v>11</v>
      </c>
      <c r="M15" s="15" t="s">
        <v>12</v>
      </c>
      <c r="N15" s="15" t="s">
        <v>13</v>
      </c>
    </row>
    <row r="16" spans="1:14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20">
      <c r="A17" t="s">
        <v>22</v>
      </c>
      <c r="B17" s="15">
        <v>7090575.3899999997</v>
      </c>
      <c r="C17" s="15">
        <v>131360</v>
      </c>
      <c r="D17" s="15">
        <v>1876308</v>
      </c>
      <c r="E17" s="15">
        <v>0</v>
      </c>
      <c r="F17" s="15">
        <v>0</v>
      </c>
      <c r="G17" s="15">
        <v>5118048</v>
      </c>
      <c r="H17" s="15">
        <v>0</v>
      </c>
      <c r="I17" s="15">
        <v>174190</v>
      </c>
      <c r="J17" s="15">
        <v>0</v>
      </c>
      <c r="K17" s="15">
        <v>2238482</v>
      </c>
      <c r="L17" s="15">
        <v>0</v>
      </c>
      <c r="M17" s="15">
        <v>0</v>
      </c>
      <c r="N17" s="15">
        <f>SUM(C17:M17)</f>
        <v>9538388</v>
      </c>
    </row>
    <row r="18" spans="1:20">
      <c r="A18" t="s">
        <v>23</v>
      </c>
      <c r="B18" s="15">
        <v>5336122.6099999994</v>
      </c>
      <c r="C18" s="15">
        <v>173232</v>
      </c>
      <c r="D18" s="15">
        <v>0</v>
      </c>
      <c r="E18" s="15">
        <v>2488</v>
      </c>
      <c r="F18" s="15">
        <v>0</v>
      </c>
      <c r="G18" s="15">
        <v>1807948</v>
      </c>
      <c r="H18" s="15">
        <v>25677</v>
      </c>
      <c r="I18" s="15">
        <v>874332</v>
      </c>
      <c r="J18" s="15">
        <v>286612</v>
      </c>
      <c r="K18" s="15">
        <v>0</v>
      </c>
      <c r="L18" s="15">
        <v>0</v>
      </c>
      <c r="M18" s="15">
        <v>809090.90500000014</v>
      </c>
      <c r="N18" s="15">
        <f>SUM(C18:M18)</f>
        <v>3979379.9050000003</v>
      </c>
    </row>
    <row r="19" spans="1:20">
      <c r="A19" t="s">
        <v>24</v>
      </c>
      <c r="B19" s="15">
        <v>0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 t="shared" ref="N19:N20" si="1">SUM(C19:M19)</f>
        <v>0</v>
      </c>
    </row>
    <row r="20" spans="1:20">
      <c r="A20" t="s">
        <v>25</v>
      </c>
      <c r="B20" s="15">
        <v>0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>
        <f t="shared" si="1"/>
        <v>0</v>
      </c>
    </row>
    <row r="21" spans="1:20">
      <c r="A21" t="s">
        <v>26</v>
      </c>
      <c r="B21" s="15">
        <v>751826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>
        <v>0</v>
      </c>
    </row>
    <row r="22" spans="1:20">
      <c r="A22" t="s">
        <v>27</v>
      </c>
      <c r="B22" s="15">
        <v>0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>
        <v>0</v>
      </c>
    </row>
    <row r="23" spans="1:20">
      <c r="A23" t="s">
        <v>18</v>
      </c>
      <c r="B23" s="15">
        <f>SUM(B17:B22)</f>
        <v>13178524</v>
      </c>
      <c r="C23" s="15">
        <f t="shared" ref="C23:N23" si="2">SUM(C17:C22)</f>
        <v>304592</v>
      </c>
      <c r="D23" s="15">
        <f t="shared" si="2"/>
        <v>1876308</v>
      </c>
      <c r="E23" s="15">
        <f t="shared" si="2"/>
        <v>2488</v>
      </c>
      <c r="F23" s="15">
        <f t="shared" si="2"/>
        <v>0</v>
      </c>
      <c r="G23" s="15">
        <f t="shared" si="2"/>
        <v>6925996</v>
      </c>
      <c r="H23" s="15">
        <f t="shared" si="2"/>
        <v>25677</v>
      </c>
      <c r="I23" s="15">
        <f t="shared" si="2"/>
        <v>1048522</v>
      </c>
      <c r="J23" s="15">
        <f t="shared" si="2"/>
        <v>286612</v>
      </c>
      <c r="K23" s="15">
        <f t="shared" si="2"/>
        <v>2238482</v>
      </c>
      <c r="L23" s="15">
        <f t="shared" si="2"/>
        <v>0</v>
      </c>
      <c r="M23" s="15">
        <f t="shared" si="2"/>
        <v>809090.90500000014</v>
      </c>
      <c r="N23" s="15">
        <f t="shared" si="2"/>
        <v>13517767.905000001</v>
      </c>
      <c r="R23" s="3" t="s">
        <v>28</v>
      </c>
      <c r="S23" s="11">
        <f>N42/1000</f>
        <v>49011.707995000004</v>
      </c>
      <c r="T23" s="3"/>
    </row>
    <row r="24" spans="1:20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R24" s="3"/>
      <c r="S24" s="3"/>
      <c r="T24" s="3"/>
    </row>
    <row r="25" spans="1:20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R25" s="3"/>
      <c r="S25" s="3" t="s">
        <v>29</v>
      </c>
      <c r="T25" s="3" t="s">
        <v>30</v>
      </c>
    </row>
    <row r="26" spans="1:20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R26" s="3" t="s">
        <v>12</v>
      </c>
      <c r="S26" s="12">
        <f>M42/1000</f>
        <v>20907.857305000001</v>
      </c>
      <c r="T26" s="13">
        <f>M43</f>
        <v>0.42658903678959614</v>
      </c>
    </row>
    <row r="27" spans="1:20">
      <c r="A27" s="84" t="s">
        <v>31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R27" s="15" t="s">
        <v>7</v>
      </c>
      <c r="S27" s="12">
        <f>G42/1000</f>
        <v>7876.2668888888893</v>
      </c>
      <c r="T27" s="14">
        <f>G43</f>
        <v>0.16070174272833743</v>
      </c>
    </row>
    <row r="28" spans="1:20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R28" s="3" t="s">
        <v>9</v>
      </c>
      <c r="S28" s="12">
        <f>J42/1000</f>
        <v>286.61200000000002</v>
      </c>
      <c r="T28" s="13">
        <f>J43</f>
        <v>5.8478272177178384E-3</v>
      </c>
    </row>
    <row r="29" spans="1:20">
      <c r="B29" s="15" t="s">
        <v>32</v>
      </c>
      <c r="C29" s="15" t="s">
        <v>3</v>
      </c>
      <c r="D29" s="15" t="s">
        <v>4</v>
      </c>
      <c r="E29" s="15" t="s">
        <v>5</v>
      </c>
      <c r="F29" s="15" t="s">
        <v>33</v>
      </c>
      <c r="G29" s="15" t="s">
        <v>7</v>
      </c>
      <c r="H29" s="15" t="s">
        <v>8</v>
      </c>
      <c r="I29" s="15" t="s">
        <v>6</v>
      </c>
      <c r="J29" s="15" t="s">
        <v>9</v>
      </c>
      <c r="K29" s="15" t="s">
        <v>10</v>
      </c>
      <c r="L29" s="15" t="s">
        <v>11</v>
      </c>
      <c r="M29" s="15" t="s">
        <v>12</v>
      </c>
      <c r="N29" s="15" t="s">
        <v>34</v>
      </c>
      <c r="R29" s="3" t="s">
        <v>10</v>
      </c>
      <c r="S29" s="12">
        <f>K42/1000</f>
        <v>2238.482</v>
      </c>
      <c r="T29" s="13">
        <f>K43</f>
        <v>4.5672393221398482E-2</v>
      </c>
    </row>
    <row r="30" spans="1:20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R30" s="3" t="s">
        <v>33</v>
      </c>
      <c r="S30" s="12">
        <f>F42/1000</f>
        <v>1350.70147</v>
      </c>
      <c r="T30" s="13">
        <f>F43</f>
        <v>2.7558751270977816E-2</v>
      </c>
    </row>
    <row r="31" spans="1:20">
      <c r="A31" t="s">
        <v>36</v>
      </c>
      <c r="B31" s="15">
        <v>0</v>
      </c>
      <c r="C31" s="15">
        <v>83959.22111111111</v>
      </c>
      <c r="D31" s="15">
        <v>0</v>
      </c>
      <c r="E31" s="15">
        <v>0</v>
      </c>
      <c r="F31" s="15">
        <v>7388.89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137352</v>
      </c>
      <c r="N31" s="15">
        <f>SUM(B31:M31)</f>
        <v>228700.11111111112</v>
      </c>
      <c r="O31" s="17">
        <f>N31/N$39</f>
        <v>4.7829932472478222E-3</v>
      </c>
      <c r="P31" s="18" t="s">
        <v>37</v>
      </c>
      <c r="Q31" s="3"/>
      <c r="R31" s="3" t="s">
        <v>35</v>
      </c>
      <c r="S31" s="11">
        <f>E42/1000</f>
        <v>764.29200000000003</v>
      </c>
      <c r="T31" s="13">
        <f>E43</f>
        <v>1.5594069891993363E-2</v>
      </c>
    </row>
    <row r="32" spans="1:20">
      <c r="A32" t="s">
        <v>39</v>
      </c>
      <c r="B32" s="15">
        <v>813004</v>
      </c>
      <c r="C32" s="15">
        <v>491857.11</v>
      </c>
      <c r="D32" s="15">
        <v>0</v>
      </c>
      <c r="E32" s="15">
        <v>596804</v>
      </c>
      <c r="F32" s="15">
        <v>8510.5800000000017</v>
      </c>
      <c r="G32" s="15">
        <v>410431.88888888888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3450988</v>
      </c>
      <c r="N32" s="15">
        <f t="shared" ref="N32:N38" si="3">SUM(B32:M32)</f>
        <v>5771595.5788888894</v>
      </c>
      <c r="O32" s="17">
        <f>N32/N$39</f>
        <v>0.12070611835540014</v>
      </c>
      <c r="P32" s="18" t="s">
        <v>40</v>
      </c>
      <c r="Q32" s="3"/>
      <c r="R32" s="3" t="s">
        <v>99</v>
      </c>
      <c r="S32" s="11">
        <f>D42/1000</f>
        <v>1876.308</v>
      </c>
      <c r="T32" s="13">
        <f>D43</f>
        <v>3.8282852745948254E-2</v>
      </c>
    </row>
    <row r="33" spans="1:20">
      <c r="A33" t="s">
        <v>42</v>
      </c>
      <c r="B33" s="15">
        <v>1322185.8052490742</v>
      </c>
      <c r="C33" s="15">
        <v>78879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1473851</v>
      </c>
      <c r="N33" s="15">
        <f t="shared" si="3"/>
        <v>2874915.8052490745</v>
      </c>
      <c r="O33" s="17">
        <f>N33/N$39</f>
        <v>6.012547530522077E-2</v>
      </c>
      <c r="P33" s="18" t="s">
        <v>43</v>
      </c>
      <c r="Q33" s="3"/>
      <c r="R33" s="3" t="s">
        <v>21</v>
      </c>
      <c r="S33" s="11">
        <f>I42/1000</f>
        <v>1048.5219999999999</v>
      </c>
      <c r="T33" s="13">
        <f>I43</f>
        <v>2.1393296477383861E-2</v>
      </c>
    </row>
    <row r="34" spans="1:20">
      <c r="A34" t="s">
        <v>44</v>
      </c>
      <c r="B34" s="15">
        <v>0</v>
      </c>
      <c r="C34" s="15">
        <v>10962643</v>
      </c>
      <c r="D34" s="15">
        <v>0</v>
      </c>
      <c r="E34" s="15">
        <v>165000</v>
      </c>
      <c r="F34" s="15">
        <v>1334802</v>
      </c>
      <c r="G34" s="15">
        <v>0</v>
      </c>
      <c r="H34" s="15">
        <v>240000</v>
      </c>
      <c r="I34" s="15">
        <v>0</v>
      </c>
      <c r="J34" s="15">
        <v>0</v>
      </c>
      <c r="K34" s="15">
        <v>0</v>
      </c>
      <c r="L34" s="15">
        <v>0</v>
      </c>
      <c r="M34" s="15">
        <v>965680</v>
      </c>
      <c r="N34" s="15">
        <f t="shared" si="3"/>
        <v>13668125</v>
      </c>
      <c r="O34" s="17">
        <f>N34/N$39</f>
        <v>0.28585272328869887</v>
      </c>
      <c r="P34" s="18" t="s">
        <v>45</v>
      </c>
      <c r="Q34" s="3"/>
      <c r="R34" s="3" t="s">
        <v>38</v>
      </c>
      <c r="S34" s="12">
        <f>C42/1000</f>
        <v>12396.98933111111</v>
      </c>
      <c r="T34" s="14">
        <f>C43</f>
        <v>0.25293934527594519</v>
      </c>
    </row>
    <row r="35" spans="1:20">
      <c r="A35" t="s">
        <v>46</v>
      </c>
      <c r="B35" s="15">
        <v>2240564</v>
      </c>
      <c r="C35" s="15">
        <v>401317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7737792</v>
      </c>
      <c r="N35" s="15">
        <f t="shared" si="3"/>
        <v>10379673</v>
      </c>
      <c r="O35" s="17">
        <f>N35/N$39</f>
        <v>0.2170786259195156</v>
      </c>
      <c r="P35" s="18" t="s">
        <v>47</v>
      </c>
      <c r="Q35" s="18"/>
      <c r="R35" s="3" t="s">
        <v>11</v>
      </c>
      <c r="S35" s="12">
        <f>L42/1000</f>
        <v>0</v>
      </c>
      <c r="T35" s="14">
        <f>L43</f>
        <v>0</v>
      </c>
    </row>
    <row r="36" spans="1:20">
      <c r="A36" t="s">
        <v>48</v>
      </c>
      <c r="B36" s="15">
        <v>412067</v>
      </c>
      <c r="C36" s="15">
        <v>50329</v>
      </c>
      <c r="D36" s="15">
        <v>0</v>
      </c>
      <c r="E36" s="15">
        <v>0</v>
      </c>
      <c r="F36" s="15">
        <v>0</v>
      </c>
      <c r="G36" s="15">
        <v>539839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4160662</v>
      </c>
      <c r="N36" s="15">
        <f t="shared" si="3"/>
        <v>5162897</v>
      </c>
      <c r="O36" s="18"/>
      <c r="P36" s="18"/>
      <c r="Q36" s="3"/>
      <c r="R36" s="3" t="s">
        <v>8</v>
      </c>
      <c r="S36" s="12">
        <f>H42/1000</f>
        <v>265.67700000000002</v>
      </c>
      <c r="T36" s="13">
        <f>H43</f>
        <v>5.4206843807015131E-3</v>
      </c>
    </row>
    <row r="37" spans="1:20">
      <c r="A37" t="s">
        <v>49</v>
      </c>
      <c r="B37" s="15">
        <v>7350625</v>
      </c>
      <c r="C37" s="15">
        <v>19008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1829558</v>
      </c>
      <c r="N37" s="15">
        <f t="shared" si="3"/>
        <v>9199191</v>
      </c>
      <c r="O37" s="18"/>
      <c r="P37" s="18"/>
      <c r="Q37" s="3"/>
      <c r="R37" s="3"/>
      <c r="S37" s="12">
        <f>SUM(S26:S36)</f>
        <v>49011.707994999997</v>
      </c>
      <c r="T37" s="13">
        <f>SUM(T26:T36)</f>
        <v>1</v>
      </c>
    </row>
    <row r="38" spans="1:20">
      <c r="A38" t="s">
        <v>50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530172</v>
      </c>
      <c r="N38" s="15">
        <f t="shared" si="3"/>
        <v>530172</v>
      </c>
      <c r="O38" s="18">
        <f>SUM(O31:O35)</f>
        <v>0.68854593611608328</v>
      </c>
      <c r="P38" s="18"/>
      <c r="Q38" s="3"/>
      <c r="R38" s="2"/>
      <c r="S38" s="2"/>
      <c r="T38" s="2"/>
    </row>
    <row r="39" spans="1:20">
      <c r="A39" t="s">
        <v>18</v>
      </c>
      <c r="B39" s="15">
        <f>SUM(B31:B38)</f>
        <v>12138445.805249074</v>
      </c>
      <c r="C39" s="15">
        <f t="shared" ref="C39:N39" si="4">SUM(C31:C38)</f>
        <v>12087992.331111111</v>
      </c>
      <c r="D39" s="15">
        <f t="shared" si="4"/>
        <v>0</v>
      </c>
      <c r="E39" s="15">
        <f t="shared" si="4"/>
        <v>761804</v>
      </c>
      <c r="F39" s="15">
        <f t="shared" si="4"/>
        <v>1350701.47</v>
      </c>
      <c r="G39" s="15">
        <f t="shared" si="4"/>
        <v>950270.88888888888</v>
      </c>
      <c r="H39" s="15">
        <f t="shared" si="4"/>
        <v>240000</v>
      </c>
      <c r="I39" s="15">
        <f t="shared" si="4"/>
        <v>0</v>
      </c>
      <c r="J39" s="15">
        <f t="shared" si="4"/>
        <v>0</v>
      </c>
      <c r="K39" s="15">
        <f t="shared" si="4"/>
        <v>0</v>
      </c>
      <c r="L39" s="15">
        <f t="shared" si="4"/>
        <v>0</v>
      </c>
      <c r="M39" s="15">
        <f t="shared" si="4"/>
        <v>20286055</v>
      </c>
      <c r="N39" s="15">
        <f t="shared" si="4"/>
        <v>47815269.495249078</v>
      </c>
      <c r="R39" s="7"/>
      <c r="S39" s="7"/>
      <c r="T39" s="7"/>
    </row>
    <row r="40" spans="1:20">
      <c r="R40" s="7"/>
      <c r="S40" s="7" t="s">
        <v>29</v>
      </c>
      <c r="T40" s="7" t="s">
        <v>30</v>
      </c>
    </row>
    <row r="41" spans="1:20">
      <c r="A41" s="21" t="s">
        <v>54</v>
      </c>
      <c r="B41" s="22">
        <f>B38+B37+B36</f>
        <v>7762692</v>
      </c>
      <c r="C41" s="22">
        <f t="shared" ref="C41:N41" si="5">C38+C37+C36</f>
        <v>69337</v>
      </c>
      <c r="D41" s="22">
        <f t="shared" si="5"/>
        <v>0</v>
      </c>
      <c r="E41" s="22">
        <f t="shared" si="5"/>
        <v>0</v>
      </c>
      <c r="F41" s="22">
        <f t="shared" si="5"/>
        <v>0</v>
      </c>
      <c r="G41" s="22">
        <f t="shared" si="5"/>
        <v>539839</v>
      </c>
      <c r="H41" s="22">
        <f t="shared" si="5"/>
        <v>0</v>
      </c>
      <c r="I41" s="22">
        <f t="shared" si="5"/>
        <v>0</v>
      </c>
      <c r="J41" s="22">
        <f t="shared" si="5"/>
        <v>0</v>
      </c>
      <c r="K41" s="22">
        <f t="shared" si="5"/>
        <v>0</v>
      </c>
      <c r="L41" s="22">
        <f t="shared" si="5"/>
        <v>0</v>
      </c>
      <c r="M41" s="22">
        <f t="shared" si="5"/>
        <v>6520392</v>
      </c>
      <c r="N41" s="22">
        <f t="shared" si="5"/>
        <v>14892260</v>
      </c>
      <c r="O41" s="17">
        <f>N41/N$39</f>
        <v>0.31145406388391672</v>
      </c>
      <c r="P41" s="17" t="s">
        <v>55</v>
      </c>
      <c r="R41" s="7" t="s">
        <v>51</v>
      </c>
      <c r="S41" s="19">
        <f>N45/1000</f>
        <v>2662.9625947509257</v>
      </c>
      <c r="T41" s="7"/>
    </row>
    <row r="42" spans="1:20">
      <c r="A42" s="23" t="s">
        <v>57</v>
      </c>
      <c r="B42" s="22"/>
      <c r="C42" s="24">
        <f>C39+C23+C10</f>
        <v>12396989.331111111</v>
      </c>
      <c r="D42" s="24">
        <f t="shared" ref="D42:L42" si="6">D39+D23+D10</f>
        <v>1876308</v>
      </c>
      <c r="E42" s="24">
        <f t="shared" si="6"/>
        <v>764292</v>
      </c>
      <c r="F42" s="24">
        <f t="shared" si="6"/>
        <v>1350701.47</v>
      </c>
      <c r="G42" s="24">
        <f t="shared" si="6"/>
        <v>7876266.888888889</v>
      </c>
      <c r="H42" s="24">
        <f t="shared" si="6"/>
        <v>265677</v>
      </c>
      <c r="I42" s="24">
        <f t="shared" si="6"/>
        <v>1048522</v>
      </c>
      <c r="J42" s="24">
        <f t="shared" si="6"/>
        <v>286612</v>
      </c>
      <c r="K42" s="24">
        <f t="shared" si="6"/>
        <v>2238482</v>
      </c>
      <c r="L42" s="24">
        <f t="shared" si="6"/>
        <v>0</v>
      </c>
      <c r="M42" s="24">
        <f>M39+M23-B6+M45-B7</f>
        <v>20907857.305</v>
      </c>
      <c r="N42" s="25">
        <f>SUM(C42:M42)</f>
        <v>49011707.995000005</v>
      </c>
      <c r="O42" s="7"/>
      <c r="P42" s="7"/>
      <c r="R42" s="7" t="s">
        <v>52</v>
      </c>
      <c r="S42" s="20">
        <f>N41/1000</f>
        <v>14892.26</v>
      </c>
      <c r="T42" s="13">
        <f>O41</f>
        <v>0.31145406388391672</v>
      </c>
    </row>
    <row r="43" spans="1:20">
      <c r="A43" s="23" t="s">
        <v>58</v>
      </c>
      <c r="B43" s="22"/>
      <c r="C43" s="17">
        <f t="shared" ref="C43:M43" si="7">C42/$N42</f>
        <v>0.25293934527594519</v>
      </c>
      <c r="D43" s="17">
        <f t="shared" si="7"/>
        <v>3.8282852745948254E-2</v>
      </c>
      <c r="E43" s="17">
        <f t="shared" si="7"/>
        <v>1.5594069891993363E-2</v>
      </c>
      <c r="F43" s="17">
        <f t="shared" si="7"/>
        <v>2.7558751270977816E-2</v>
      </c>
      <c r="G43" s="17">
        <f t="shared" si="7"/>
        <v>0.16070174272833743</v>
      </c>
      <c r="H43" s="17">
        <f t="shared" si="7"/>
        <v>5.4206843807015131E-3</v>
      </c>
      <c r="I43" s="17">
        <f t="shared" si="7"/>
        <v>2.1393296477383861E-2</v>
      </c>
      <c r="J43" s="17">
        <f t="shared" si="7"/>
        <v>5.8478272177178384E-3</v>
      </c>
      <c r="K43" s="17">
        <f t="shared" si="7"/>
        <v>4.5672393221398482E-2</v>
      </c>
      <c r="L43" s="17">
        <f t="shared" si="7"/>
        <v>0</v>
      </c>
      <c r="M43" s="17">
        <f t="shared" si="7"/>
        <v>0.42658903678959614</v>
      </c>
      <c r="N43" s="17">
        <f>SUM(C43:M43)</f>
        <v>0.99999999999999978</v>
      </c>
      <c r="O43" s="7"/>
      <c r="P43" s="7"/>
      <c r="R43" s="7" t="s">
        <v>53</v>
      </c>
      <c r="S43" s="20">
        <f>N35/1000</f>
        <v>10379.673000000001</v>
      </c>
      <c r="T43" s="14">
        <f>O35</f>
        <v>0.2170786259195156</v>
      </c>
    </row>
    <row r="44" spans="1:20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R44" s="7" t="s">
        <v>56</v>
      </c>
      <c r="S44" s="20">
        <f>N33/1000</f>
        <v>2874.9158052490743</v>
      </c>
      <c r="T44" s="13">
        <f>O33</f>
        <v>6.012547530522077E-2</v>
      </c>
    </row>
    <row r="45" spans="1:20">
      <c r="A45" s="6" t="s">
        <v>61</v>
      </c>
      <c r="B45" s="6">
        <f>B23-B39</f>
        <v>1040078.1947509255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1622884.4000000001</v>
      </c>
      <c r="N45" s="25">
        <f>B45+M45</f>
        <v>2662962.5947509259</v>
      </c>
      <c r="O45" s="7"/>
      <c r="P45" s="7"/>
      <c r="R45" s="7" t="s">
        <v>37</v>
      </c>
      <c r="S45" s="20">
        <f>N31/1000</f>
        <v>228.70011111111111</v>
      </c>
      <c r="T45" s="13">
        <f>O31</f>
        <v>4.7829932472478222E-3</v>
      </c>
    </row>
    <row r="46" spans="1:20">
      <c r="B46" s="85">
        <f>B45/B23</f>
        <v>7.8922206671318093E-2</v>
      </c>
      <c r="R46" s="7" t="s">
        <v>59</v>
      </c>
      <c r="S46" s="20">
        <f>N32/1000</f>
        <v>5771.5955788888896</v>
      </c>
      <c r="T46" s="14">
        <f>O32</f>
        <v>0.12070611835540014</v>
      </c>
    </row>
    <row r="47" spans="1:20">
      <c r="L47" t="s">
        <v>100</v>
      </c>
      <c r="M47" s="15">
        <f>M42-B8-B9</f>
        <v>20896174.305</v>
      </c>
      <c r="R47" s="7" t="s">
        <v>60</v>
      </c>
      <c r="S47" s="20">
        <f>N34/1000</f>
        <v>13668.125</v>
      </c>
      <c r="T47" s="14">
        <f>O34</f>
        <v>0.28585272328869887</v>
      </c>
    </row>
    <row r="48" spans="1:20">
      <c r="D48" s="15"/>
      <c r="R48" s="7" t="s">
        <v>62</v>
      </c>
      <c r="S48" s="20">
        <f>SUM(S42:S47)</f>
        <v>47815.269495249071</v>
      </c>
      <c r="T48" s="13">
        <f>SUM(T42:T47)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 enableFormatConditionsCalculation="0"/>
  <dimension ref="A1:AU70"/>
  <sheetViews>
    <sheetView topLeftCell="A13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70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70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>
        <v>0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/>
      <c r="J18" s="38"/>
      <c r="K18" s="38"/>
      <c r="L18" s="38"/>
      <c r="M18" s="38"/>
      <c r="N18" s="38">
        <v>0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55">
        <v>0</v>
      </c>
      <c r="N19" s="38"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55">
        <v>0</v>
      </c>
      <c r="N20" s="38">
        <v>0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38"/>
      <c r="N21" s="38">
        <v>0</v>
      </c>
      <c r="O21" s="3"/>
      <c r="P21" s="3"/>
      <c r="Q21" s="3"/>
      <c r="R21" s="3"/>
      <c r="S21" s="3"/>
      <c r="T21" s="3"/>
    </row>
    <row r="22" spans="1:20" ht="15">
      <c r="A22" s="4" t="s">
        <v>95</v>
      </c>
      <c r="B22" s="53">
        <v>48000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38"/>
      <c r="N22" s="38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54">
        <f>B22</f>
        <v>48000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/>
      <c r="J23" s="38"/>
      <c r="K23" s="38"/>
      <c r="L23" s="38"/>
      <c r="M23" s="38"/>
      <c r="N23" s="38">
        <v>0</v>
      </c>
      <c r="O23" s="3"/>
      <c r="P23" s="3"/>
      <c r="Q23" s="3"/>
      <c r="R23" s="3" t="s">
        <v>28</v>
      </c>
      <c r="S23" s="11">
        <f>N42/1000</f>
        <v>137.25255999999999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79.900559999999999</v>
      </c>
      <c r="T26" s="13">
        <f>M43</f>
        <v>0.58214258444432654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2.2080000000000002</v>
      </c>
      <c r="T27" s="14">
        <f>G43</f>
        <v>1.6087131635286075E-2</v>
      </c>
    </row>
    <row r="28" spans="1:20" ht="15">
      <c r="A28" s="37" t="s">
        <v>70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4.5780000000000003</v>
      </c>
      <c r="T29" s="13">
        <f>F43</f>
        <v>3.3354569124248029E-2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0</v>
      </c>
      <c r="T30" s="13">
        <f>E43</f>
        <v>0</v>
      </c>
    </row>
    <row r="31" spans="1:20" ht="15">
      <c r="A31" s="5" t="s">
        <v>36</v>
      </c>
      <c r="B31" s="38">
        <v>0</v>
      </c>
      <c r="C31" s="38">
        <v>356</v>
      </c>
      <c r="D31" s="38">
        <v>0</v>
      </c>
      <c r="E31" s="38">
        <v>0</v>
      </c>
      <c r="F31" s="38">
        <v>38</v>
      </c>
      <c r="G31" s="38">
        <v>0</v>
      </c>
      <c r="H31" s="38">
        <v>0</v>
      </c>
      <c r="I31" s="38"/>
      <c r="J31" s="38"/>
      <c r="K31" s="38"/>
      <c r="L31" s="38"/>
      <c r="M31" s="38">
        <v>241</v>
      </c>
      <c r="N31" s="38">
        <v>635</v>
      </c>
      <c r="O31" s="17">
        <f>N31/N$39</f>
        <v>3.5925433509660263E-3</v>
      </c>
      <c r="P31" s="18" t="s">
        <v>37</v>
      </c>
      <c r="Q31" s="3"/>
      <c r="R31" s="3" t="s">
        <v>38</v>
      </c>
      <c r="S31" s="12">
        <f>C42/1000</f>
        <v>50.566000000000003</v>
      </c>
      <c r="T31" s="14">
        <f>C43</f>
        <v>0.36841571479613933</v>
      </c>
    </row>
    <row r="32" spans="1:20" ht="15">
      <c r="A32" s="5" t="s">
        <v>39</v>
      </c>
      <c r="B32" s="38">
        <v>525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/>
      <c r="J32" s="38"/>
      <c r="K32" s="38"/>
      <c r="L32" s="38"/>
      <c r="M32" s="38">
        <v>754</v>
      </c>
      <c r="N32" s="38">
        <v>1279</v>
      </c>
      <c r="O32" s="17">
        <f>N32/N$39</f>
        <v>7.236004639189839E-3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38">
        <v>7564</v>
      </c>
      <c r="C33" s="38">
        <v>204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8">
        <v>6957</v>
      </c>
      <c r="N33" s="38">
        <v>14725</v>
      </c>
      <c r="O33" s="17">
        <f>N33/N$39</f>
        <v>8.3307402902322428E-2</v>
      </c>
      <c r="P33" s="18" t="s">
        <v>43</v>
      </c>
      <c r="Q33" s="3"/>
      <c r="R33" s="3" t="s">
        <v>8</v>
      </c>
      <c r="S33" s="12">
        <f>H42/1000</f>
        <v>0</v>
      </c>
      <c r="T33" s="13">
        <f>H43</f>
        <v>0</v>
      </c>
    </row>
    <row r="34" spans="1:47" ht="15">
      <c r="A34" s="5" t="s">
        <v>44</v>
      </c>
      <c r="B34" s="38">
        <v>0</v>
      </c>
      <c r="C34" s="38">
        <v>49631</v>
      </c>
      <c r="D34" s="38">
        <v>0</v>
      </c>
      <c r="E34" s="38">
        <v>0</v>
      </c>
      <c r="F34" s="38">
        <v>4540</v>
      </c>
      <c r="G34" s="38">
        <v>0</v>
      </c>
      <c r="H34" s="38">
        <v>0</v>
      </c>
      <c r="I34" s="38"/>
      <c r="J34" s="38"/>
      <c r="K34" s="38"/>
      <c r="L34" s="38"/>
      <c r="M34" s="38">
        <v>38</v>
      </c>
      <c r="N34" s="38">
        <v>54209</v>
      </c>
      <c r="O34" s="17">
        <f>N34/N$39</f>
        <v>0.30669005120081466</v>
      </c>
      <c r="P34" s="18" t="s">
        <v>45</v>
      </c>
      <c r="Q34" s="3"/>
      <c r="R34" s="3"/>
      <c r="S34" s="12">
        <f>SUM(S26:S33)</f>
        <v>137.25256000000002</v>
      </c>
      <c r="T34" s="13">
        <f>SUM(T26:T33)</f>
        <v>1</v>
      </c>
    </row>
    <row r="35" spans="1:47" ht="15">
      <c r="A35" s="5" t="s">
        <v>46</v>
      </c>
      <c r="B35" s="38">
        <v>928</v>
      </c>
      <c r="C35" s="38">
        <v>44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>
        <v>4921</v>
      </c>
      <c r="N35" s="38">
        <v>5893</v>
      </c>
      <c r="O35" s="17">
        <f>N35/N$39</f>
        <v>3.3339933806681564E-2</v>
      </c>
      <c r="P35" s="18" t="s">
        <v>47</v>
      </c>
      <c r="Q35" s="18"/>
    </row>
    <row r="36" spans="1:47" ht="15">
      <c r="A36" s="5" t="s">
        <v>48</v>
      </c>
      <c r="B36" s="38">
        <v>7527</v>
      </c>
      <c r="C36" s="38">
        <v>331</v>
      </c>
      <c r="D36" s="38">
        <v>0</v>
      </c>
      <c r="E36" s="38">
        <v>0</v>
      </c>
      <c r="F36" s="38">
        <v>0</v>
      </c>
      <c r="G36" s="38">
        <v>2208</v>
      </c>
      <c r="H36" s="38">
        <v>0</v>
      </c>
      <c r="I36" s="38"/>
      <c r="J36" s="38"/>
      <c r="K36" s="38"/>
      <c r="L36" s="38"/>
      <c r="M36" s="38">
        <v>53159</v>
      </c>
      <c r="N36" s="38">
        <v>63225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38">
        <v>28877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>
        <v>6852</v>
      </c>
      <c r="N37" s="38">
        <v>35729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>
        <v>1060</v>
      </c>
      <c r="N38" s="38">
        <v>1060</v>
      </c>
      <c r="O38" s="18">
        <f>SUM(O31:O35)</f>
        <v>0.43416593589997449</v>
      </c>
      <c r="P38" s="18"/>
      <c r="Q38" s="3"/>
      <c r="R38" s="7" t="s">
        <v>51</v>
      </c>
      <c r="S38" s="19">
        <f>N45/1000</f>
        <v>8.4975600000000018</v>
      </c>
      <c r="T38" s="7"/>
    </row>
    <row r="39" spans="1:47" ht="15">
      <c r="A39" s="5" t="s">
        <v>18</v>
      </c>
      <c r="B39" s="38">
        <v>45421</v>
      </c>
      <c r="C39" s="38">
        <v>50566</v>
      </c>
      <c r="D39" s="38">
        <v>0</v>
      </c>
      <c r="E39" s="38">
        <v>0</v>
      </c>
      <c r="F39" s="38">
        <v>4578</v>
      </c>
      <c r="G39" s="38">
        <v>2208</v>
      </c>
      <c r="H39" s="38">
        <v>0</v>
      </c>
      <c r="I39" s="38"/>
      <c r="J39" s="38"/>
      <c r="K39" s="38"/>
      <c r="L39" s="38"/>
      <c r="M39" s="38">
        <v>73982</v>
      </c>
      <c r="N39" s="38">
        <v>176755</v>
      </c>
      <c r="O39" s="3"/>
      <c r="P39" s="3"/>
      <c r="Q39" s="3"/>
      <c r="R39" s="7" t="s">
        <v>52</v>
      </c>
      <c r="S39" s="20">
        <f>N41/1000</f>
        <v>100.014</v>
      </c>
      <c r="T39" s="13">
        <f>O41</f>
        <v>0.56583406410002546</v>
      </c>
    </row>
    <row r="40" spans="1:47">
      <c r="R40" s="7" t="s">
        <v>53</v>
      </c>
      <c r="S40" s="20">
        <f>N35/1000</f>
        <v>5.8929999999999998</v>
      </c>
      <c r="T40" s="14">
        <f>O35</f>
        <v>3.3339933806681564E-2</v>
      </c>
    </row>
    <row r="41" spans="1:47" ht="15">
      <c r="A41" s="21" t="s">
        <v>54</v>
      </c>
      <c r="B41" s="22">
        <f>B38+B37+B36</f>
        <v>36404</v>
      </c>
      <c r="C41" s="22">
        <f t="shared" ref="C41:N41" si="0">C38+C37+C36</f>
        <v>331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2208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61071</v>
      </c>
      <c r="N41" s="22">
        <f t="shared" si="0"/>
        <v>100014</v>
      </c>
      <c r="O41" s="17">
        <f>N41/N$39</f>
        <v>0.56583406410002546</v>
      </c>
      <c r="P41" s="17" t="s">
        <v>55</v>
      </c>
      <c r="Q41" s="7"/>
      <c r="R41" s="7" t="s">
        <v>56</v>
      </c>
      <c r="S41" s="20">
        <f>N33/1000</f>
        <v>14.725</v>
      </c>
      <c r="T41" s="13">
        <f>O33</f>
        <v>8.3307402902322428E-2</v>
      </c>
    </row>
    <row r="42" spans="1:47" ht="15">
      <c r="A42" s="23" t="s">
        <v>57</v>
      </c>
      <c r="B42" s="22"/>
      <c r="C42" s="24">
        <f>C39+C23+C10</f>
        <v>50566</v>
      </c>
      <c r="D42" s="24">
        <f t="shared" ref="D42:L42" si="1">D39+D23+D10</f>
        <v>0</v>
      </c>
      <c r="E42" s="24">
        <f t="shared" si="1"/>
        <v>0</v>
      </c>
      <c r="F42" s="24">
        <f t="shared" si="1"/>
        <v>4578</v>
      </c>
      <c r="G42" s="24">
        <f t="shared" si="1"/>
        <v>2208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79900.56</v>
      </c>
      <c r="N42" s="25">
        <f>SUM(C42:M42)</f>
        <v>137252.56</v>
      </c>
      <c r="O42" s="7"/>
      <c r="P42" s="7"/>
      <c r="Q42" s="7"/>
      <c r="R42" s="7" t="s">
        <v>37</v>
      </c>
      <c r="S42" s="20">
        <f>N31/1000</f>
        <v>0.63500000000000001</v>
      </c>
      <c r="T42" s="13">
        <f>O31</f>
        <v>3.5925433509660263E-3</v>
      </c>
    </row>
    <row r="43" spans="1:47" ht="15">
      <c r="A43" s="23" t="s">
        <v>58</v>
      </c>
      <c r="B43" s="22"/>
      <c r="C43" s="17">
        <f t="shared" ref="C43:M43" si="2">C42/$N42</f>
        <v>0.36841571479613933</v>
      </c>
      <c r="D43" s="17">
        <f t="shared" si="2"/>
        <v>0</v>
      </c>
      <c r="E43" s="17">
        <f t="shared" si="2"/>
        <v>0</v>
      </c>
      <c r="F43" s="17">
        <f t="shared" si="2"/>
        <v>3.3354569124248029E-2</v>
      </c>
      <c r="G43" s="17">
        <f t="shared" si="2"/>
        <v>1.6087131635286075E-2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0.58214258444432654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1.2789999999999999</v>
      </c>
      <c r="T43" s="14">
        <f>O32</f>
        <v>7.236004639189839E-3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54.209000000000003</v>
      </c>
      <c r="T44" s="14">
        <f>O34</f>
        <v>0.30669005120081466</v>
      </c>
    </row>
    <row r="45" spans="1:47" ht="15">
      <c r="A45" s="6" t="s">
        <v>61</v>
      </c>
      <c r="B45" s="6">
        <f>B23-B39</f>
        <v>2579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5918.56</v>
      </c>
      <c r="N45" s="25">
        <f>B45+M45</f>
        <v>8497.5600000000013</v>
      </c>
      <c r="O45" s="7"/>
      <c r="P45" s="7"/>
      <c r="Q45" s="7"/>
      <c r="R45" s="7" t="s">
        <v>62</v>
      </c>
      <c r="S45" s="20">
        <f>SUM(S39:S44)</f>
        <v>176.755</v>
      </c>
      <c r="T45" s="13">
        <f>SUM(T39:T44)</f>
        <v>1</v>
      </c>
    </row>
    <row r="46" spans="1:47" ht="15">
      <c r="A46" s="6" t="s">
        <v>88</v>
      </c>
      <c r="B46" s="83">
        <f>B45/(B23)</f>
        <v>5.3729166666666668E-2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40"/>
      <c r="B48" s="37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40"/>
      <c r="B55" s="37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 enableFormatConditionsCalculation="0"/>
  <dimension ref="A1:AU70"/>
  <sheetViews>
    <sheetView topLeftCell="A23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71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38">
        <v>102377</v>
      </c>
      <c r="C6" s="38">
        <v>0</v>
      </c>
      <c r="D6" s="38">
        <v>0</v>
      </c>
      <c r="E6" s="38">
        <v>0</v>
      </c>
      <c r="F6" s="68">
        <v>0</v>
      </c>
      <c r="G6" s="68">
        <v>0</v>
      </c>
      <c r="H6" s="38">
        <v>0</v>
      </c>
      <c r="I6" s="38"/>
      <c r="J6" s="38"/>
      <c r="K6" s="38"/>
      <c r="L6" s="38"/>
      <c r="M6" s="38"/>
      <c r="N6" s="6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38">
        <v>102377</v>
      </c>
      <c r="C10" s="38">
        <v>0</v>
      </c>
      <c r="D10" s="38">
        <v>0</v>
      </c>
      <c r="E10" s="38">
        <v>0</v>
      </c>
      <c r="F10" s="68">
        <v>0</v>
      </c>
      <c r="G10" s="68">
        <v>0</v>
      </c>
      <c r="H10" s="38">
        <v>0</v>
      </c>
      <c r="I10" s="38"/>
      <c r="J10" s="38"/>
      <c r="K10" s="38"/>
      <c r="L10" s="38"/>
      <c r="M10" s="38"/>
      <c r="N10" s="6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71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38">
        <v>506892</v>
      </c>
      <c r="C17" s="38">
        <v>0</v>
      </c>
      <c r="D17" s="38">
        <v>0</v>
      </c>
      <c r="E17" s="38">
        <v>0</v>
      </c>
      <c r="F17" s="68">
        <v>24917</v>
      </c>
      <c r="G17" s="68">
        <v>750781</v>
      </c>
      <c r="H17" s="38">
        <v>0</v>
      </c>
      <c r="I17" s="38"/>
      <c r="J17" s="38"/>
      <c r="K17" s="38"/>
      <c r="L17" s="38"/>
      <c r="M17" s="38"/>
      <c r="N17" s="68">
        <f>G17+F17</f>
        <v>775698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/>
      <c r="J18" s="38"/>
      <c r="K18" s="38"/>
      <c r="L18" s="38"/>
      <c r="M18" s="55"/>
      <c r="N18" s="38">
        <v>0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55">
        <v>0</v>
      </c>
      <c r="N19" s="38"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55">
        <v>0</v>
      </c>
      <c r="N20" s="38">
        <v>0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55"/>
      <c r="N21" s="38">
        <v>0</v>
      </c>
      <c r="O21" s="3"/>
      <c r="P21" s="3"/>
      <c r="Q21" s="3"/>
      <c r="R21" s="3"/>
      <c r="S21" s="3"/>
      <c r="T21" s="3"/>
    </row>
    <row r="22" spans="1:20" ht="15">
      <c r="A22" s="4" t="s">
        <v>27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55"/>
      <c r="N22" s="38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38">
        <v>506892</v>
      </c>
      <c r="C23" s="38">
        <v>0</v>
      </c>
      <c r="D23" s="38">
        <v>0</v>
      </c>
      <c r="E23" s="38">
        <v>0</v>
      </c>
      <c r="F23" s="68">
        <f>F17</f>
        <v>24917</v>
      </c>
      <c r="G23" s="68">
        <f>G17</f>
        <v>750781</v>
      </c>
      <c r="H23" s="38">
        <v>0</v>
      </c>
      <c r="I23" s="38"/>
      <c r="J23" s="38"/>
      <c r="K23" s="38"/>
      <c r="L23" s="38"/>
      <c r="M23" s="38"/>
      <c r="N23" s="68">
        <f>N17</f>
        <v>775698</v>
      </c>
      <c r="O23" s="3"/>
      <c r="P23" s="3"/>
      <c r="Q23" s="3"/>
      <c r="R23" s="3" t="s">
        <v>28</v>
      </c>
      <c r="S23" s="11">
        <f>N42/1000</f>
        <v>1953.2078399999998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533.63283999999999</v>
      </c>
      <c r="T26" s="13">
        <f>M43</f>
        <v>0.27320842619595465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794.69100000000003</v>
      </c>
      <c r="T27" s="14">
        <f>G43</f>
        <v>0.40686453521505428</v>
      </c>
    </row>
    <row r="28" spans="1:20" ht="15">
      <c r="A28" s="37" t="s">
        <v>71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83.438999999999993</v>
      </c>
      <c r="T29" s="13">
        <f>F43</f>
        <v>4.2718956114777835E-2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4.2999999999999997E-2</v>
      </c>
      <c r="T30" s="13">
        <f>E43</f>
        <v>2.2015066251218817E-5</v>
      </c>
    </row>
    <row r="31" spans="1:20" ht="15">
      <c r="A31" s="5" t="s">
        <v>36</v>
      </c>
      <c r="B31" s="38">
        <v>0</v>
      </c>
      <c r="C31" s="38">
        <v>2264</v>
      </c>
      <c r="D31" s="38">
        <v>0</v>
      </c>
      <c r="E31" s="38">
        <v>0</v>
      </c>
      <c r="F31" s="38">
        <v>184</v>
      </c>
      <c r="G31" s="38">
        <v>0</v>
      </c>
      <c r="H31" s="38">
        <v>0</v>
      </c>
      <c r="I31" s="38"/>
      <c r="J31" s="38"/>
      <c r="K31" s="38"/>
      <c r="L31" s="38"/>
      <c r="M31" s="38">
        <v>5787</v>
      </c>
      <c r="N31" s="38">
        <v>8235</v>
      </c>
      <c r="O31" s="17">
        <f>N31/N$39</f>
        <v>5.2087220636027028E-3</v>
      </c>
      <c r="P31" s="18" t="s">
        <v>37</v>
      </c>
      <c r="Q31" s="3"/>
      <c r="R31" s="3" t="s">
        <v>38</v>
      </c>
      <c r="S31" s="12">
        <f>C42/1000</f>
        <v>541.40200000000004</v>
      </c>
      <c r="T31" s="14">
        <f>C43</f>
        <v>0.27718606740796209</v>
      </c>
    </row>
    <row r="32" spans="1:20" ht="15">
      <c r="A32" s="5" t="s">
        <v>39</v>
      </c>
      <c r="B32" s="38">
        <v>22886</v>
      </c>
      <c r="C32" s="67">
        <v>43000</v>
      </c>
      <c r="D32" s="38">
        <v>0</v>
      </c>
      <c r="E32" s="67">
        <v>43</v>
      </c>
      <c r="F32" s="67">
        <f>N32-M32-C32-B32-E32</f>
        <v>3153</v>
      </c>
      <c r="G32" s="38">
        <v>0</v>
      </c>
      <c r="H32" s="38">
        <v>0</v>
      </c>
      <c r="I32" s="38"/>
      <c r="J32" s="38"/>
      <c r="K32" s="38"/>
      <c r="L32" s="38"/>
      <c r="M32" s="38">
        <v>22820</v>
      </c>
      <c r="N32" s="38">
        <v>91902</v>
      </c>
      <c r="O32" s="17">
        <f>N32/N$39</f>
        <v>5.8128958723644882E-2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38">
        <v>19639</v>
      </c>
      <c r="C33" s="38">
        <v>802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8">
        <v>29548</v>
      </c>
      <c r="N33" s="38">
        <v>49989</v>
      </c>
      <c r="O33" s="17">
        <f>N33/N$39</f>
        <v>3.1618555827253855E-2</v>
      </c>
      <c r="P33" s="18" t="s">
        <v>43</v>
      </c>
      <c r="Q33" s="3"/>
      <c r="R33" s="3" t="s">
        <v>8</v>
      </c>
      <c r="S33" s="12">
        <f>H42/1000</f>
        <v>0</v>
      </c>
      <c r="T33" s="13">
        <f>H43</f>
        <v>0</v>
      </c>
    </row>
    <row r="34" spans="1:47" ht="15">
      <c r="A34" s="5" t="s">
        <v>44</v>
      </c>
      <c r="B34" s="38">
        <v>0</v>
      </c>
      <c r="C34" s="38">
        <v>487731</v>
      </c>
      <c r="D34" s="38">
        <v>0</v>
      </c>
      <c r="E34" s="38">
        <v>0</v>
      </c>
      <c r="F34" s="38">
        <v>55185</v>
      </c>
      <c r="G34" s="38">
        <v>0</v>
      </c>
      <c r="H34" s="38">
        <v>0</v>
      </c>
      <c r="I34" s="38"/>
      <c r="J34" s="38"/>
      <c r="K34" s="38"/>
      <c r="L34" s="38"/>
      <c r="M34" s="38">
        <v>3980</v>
      </c>
      <c r="N34" s="38">
        <v>546896</v>
      </c>
      <c r="O34" s="17">
        <f>N34/N$39</f>
        <v>0.34591733596794944</v>
      </c>
      <c r="P34" s="18" t="s">
        <v>45</v>
      </c>
      <c r="Q34" s="3"/>
      <c r="R34" s="3"/>
      <c r="S34" s="12">
        <f>SUM(S26:S33)</f>
        <v>1953.20784</v>
      </c>
      <c r="T34" s="13">
        <f>SUM(T26:T33)</f>
        <v>1</v>
      </c>
    </row>
    <row r="35" spans="1:47" ht="15">
      <c r="A35" s="5" t="s">
        <v>46</v>
      </c>
      <c r="B35" s="38">
        <v>78057</v>
      </c>
      <c r="C35" s="38">
        <v>6290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>
        <v>219025</v>
      </c>
      <c r="N35" s="38">
        <v>303372</v>
      </c>
      <c r="O35" s="17">
        <f>N35/N$39</f>
        <v>0.19188590526767202</v>
      </c>
      <c r="P35" s="18" t="s">
        <v>47</v>
      </c>
      <c r="Q35" s="18"/>
    </row>
    <row r="36" spans="1:47" ht="15">
      <c r="A36" s="5" t="s">
        <v>48</v>
      </c>
      <c r="B36" s="38">
        <v>4773</v>
      </c>
      <c r="C36" s="38">
        <v>1225</v>
      </c>
      <c r="D36" s="38">
        <v>0</v>
      </c>
      <c r="E36" s="38">
        <v>0</v>
      </c>
      <c r="F36" s="38">
        <v>0</v>
      </c>
      <c r="G36" s="38">
        <v>43910</v>
      </c>
      <c r="H36" s="38">
        <v>0</v>
      </c>
      <c r="I36" s="38"/>
      <c r="J36" s="38"/>
      <c r="K36" s="38"/>
      <c r="L36" s="38"/>
      <c r="M36" s="38">
        <v>213734</v>
      </c>
      <c r="N36" s="38">
        <v>263642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38">
        <v>222871</v>
      </c>
      <c r="C37" s="38">
        <v>90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>
        <v>50940</v>
      </c>
      <c r="N37" s="38">
        <v>273901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>
        <v>43064</v>
      </c>
      <c r="N38" s="38">
        <v>43064</v>
      </c>
      <c r="O38" s="18">
        <f>SUM(O31:O35)</f>
        <v>0.63275947785012288</v>
      </c>
      <c r="P38" s="18"/>
      <c r="Q38" s="3"/>
      <c r="R38" s="7" t="s">
        <v>51</v>
      </c>
      <c r="S38" s="19">
        <f>N45/1000</f>
        <v>62.315840000000001</v>
      </c>
      <c r="T38" s="7"/>
    </row>
    <row r="39" spans="1:47" ht="15">
      <c r="A39" s="5" t="s">
        <v>18</v>
      </c>
      <c r="B39" s="38">
        <v>348226</v>
      </c>
      <c r="C39" s="39">
        <f>SUM(C31:C38)</f>
        <v>541402</v>
      </c>
      <c r="D39" s="38">
        <v>0</v>
      </c>
      <c r="E39" s="67">
        <v>43</v>
      </c>
      <c r="F39" s="39">
        <f>F34+F32+F31</f>
        <v>58522</v>
      </c>
      <c r="G39" s="38">
        <v>43910</v>
      </c>
      <c r="H39" s="38">
        <v>0</v>
      </c>
      <c r="I39" s="38"/>
      <c r="J39" s="38"/>
      <c r="K39" s="38"/>
      <c r="L39" s="38"/>
      <c r="M39" s="38">
        <v>588898</v>
      </c>
      <c r="N39" s="38">
        <v>1581002</v>
      </c>
      <c r="O39" s="3"/>
      <c r="P39" s="3"/>
      <c r="Q39" s="3"/>
      <c r="R39" s="7" t="s">
        <v>52</v>
      </c>
      <c r="S39" s="20">
        <f>N41/1000</f>
        <v>580.60699999999997</v>
      </c>
      <c r="T39" s="13">
        <f>O41</f>
        <v>0.3672398896396083</v>
      </c>
    </row>
    <row r="40" spans="1:47">
      <c r="R40" s="7" t="s">
        <v>53</v>
      </c>
      <c r="S40" s="20">
        <f>N35/1000</f>
        <v>303.37200000000001</v>
      </c>
      <c r="T40" s="14">
        <f>O35</f>
        <v>0.19188590526767202</v>
      </c>
    </row>
    <row r="41" spans="1:47" ht="15">
      <c r="A41" s="21" t="s">
        <v>54</v>
      </c>
      <c r="B41" s="22">
        <f>B38+B37+B36</f>
        <v>227644</v>
      </c>
      <c r="C41" s="22">
        <f t="shared" ref="C41:N41" si="0">C38+C37+C36</f>
        <v>1315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43910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307738</v>
      </c>
      <c r="N41" s="22">
        <f t="shared" si="0"/>
        <v>580607</v>
      </c>
      <c r="O41" s="17">
        <f>N41/N$39</f>
        <v>0.3672398896396083</v>
      </c>
      <c r="P41" s="17" t="s">
        <v>55</v>
      </c>
      <c r="Q41" s="7"/>
      <c r="R41" s="7" t="s">
        <v>56</v>
      </c>
      <c r="S41" s="20">
        <f>N33/1000</f>
        <v>49.988999999999997</v>
      </c>
      <c r="T41" s="13">
        <f>O33</f>
        <v>3.1618555827253855E-2</v>
      </c>
    </row>
    <row r="42" spans="1:47" ht="15">
      <c r="A42" s="23" t="s">
        <v>57</v>
      </c>
      <c r="B42" s="22"/>
      <c r="C42" s="24">
        <f>C39+C23+C10</f>
        <v>541402</v>
      </c>
      <c r="D42" s="24">
        <f t="shared" ref="D42:L42" si="1">D39+D23+D10</f>
        <v>0</v>
      </c>
      <c r="E42" s="24">
        <f t="shared" si="1"/>
        <v>43</v>
      </c>
      <c r="F42" s="24">
        <f t="shared" si="1"/>
        <v>83439</v>
      </c>
      <c r="G42" s="24">
        <f t="shared" si="1"/>
        <v>794691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533632.84</v>
      </c>
      <c r="N42" s="25">
        <f>SUM(C42:M42)</f>
        <v>1953207.8399999999</v>
      </c>
      <c r="O42" s="7"/>
      <c r="P42" s="7"/>
      <c r="Q42" s="7"/>
      <c r="R42" s="7" t="s">
        <v>37</v>
      </c>
      <c r="S42" s="20">
        <f>N31/1000</f>
        <v>8.2349999999999994</v>
      </c>
      <c r="T42" s="13">
        <f>O31</f>
        <v>5.2087220636027028E-3</v>
      </c>
    </row>
    <row r="43" spans="1:47" ht="15">
      <c r="A43" s="23" t="s">
        <v>58</v>
      </c>
      <c r="B43" s="22"/>
      <c r="C43" s="17">
        <f t="shared" ref="C43:M43" si="2">C42/$N42</f>
        <v>0.27718606740796209</v>
      </c>
      <c r="D43" s="17">
        <f t="shared" si="2"/>
        <v>0</v>
      </c>
      <c r="E43" s="17">
        <f t="shared" si="2"/>
        <v>2.2015066251218817E-5</v>
      </c>
      <c r="F43" s="17">
        <f t="shared" si="2"/>
        <v>4.2718956114777835E-2</v>
      </c>
      <c r="G43" s="17">
        <f t="shared" si="2"/>
        <v>0.40686453521505428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0.27320842619595465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91.902000000000001</v>
      </c>
      <c r="T43" s="14">
        <f>O32</f>
        <v>5.8128958723644882E-2</v>
      </c>
    </row>
    <row r="44" spans="1:47">
      <c r="A44" s="6" t="s">
        <v>94</v>
      </c>
      <c r="B44" s="9">
        <v>143462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546.89599999999996</v>
      </c>
      <c r="T44" s="14">
        <f>O34</f>
        <v>0.34591733596794944</v>
      </c>
    </row>
    <row r="45" spans="1:47" ht="15">
      <c r="A45" s="6" t="s">
        <v>61</v>
      </c>
      <c r="B45" s="6">
        <f>B23-B39-B44</f>
        <v>15204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47111.840000000004</v>
      </c>
      <c r="N45" s="25">
        <f>B45+M45</f>
        <v>62315.840000000004</v>
      </c>
      <c r="O45" s="7"/>
      <c r="P45" s="7"/>
      <c r="Q45" s="7"/>
      <c r="R45" s="7" t="s">
        <v>62</v>
      </c>
      <c r="S45" s="20">
        <f>SUM(S39:S44)</f>
        <v>1581.001</v>
      </c>
      <c r="T45" s="13">
        <f>SUM(T39:T44)</f>
        <v>0.99999936748973117</v>
      </c>
    </row>
    <row r="46" spans="1:47" ht="15">
      <c r="A46" s="6" t="s">
        <v>88</v>
      </c>
      <c r="B46" s="83">
        <f>B45/B23</f>
        <v>2.9994555053147416E-2</v>
      </c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 t="s">
        <v>96</v>
      </c>
      <c r="B47" s="37"/>
      <c r="C47" s="6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40"/>
      <c r="B48" s="37"/>
      <c r="C48" s="40"/>
      <c r="D48" s="41"/>
      <c r="E48" s="40"/>
      <c r="F48" s="41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40"/>
      <c r="B55" s="37"/>
      <c r="C55" s="40"/>
      <c r="D55" s="41"/>
      <c r="E55" s="40"/>
      <c r="F55" s="41"/>
      <c r="G55" s="41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1"/>
      <c r="E56" s="40"/>
      <c r="F56" s="41"/>
      <c r="G56" s="41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 enableFormatConditionsCalculation="0"/>
  <dimension ref="A1:AU70"/>
  <sheetViews>
    <sheetView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72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794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38">
        <v>794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72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>
        <v>0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38">
        <v>12952</v>
      </c>
      <c r="C18" s="38">
        <v>219</v>
      </c>
      <c r="D18" s="38">
        <v>0</v>
      </c>
      <c r="E18" s="38">
        <v>0</v>
      </c>
      <c r="F18" s="38">
        <v>14351</v>
      </c>
      <c r="G18" s="38">
        <v>0</v>
      </c>
      <c r="H18" s="38">
        <v>0</v>
      </c>
      <c r="I18" s="38"/>
      <c r="J18" s="38"/>
      <c r="K18" s="38"/>
      <c r="L18" s="38"/>
      <c r="M18" s="38"/>
      <c r="N18" s="38">
        <v>14570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55">
        <v>0</v>
      </c>
      <c r="N19" s="38"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55">
        <v>0</v>
      </c>
      <c r="N20" s="38">
        <v>0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38"/>
      <c r="N21" s="38">
        <v>0</v>
      </c>
      <c r="O21" s="3"/>
      <c r="P21" s="3"/>
      <c r="Q21" s="3"/>
      <c r="R21" s="3"/>
      <c r="S21" s="3"/>
      <c r="T21" s="3"/>
    </row>
    <row r="22" spans="1:20" ht="15">
      <c r="A22" s="4" t="s">
        <v>95</v>
      </c>
      <c r="B22" s="9">
        <v>143462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38"/>
      <c r="N22" s="38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38">
        <f>B22+B18</f>
        <v>156414</v>
      </c>
      <c r="C23" s="38">
        <v>219</v>
      </c>
      <c r="D23" s="38">
        <v>0</v>
      </c>
      <c r="E23" s="38">
        <v>0</v>
      </c>
      <c r="F23" s="38">
        <v>14351</v>
      </c>
      <c r="G23" s="38">
        <v>0</v>
      </c>
      <c r="H23" s="38">
        <v>0</v>
      </c>
      <c r="I23" s="38"/>
      <c r="J23" s="38"/>
      <c r="K23" s="38"/>
      <c r="L23" s="38"/>
      <c r="M23" s="38"/>
      <c r="N23" s="38">
        <v>14570</v>
      </c>
      <c r="O23" s="3"/>
      <c r="P23" s="3"/>
      <c r="Q23" s="3"/>
      <c r="R23" s="3" t="s">
        <v>28</v>
      </c>
      <c r="S23" s="11">
        <f>N42/1000</f>
        <v>542.66452000000004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C25" s="9" t="s">
        <v>97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294.07751999999999</v>
      </c>
      <c r="T26" s="13">
        <f>M43</f>
        <v>0.54191403558132012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23.140999999999998</v>
      </c>
      <c r="T27" s="14">
        <f>G43</f>
        <v>4.2643289080332727E-2</v>
      </c>
    </row>
    <row r="28" spans="1:20" ht="15">
      <c r="A28" s="37" t="s">
        <v>72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44.293999999999997</v>
      </c>
      <c r="T29" s="13">
        <f>F43</f>
        <v>8.1623173005672081E-2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0</v>
      </c>
      <c r="T30" s="13">
        <f>E43</f>
        <v>0</v>
      </c>
    </row>
    <row r="31" spans="1:20" ht="15">
      <c r="A31" s="5" t="s">
        <v>36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/>
      <c r="J31" s="38"/>
      <c r="K31" s="38"/>
      <c r="L31" s="38"/>
      <c r="M31" s="38">
        <v>397</v>
      </c>
      <c r="N31" s="38">
        <v>397</v>
      </c>
      <c r="O31" s="17">
        <f>N31/N$39</f>
        <v>6.0501599406261378E-4</v>
      </c>
      <c r="P31" s="18" t="s">
        <v>37</v>
      </c>
      <c r="Q31" s="3"/>
      <c r="R31" s="3" t="s">
        <v>38</v>
      </c>
      <c r="S31" s="12">
        <f>C42/1000</f>
        <v>181.15199999999999</v>
      </c>
      <c r="T31" s="14">
        <f>C43</f>
        <v>0.33381950233267504</v>
      </c>
    </row>
    <row r="32" spans="1:20" ht="15">
      <c r="A32" s="5" t="s">
        <v>39</v>
      </c>
      <c r="B32" s="38">
        <v>380</v>
      </c>
      <c r="C32" s="38">
        <v>3289</v>
      </c>
      <c r="D32" s="38">
        <v>0</v>
      </c>
      <c r="E32" s="38">
        <v>0</v>
      </c>
      <c r="F32" s="38">
        <v>20</v>
      </c>
      <c r="G32" s="38">
        <v>0</v>
      </c>
      <c r="H32" s="38">
        <v>0</v>
      </c>
      <c r="I32" s="38"/>
      <c r="J32" s="38"/>
      <c r="K32" s="38"/>
      <c r="L32" s="38"/>
      <c r="M32" s="38">
        <v>11803</v>
      </c>
      <c r="N32" s="38">
        <v>15493</v>
      </c>
      <c r="O32" s="17">
        <f>N32/N$39</f>
        <v>2.3610863466025381E-2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38">
        <v>12292</v>
      </c>
      <c r="C33" s="38">
        <v>85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8">
        <v>18428</v>
      </c>
      <c r="N33" s="38">
        <v>30806</v>
      </c>
      <c r="O33" s="17">
        <f>N33/N$39</f>
        <v>4.6947412375548822E-2</v>
      </c>
      <c r="P33" s="18" t="s">
        <v>43</v>
      </c>
      <c r="Q33" s="3"/>
      <c r="R33" s="3" t="s">
        <v>8</v>
      </c>
      <c r="S33" s="12">
        <f>H42/1000</f>
        <v>0</v>
      </c>
      <c r="T33" s="13">
        <f>H43</f>
        <v>0</v>
      </c>
    </row>
    <row r="34" spans="1:47" ht="15">
      <c r="A34" s="5" t="s">
        <v>44</v>
      </c>
      <c r="B34" s="38">
        <v>0</v>
      </c>
      <c r="C34" s="38">
        <v>176149</v>
      </c>
      <c r="D34" s="38">
        <v>0</v>
      </c>
      <c r="E34" s="38">
        <v>0</v>
      </c>
      <c r="F34" s="38">
        <v>29923</v>
      </c>
      <c r="G34" s="38">
        <v>0</v>
      </c>
      <c r="H34" s="38">
        <v>0</v>
      </c>
      <c r="I34" s="38"/>
      <c r="J34" s="38"/>
      <c r="K34" s="38"/>
      <c r="L34" s="38"/>
      <c r="M34" s="38">
        <v>1318</v>
      </c>
      <c r="N34" s="38">
        <v>207390</v>
      </c>
      <c r="O34" s="17">
        <f>N34/N$39</f>
        <v>0.31605608818298608</v>
      </c>
      <c r="P34" s="18" t="s">
        <v>45</v>
      </c>
      <c r="Q34" s="3"/>
      <c r="R34" s="3"/>
      <c r="S34" s="12">
        <f>SUM(S26:S33)</f>
        <v>542.66452000000004</v>
      </c>
      <c r="T34" s="13">
        <f>SUM(T26:T33)</f>
        <v>1</v>
      </c>
    </row>
    <row r="35" spans="1:47" ht="15">
      <c r="A35" s="5" t="s">
        <v>46</v>
      </c>
      <c r="B35" s="38">
        <v>33899</v>
      </c>
      <c r="C35" s="38">
        <v>224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>
        <v>58332</v>
      </c>
      <c r="N35" s="38">
        <v>92455</v>
      </c>
      <c r="O35" s="17">
        <f>N35/N$39</f>
        <v>0.1408986240077052</v>
      </c>
      <c r="P35" s="18" t="s">
        <v>47</v>
      </c>
      <c r="Q35" s="18"/>
    </row>
    <row r="36" spans="1:47" ht="15">
      <c r="A36" s="5" t="s">
        <v>48</v>
      </c>
      <c r="B36" s="38">
        <v>24</v>
      </c>
      <c r="C36" s="38">
        <v>1105</v>
      </c>
      <c r="D36" s="38">
        <v>0</v>
      </c>
      <c r="E36" s="38">
        <v>0</v>
      </c>
      <c r="F36" s="38">
        <v>0</v>
      </c>
      <c r="G36" s="38">
        <v>23141</v>
      </c>
      <c r="H36" s="38">
        <v>0</v>
      </c>
      <c r="I36" s="38"/>
      <c r="J36" s="38"/>
      <c r="K36" s="38"/>
      <c r="L36" s="38"/>
      <c r="M36" s="38">
        <v>147081</v>
      </c>
      <c r="N36" s="38">
        <v>171351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38">
        <v>103276</v>
      </c>
      <c r="C37" s="38">
        <v>80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>
        <v>19006</v>
      </c>
      <c r="N37" s="38">
        <v>122361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>
        <v>15929</v>
      </c>
      <c r="N38" s="38">
        <v>15929</v>
      </c>
      <c r="O38" s="18">
        <f>SUM(O31:O35)</f>
        <v>0.52811800402632803</v>
      </c>
      <c r="P38" s="18"/>
      <c r="Q38" s="3"/>
      <c r="R38" s="7" t="s">
        <v>51</v>
      </c>
      <c r="S38" s="19">
        <f>N45/1000</f>
        <v>28.326520000000002</v>
      </c>
      <c r="T38" s="7"/>
    </row>
    <row r="39" spans="1:47" ht="15">
      <c r="A39" s="5" t="s">
        <v>18</v>
      </c>
      <c r="B39" s="38">
        <v>149871</v>
      </c>
      <c r="C39" s="38">
        <v>180933</v>
      </c>
      <c r="D39" s="38">
        <v>0</v>
      </c>
      <c r="E39" s="38">
        <v>0</v>
      </c>
      <c r="F39" s="38">
        <v>29943</v>
      </c>
      <c r="G39" s="38">
        <v>23141</v>
      </c>
      <c r="H39" s="38">
        <v>0</v>
      </c>
      <c r="I39" s="38"/>
      <c r="J39" s="38"/>
      <c r="K39" s="38"/>
      <c r="L39" s="38"/>
      <c r="M39" s="38">
        <v>272294</v>
      </c>
      <c r="N39" s="38">
        <v>656181</v>
      </c>
      <c r="O39" s="3"/>
      <c r="P39" s="3"/>
      <c r="Q39" s="3"/>
      <c r="R39" s="7" t="s">
        <v>52</v>
      </c>
      <c r="S39" s="20">
        <f>N41/1000</f>
        <v>309.64100000000002</v>
      </c>
      <c r="T39" s="13">
        <f>O41</f>
        <v>0.47188351994343025</v>
      </c>
    </row>
    <row r="40" spans="1:47">
      <c r="R40" s="7" t="s">
        <v>53</v>
      </c>
      <c r="S40" s="20">
        <f>N35/1000</f>
        <v>92.454999999999998</v>
      </c>
      <c r="T40" s="14">
        <f>O35</f>
        <v>0.1408986240077052</v>
      </c>
    </row>
    <row r="41" spans="1:47" ht="15">
      <c r="A41" s="21" t="s">
        <v>54</v>
      </c>
      <c r="B41" s="22">
        <f>B38+B37+B36</f>
        <v>103300</v>
      </c>
      <c r="C41" s="22">
        <f t="shared" ref="C41:N41" si="0">C38+C37+C36</f>
        <v>1185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23141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182016</v>
      </c>
      <c r="N41" s="22">
        <f t="shared" si="0"/>
        <v>309641</v>
      </c>
      <c r="O41" s="17">
        <f>N41/N$39</f>
        <v>0.47188351994343025</v>
      </c>
      <c r="P41" s="17" t="s">
        <v>55</v>
      </c>
      <c r="Q41" s="7"/>
      <c r="R41" s="7" t="s">
        <v>56</v>
      </c>
      <c r="S41" s="20">
        <f>N33/1000</f>
        <v>30.806000000000001</v>
      </c>
      <c r="T41" s="13">
        <f>O33</f>
        <v>4.6947412375548822E-2</v>
      </c>
    </row>
    <row r="42" spans="1:47" ht="15">
      <c r="A42" s="23" t="s">
        <v>57</v>
      </c>
      <c r="B42" s="22"/>
      <c r="C42" s="24">
        <f>C39+C23+C10</f>
        <v>181152</v>
      </c>
      <c r="D42" s="24">
        <f t="shared" ref="D42:L42" si="1">D39+D23+D10</f>
        <v>0</v>
      </c>
      <c r="E42" s="24">
        <f t="shared" si="1"/>
        <v>0</v>
      </c>
      <c r="F42" s="24">
        <f t="shared" si="1"/>
        <v>44294</v>
      </c>
      <c r="G42" s="24">
        <f t="shared" si="1"/>
        <v>23141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294077.52</v>
      </c>
      <c r="N42" s="25">
        <f>SUM(C42:M42)</f>
        <v>542664.52</v>
      </c>
      <c r="O42" s="7"/>
      <c r="P42" s="7"/>
      <c r="Q42" s="7"/>
      <c r="R42" s="7" t="s">
        <v>37</v>
      </c>
      <c r="S42" s="20">
        <f>N31/1000</f>
        <v>0.39700000000000002</v>
      </c>
      <c r="T42" s="13">
        <f>O31</f>
        <v>6.0501599406261378E-4</v>
      </c>
    </row>
    <row r="43" spans="1:47" ht="15">
      <c r="A43" s="23" t="s">
        <v>58</v>
      </c>
      <c r="B43" s="22"/>
      <c r="C43" s="17">
        <f t="shared" ref="C43:M43" si="2">C42/$N42</f>
        <v>0.33381950233267504</v>
      </c>
      <c r="D43" s="17">
        <f t="shared" si="2"/>
        <v>0</v>
      </c>
      <c r="E43" s="17">
        <f t="shared" si="2"/>
        <v>0</v>
      </c>
      <c r="F43" s="17">
        <f t="shared" si="2"/>
        <v>8.1623173005672081E-2</v>
      </c>
      <c r="G43" s="17">
        <f t="shared" si="2"/>
        <v>4.2643289080332727E-2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0.54191403558132012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15.493</v>
      </c>
      <c r="T43" s="14">
        <f>O32</f>
        <v>2.3610863466025381E-2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207.39</v>
      </c>
      <c r="T44" s="14">
        <f>O34</f>
        <v>0.31605608818298608</v>
      </c>
    </row>
    <row r="45" spans="1:47" ht="15">
      <c r="A45" s="6" t="s">
        <v>61</v>
      </c>
      <c r="B45" s="6">
        <f>B23-B39</f>
        <v>6543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21783.52</v>
      </c>
      <c r="N45" s="25">
        <f>B45+M45</f>
        <v>28326.52</v>
      </c>
      <c r="O45" s="7"/>
      <c r="P45" s="7"/>
      <c r="Q45" s="7"/>
      <c r="R45" s="7" t="s">
        <v>62</v>
      </c>
      <c r="S45" s="20">
        <f>SUM(S39:S44)</f>
        <v>656.18200000000002</v>
      </c>
      <c r="T45" s="13">
        <f>SUM(T39:T44)</f>
        <v>1.0000015239697582</v>
      </c>
    </row>
    <row r="46" spans="1:47" ht="15">
      <c r="A46" s="6" t="s">
        <v>88</v>
      </c>
      <c r="B46" s="83">
        <f>(B45)/(B23)</f>
        <v>4.1831293873949904E-2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40"/>
      <c r="B48" s="37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40"/>
      <c r="B55" s="37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 enableFormatConditionsCalculation="0"/>
  <dimension ref="A1:AU70"/>
  <sheetViews>
    <sheetView topLeftCell="A11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73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73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>
        <v>0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68">
        <f>N18*0.95</f>
        <v>64296</v>
      </c>
      <c r="C18" s="68">
        <v>480</v>
      </c>
      <c r="D18" s="55">
        <v>0</v>
      </c>
      <c r="E18" s="55">
        <v>0</v>
      </c>
      <c r="F18" s="68">
        <v>30800</v>
      </c>
      <c r="G18" s="68">
        <v>25700</v>
      </c>
      <c r="H18" s="68">
        <v>10700</v>
      </c>
      <c r="I18" s="55"/>
      <c r="J18" s="55"/>
      <c r="K18" s="55"/>
      <c r="L18" s="55"/>
      <c r="M18" s="55"/>
      <c r="N18" s="68">
        <f>SUM(C18:M18)</f>
        <v>67680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/>
      <c r="J19" s="55"/>
      <c r="K19" s="55"/>
      <c r="L19" s="55"/>
      <c r="M19" s="55">
        <v>0</v>
      </c>
      <c r="N19" s="55"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68">
        <v>17600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/>
      <c r="J20" s="55"/>
      <c r="K20" s="55"/>
      <c r="L20" s="55"/>
      <c r="M20" s="68">
        <f>B20*0.33</f>
        <v>5808</v>
      </c>
      <c r="N20" s="68">
        <f>M20</f>
        <v>5808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/>
      <c r="J21" s="55"/>
      <c r="K21" s="55"/>
      <c r="L21" s="55"/>
      <c r="M21" s="55"/>
      <c r="N21" s="55">
        <v>0</v>
      </c>
      <c r="O21" s="3"/>
      <c r="P21" s="3"/>
      <c r="Q21" s="3"/>
      <c r="R21" s="3"/>
      <c r="S21" s="3"/>
      <c r="T21" s="3"/>
    </row>
    <row r="22" spans="1:20" ht="15">
      <c r="A22" s="4" t="s">
        <v>27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/>
      <c r="J22" s="55"/>
      <c r="K22" s="55"/>
      <c r="L22" s="55"/>
      <c r="M22" s="55"/>
      <c r="N22" s="55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68">
        <f>B20+B18</f>
        <v>81896</v>
      </c>
      <c r="C23" s="68">
        <f>C18</f>
        <v>480</v>
      </c>
      <c r="D23" s="55">
        <v>0</v>
      </c>
      <c r="E23" s="55">
        <v>0</v>
      </c>
      <c r="F23" s="68">
        <f>F18</f>
        <v>30800</v>
      </c>
      <c r="G23" s="68">
        <f>G18</f>
        <v>25700</v>
      </c>
      <c r="H23" s="68">
        <f>H18</f>
        <v>10700</v>
      </c>
      <c r="I23" s="55"/>
      <c r="J23" s="55"/>
      <c r="K23" s="55"/>
      <c r="L23" s="55"/>
      <c r="M23" s="68">
        <f>M20</f>
        <v>5808</v>
      </c>
      <c r="N23" s="68">
        <f>N20+N18</f>
        <v>73488</v>
      </c>
      <c r="O23" s="3"/>
      <c r="P23" s="3"/>
      <c r="Q23" s="3"/>
      <c r="R23" s="3" t="s">
        <v>28</v>
      </c>
      <c r="S23" s="11">
        <f>N42/1000</f>
        <v>480.04930999999999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241.71456000000001</v>
      </c>
      <c r="T26" s="13">
        <f>M43</f>
        <v>0.50352027378187458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34.826000000000001</v>
      </c>
      <c r="T27" s="14">
        <f>G43</f>
        <v>7.2546714003192708E-2</v>
      </c>
    </row>
    <row r="28" spans="1:20" ht="15">
      <c r="A28" s="37" t="s">
        <v>73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42.58775</v>
      </c>
      <c r="T29" s="13">
        <f>F43</f>
        <v>8.8715365511097183E-2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1E-3</v>
      </c>
      <c r="T30" s="13">
        <f>E43</f>
        <v>2.0831193362198561E-6</v>
      </c>
    </row>
    <row r="31" spans="1:20" ht="15">
      <c r="A31" s="5" t="s">
        <v>36</v>
      </c>
      <c r="B31" s="68">
        <v>0</v>
      </c>
      <c r="C31" s="67">
        <f>0.91*(N31-M31)</f>
        <v>2343.25</v>
      </c>
      <c r="D31" s="38">
        <v>0</v>
      </c>
      <c r="E31" s="38">
        <v>0</v>
      </c>
      <c r="F31" s="67">
        <f>0.09*(N31-M31)</f>
        <v>231.75</v>
      </c>
      <c r="G31" s="38">
        <v>0</v>
      </c>
      <c r="H31" s="38">
        <v>0</v>
      </c>
      <c r="I31" s="38"/>
      <c r="J31" s="38"/>
      <c r="K31" s="38"/>
      <c r="L31" s="38"/>
      <c r="M31" s="38">
        <v>5009</v>
      </c>
      <c r="N31" s="55">
        <v>7584</v>
      </c>
      <c r="O31" s="17">
        <f>N31/N$39</f>
        <v>1.6202116273256895E-2</v>
      </c>
      <c r="P31" s="18" t="s">
        <v>37</v>
      </c>
      <c r="Q31" s="3"/>
      <c r="R31" s="3" t="s">
        <v>38</v>
      </c>
      <c r="S31" s="12">
        <f>C42/1000</f>
        <v>150.22</v>
      </c>
      <c r="T31" s="14">
        <f>C43</f>
        <v>0.31292618668694683</v>
      </c>
    </row>
    <row r="32" spans="1:20" ht="15">
      <c r="A32" s="5" t="s">
        <v>39</v>
      </c>
      <c r="B32" s="68">
        <v>1847</v>
      </c>
      <c r="C32" s="67">
        <v>22182</v>
      </c>
      <c r="D32" s="38">
        <v>0</v>
      </c>
      <c r="E32" s="67">
        <v>1</v>
      </c>
      <c r="F32" s="67">
        <v>528</v>
      </c>
      <c r="G32" s="38">
        <v>0</v>
      </c>
      <c r="H32" s="38">
        <v>0</v>
      </c>
      <c r="I32" s="38"/>
      <c r="J32" s="38"/>
      <c r="K32" s="38"/>
      <c r="L32" s="38"/>
      <c r="M32" s="38">
        <v>33770</v>
      </c>
      <c r="N32" s="68">
        <f>SUM(B32:M32)</f>
        <v>58328</v>
      </c>
      <c r="O32" s="17">
        <f>N32/N$39</f>
        <v>0.12460931408050213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68">
        <v>8524</v>
      </c>
      <c r="C33" s="38">
        <v>488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8">
        <v>26334</v>
      </c>
      <c r="N33" s="68">
        <f t="shared" ref="N33:N37" si="0">SUM(B33:M33)</f>
        <v>35346</v>
      </c>
      <c r="O33" s="17">
        <f>N33/N$39</f>
        <v>7.5511603612149023E-2</v>
      </c>
      <c r="P33" s="18" t="s">
        <v>43</v>
      </c>
      <c r="Q33" s="3"/>
      <c r="R33" s="3" t="s">
        <v>8</v>
      </c>
      <c r="S33" s="12">
        <f>H42/1000</f>
        <v>10.7</v>
      </c>
      <c r="T33" s="13">
        <f>H43</f>
        <v>2.2289376897552463E-2</v>
      </c>
    </row>
    <row r="34" spans="1:47" ht="15">
      <c r="A34" s="5" t="s">
        <v>44</v>
      </c>
      <c r="B34" s="68">
        <v>0</v>
      </c>
      <c r="C34" s="38">
        <v>122557</v>
      </c>
      <c r="D34" s="38">
        <v>0</v>
      </c>
      <c r="E34" s="38">
        <v>0</v>
      </c>
      <c r="F34" s="38">
        <v>11028</v>
      </c>
      <c r="G34" s="38">
        <v>0</v>
      </c>
      <c r="H34" s="38">
        <v>0</v>
      </c>
      <c r="I34" s="38"/>
      <c r="J34" s="38"/>
      <c r="K34" s="38"/>
      <c r="L34" s="38"/>
      <c r="M34" s="38">
        <v>4884</v>
      </c>
      <c r="N34" s="55">
        <f t="shared" si="0"/>
        <v>138469</v>
      </c>
      <c r="O34" s="17">
        <f>N34/N$39</f>
        <v>0.29581893964156236</v>
      </c>
      <c r="P34" s="18" t="s">
        <v>45</v>
      </c>
      <c r="Q34" s="3"/>
      <c r="R34" s="3"/>
      <c r="S34" s="12">
        <f>SUM(S26:S33)</f>
        <v>480.04931000000005</v>
      </c>
      <c r="T34" s="13">
        <f>SUM(T26:T33)</f>
        <v>1</v>
      </c>
    </row>
    <row r="35" spans="1:47" ht="15">
      <c r="A35" s="5" t="s">
        <v>46</v>
      </c>
      <c r="B35" s="68">
        <v>18997</v>
      </c>
      <c r="C35" s="38">
        <v>1411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>
        <v>54307</v>
      </c>
      <c r="N35" s="68">
        <f t="shared" si="0"/>
        <v>74715</v>
      </c>
      <c r="O35" s="17">
        <f>N35/N$39</f>
        <v>0.15961776336450276</v>
      </c>
      <c r="P35" s="18" t="s">
        <v>47</v>
      </c>
      <c r="Q35" s="18"/>
    </row>
    <row r="36" spans="1:47" ht="15">
      <c r="A36" s="5" t="s">
        <v>48</v>
      </c>
      <c r="B36" s="68">
        <v>437</v>
      </c>
      <c r="C36" s="38">
        <v>470</v>
      </c>
      <c r="D36" s="38">
        <v>0</v>
      </c>
      <c r="E36" s="38">
        <v>0</v>
      </c>
      <c r="F36" s="38">
        <v>0</v>
      </c>
      <c r="G36" s="38">
        <v>9126</v>
      </c>
      <c r="H36" s="38">
        <v>0</v>
      </c>
      <c r="I36" s="38"/>
      <c r="J36" s="38"/>
      <c r="K36" s="38"/>
      <c r="L36" s="38"/>
      <c r="M36" s="38">
        <v>72967</v>
      </c>
      <c r="N36" s="68">
        <f t="shared" si="0"/>
        <v>83000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68">
        <v>49195</v>
      </c>
      <c r="C37" s="38">
        <v>289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>
        <v>13144</v>
      </c>
      <c r="N37" s="68">
        <f t="shared" si="0"/>
        <v>62628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6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>
        <v>8017</v>
      </c>
      <c r="N38" s="38">
        <v>8017</v>
      </c>
      <c r="O38" s="18">
        <f>SUM(O31:O35)</f>
        <v>0.67175973697197311</v>
      </c>
      <c r="P38" s="18"/>
      <c r="Q38" s="3"/>
      <c r="R38" s="7" t="s">
        <v>51</v>
      </c>
      <c r="S38" s="19">
        <f>N45/1000</f>
        <v>20.370560000000001</v>
      </c>
      <c r="T38" s="7"/>
    </row>
    <row r="39" spans="1:47" ht="15">
      <c r="A39" s="5" t="s">
        <v>18</v>
      </c>
      <c r="B39" s="68">
        <v>79000</v>
      </c>
      <c r="C39" s="38">
        <v>149740</v>
      </c>
      <c r="D39" s="38">
        <v>0</v>
      </c>
      <c r="E39" s="67">
        <f>E32</f>
        <v>1</v>
      </c>
      <c r="F39" s="67">
        <f>F31+F32+F34</f>
        <v>11787.75</v>
      </c>
      <c r="G39" s="38">
        <v>9126</v>
      </c>
      <c r="H39" s="38">
        <v>0</v>
      </c>
      <c r="I39" s="38"/>
      <c r="J39" s="38"/>
      <c r="K39" s="38"/>
      <c r="L39" s="38"/>
      <c r="M39" s="38">
        <v>218432</v>
      </c>
      <c r="N39" s="68">
        <f>SUM(N31:N38)</f>
        <v>468087</v>
      </c>
      <c r="O39" s="3"/>
      <c r="P39" s="3"/>
      <c r="Q39" s="3"/>
      <c r="R39" s="7" t="s">
        <v>52</v>
      </c>
      <c r="S39" s="20">
        <f>N41/1000</f>
        <v>153.64500000000001</v>
      </c>
      <c r="T39" s="13">
        <f>O41</f>
        <v>0.32824026302802684</v>
      </c>
    </row>
    <row r="40" spans="1:47">
      <c r="R40" s="7" t="s">
        <v>53</v>
      </c>
      <c r="S40" s="20">
        <f>N35/1000</f>
        <v>74.715000000000003</v>
      </c>
      <c r="T40" s="14">
        <f>O35</f>
        <v>0.15961776336450276</v>
      </c>
    </row>
    <row r="41" spans="1:47" ht="15">
      <c r="A41" s="21" t="s">
        <v>54</v>
      </c>
      <c r="B41" s="22">
        <f>B38+B37+B36</f>
        <v>49632</v>
      </c>
      <c r="C41" s="22">
        <f t="shared" ref="C41:N41" si="1">C38+C37+C36</f>
        <v>759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9126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94128</v>
      </c>
      <c r="N41" s="22">
        <f t="shared" si="1"/>
        <v>153645</v>
      </c>
      <c r="O41" s="17">
        <f>N41/N$39</f>
        <v>0.32824026302802684</v>
      </c>
      <c r="P41" s="17" t="s">
        <v>55</v>
      </c>
      <c r="Q41" s="7"/>
      <c r="R41" s="7" t="s">
        <v>56</v>
      </c>
      <c r="S41" s="20">
        <f>N33/1000</f>
        <v>35.345999999999997</v>
      </c>
      <c r="T41" s="13">
        <f>O33</f>
        <v>7.5511603612149023E-2</v>
      </c>
    </row>
    <row r="42" spans="1:47" ht="15">
      <c r="A42" s="23" t="s">
        <v>57</v>
      </c>
      <c r="B42" s="22"/>
      <c r="C42" s="24">
        <f>C39+C23+C10</f>
        <v>150220</v>
      </c>
      <c r="D42" s="24">
        <f t="shared" ref="D42:L42" si="2">D39+D23+D10</f>
        <v>0</v>
      </c>
      <c r="E42" s="24">
        <f>E39+E23+E10</f>
        <v>1</v>
      </c>
      <c r="F42" s="24">
        <f t="shared" si="2"/>
        <v>42587.75</v>
      </c>
      <c r="G42" s="24">
        <f t="shared" si="2"/>
        <v>34826</v>
      </c>
      <c r="H42" s="24">
        <f t="shared" si="2"/>
        <v>10700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>M39+M23-B6+M45</f>
        <v>241714.56</v>
      </c>
      <c r="N42" s="25">
        <f>SUM(C42:M42)</f>
        <v>480049.31</v>
      </c>
      <c r="O42" s="7"/>
      <c r="P42" s="7"/>
      <c r="Q42" s="7"/>
      <c r="R42" s="7" t="s">
        <v>37</v>
      </c>
      <c r="S42" s="20">
        <f>N31/1000</f>
        <v>7.5839999999999996</v>
      </c>
      <c r="T42" s="13">
        <f>O31</f>
        <v>1.6202116273256895E-2</v>
      </c>
    </row>
    <row r="43" spans="1:47" ht="15">
      <c r="A43" s="23" t="s">
        <v>58</v>
      </c>
      <c r="B43" s="22"/>
      <c r="C43" s="17">
        <f t="shared" ref="C43:M43" si="3">C42/$N42</f>
        <v>0.31292618668694683</v>
      </c>
      <c r="D43" s="17">
        <f t="shared" si="3"/>
        <v>0</v>
      </c>
      <c r="E43" s="17">
        <f>E42/$N42</f>
        <v>2.0831193362198561E-6</v>
      </c>
      <c r="F43" s="17">
        <f t="shared" si="3"/>
        <v>8.8715365511097183E-2</v>
      </c>
      <c r="G43" s="17">
        <f t="shared" si="3"/>
        <v>7.2546714003192708E-2</v>
      </c>
      <c r="H43" s="17">
        <f t="shared" si="3"/>
        <v>2.2289376897552463E-2</v>
      </c>
      <c r="I43" s="17">
        <f t="shared" si="3"/>
        <v>0</v>
      </c>
      <c r="J43" s="17">
        <f t="shared" si="3"/>
        <v>0</v>
      </c>
      <c r="K43" s="17">
        <f t="shared" si="3"/>
        <v>0</v>
      </c>
      <c r="L43" s="17">
        <f t="shared" si="3"/>
        <v>0</v>
      </c>
      <c r="M43" s="17">
        <f t="shared" si="3"/>
        <v>0.50352027378187458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58.328000000000003</v>
      </c>
      <c r="T43" s="14">
        <f>O32</f>
        <v>0.12460931408050213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138.46899999999999</v>
      </c>
      <c r="T44" s="14">
        <f>O34</f>
        <v>0.29581893964156236</v>
      </c>
    </row>
    <row r="45" spans="1:47" ht="15">
      <c r="A45" s="6" t="s">
        <v>61</v>
      </c>
      <c r="B45" s="6">
        <f>B23-B39</f>
        <v>2896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17474.560000000001</v>
      </c>
      <c r="N45" s="25">
        <f>B45+M45</f>
        <v>20370.560000000001</v>
      </c>
      <c r="O45" s="7"/>
      <c r="P45" s="7"/>
      <c r="Q45" s="7"/>
      <c r="R45" s="7" t="s">
        <v>62</v>
      </c>
      <c r="S45" s="20">
        <f>SUM(S39:S44)</f>
        <v>468.08700000000005</v>
      </c>
      <c r="T45" s="13">
        <f>SUM(T39:T44)</f>
        <v>1</v>
      </c>
    </row>
    <row r="46" spans="1:47" ht="15">
      <c r="A46" s="6" t="s">
        <v>88</v>
      </c>
      <c r="B46" s="83">
        <f>B45/B23</f>
        <v>3.5361922438214323E-2</v>
      </c>
      <c r="C46" s="6"/>
      <c r="D46" s="6"/>
      <c r="E46" s="6"/>
      <c r="F46" s="40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/>
      <c r="B47" s="37"/>
      <c r="C47" s="40"/>
      <c r="D47" s="41"/>
      <c r="E47" s="40"/>
      <c r="F47" s="40"/>
      <c r="G47" s="41"/>
      <c r="H47" s="5"/>
      <c r="I47" s="40"/>
      <c r="J47" s="40"/>
      <c r="K47" s="40"/>
      <c r="L47" s="40"/>
      <c r="M47" s="40"/>
      <c r="N47" s="40"/>
      <c r="O47" s="40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40"/>
      <c r="B48" s="37"/>
      <c r="C48" s="40"/>
      <c r="D48" s="41"/>
      <c r="E48" s="40"/>
      <c r="F48" s="41"/>
      <c r="G48" s="41"/>
      <c r="H48" s="5"/>
      <c r="I48" s="40"/>
      <c r="J48" s="58"/>
      <c r="K48" s="40"/>
      <c r="L48" s="40"/>
      <c r="M48" s="40"/>
      <c r="N48" s="40"/>
      <c r="O48" s="40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>
      <c r="A49" s="40"/>
      <c r="B49" s="37"/>
      <c r="C49" s="40"/>
      <c r="D49" s="40"/>
      <c r="E49" s="40"/>
      <c r="F49" s="41"/>
      <c r="G49" s="40"/>
      <c r="H49" s="5"/>
      <c r="I49" s="40"/>
      <c r="J49" s="58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>
      <c r="A50" s="40"/>
      <c r="B50" s="37"/>
      <c r="C50" s="40"/>
      <c r="D50" s="40"/>
      <c r="E50" s="40"/>
      <c r="F50" s="41"/>
      <c r="G50" s="40"/>
      <c r="H50" s="5"/>
      <c r="I50" s="40"/>
      <c r="J50" s="58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40"/>
      <c r="B51" s="37"/>
      <c r="C51" s="40"/>
      <c r="D51" s="40"/>
      <c r="E51" s="40"/>
      <c r="F51" s="41"/>
      <c r="G51" s="40"/>
      <c r="H51" s="5"/>
      <c r="I51" s="40"/>
      <c r="J51" s="58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40"/>
      <c r="B52" s="37"/>
      <c r="C52" s="40"/>
      <c r="D52" s="40"/>
      <c r="E52" s="40"/>
      <c r="F52" s="41"/>
      <c r="G52" s="40"/>
      <c r="H52" s="5"/>
      <c r="I52" s="40"/>
      <c r="J52" s="58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40"/>
      <c r="B53" s="37"/>
      <c r="C53" s="40"/>
      <c r="D53" s="40"/>
      <c r="E53" s="40"/>
      <c r="F53" s="41"/>
      <c r="G53" s="40"/>
      <c r="H53" s="5"/>
      <c r="I53" s="40"/>
      <c r="J53" s="58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40"/>
      <c r="B54" s="37"/>
      <c r="C54" s="40"/>
      <c r="D54" s="40"/>
      <c r="E54" s="40"/>
      <c r="F54" s="40"/>
      <c r="G54" s="40"/>
      <c r="H54" s="5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40"/>
      <c r="B55" s="37"/>
      <c r="C55" s="40"/>
      <c r="D55" s="40"/>
      <c r="E55" s="40"/>
      <c r="F55" s="41"/>
      <c r="G55" s="41"/>
      <c r="H55" s="5"/>
      <c r="I55" s="40"/>
      <c r="J55" s="5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0"/>
      <c r="E56" s="40"/>
      <c r="F56" s="41"/>
      <c r="G56" s="41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 enableFormatConditionsCalculation="0"/>
  <dimension ref="A1:AU70"/>
  <sheetViews>
    <sheetView topLeftCell="A10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74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74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>
        <v>0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/>
      <c r="J18" s="38"/>
      <c r="K18" s="38"/>
      <c r="L18" s="38"/>
      <c r="M18" s="55"/>
      <c r="N18" s="38">
        <v>0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55">
        <v>0</v>
      </c>
      <c r="N19" s="38"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55">
        <v>0</v>
      </c>
      <c r="N20" s="38">
        <v>0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55"/>
      <c r="N21" s="38">
        <v>0</v>
      </c>
      <c r="O21" s="3"/>
      <c r="P21" s="3"/>
      <c r="Q21" s="3"/>
      <c r="R21" s="3"/>
      <c r="S21" s="3"/>
      <c r="T21" s="3"/>
    </row>
    <row r="22" spans="1:20" ht="15">
      <c r="A22" s="4" t="s">
        <v>95</v>
      </c>
      <c r="B22" s="53">
        <v>24300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55"/>
      <c r="N22" s="38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54">
        <f>B22</f>
        <v>24300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/>
      <c r="J23" s="38"/>
      <c r="K23" s="38"/>
      <c r="L23" s="38"/>
      <c r="M23" s="38"/>
      <c r="N23" s="38">
        <v>0</v>
      </c>
      <c r="O23" s="3"/>
      <c r="P23" s="3"/>
      <c r="Q23" s="3"/>
      <c r="R23" s="3" t="s">
        <v>28</v>
      </c>
      <c r="S23" s="11">
        <f>N42/1000</f>
        <v>138.93732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79.654320000000013</v>
      </c>
      <c r="T26" s="13">
        <f>M43</f>
        <v>0.57331118809546633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8.2959999999999994</v>
      </c>
      <c r="T27" s="14">
        <f>G43</f>
        <v>5.971037875208763E-2</v>
      </c>
    </row>
    <row r="28" spans="1:20" ht="15">
      <c r="A28" s="37" t="s">
        <v>74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4.0490000000000004</v>
      </c>
      <c r="T29" s="13">
        <f>F43</f>
        <v>2.9142637845612683E-2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0</v>
      </c>
      <c r="T30" s="13">
        <f>E43</f>
        <v>0</v>
      </c>
    </row>
    <row r="31" spans="1:20" ht="15">
      <c r="A31" s="5" t="s">
        <v>36</v>
      </c>
      <c r="B31" s="38">
        <v>0</v>
      </c>
      <c r="C31" s="67">
        <v>3481</v>
      </c>
      <c r="D31" s="38">
        <v>0</v>
      </c>
      <c r="E31" s="38">
        <v>0</v>
      </c>
      <c r="F31" s="67">
        <v>349</v>
      </c>
      <c r="G31" s="38">
        <v>0</v>
      </c>
      <c r="H31" s="38">
        <v>0</v>
      </c>
      <c r="I31" s="38"/>
      <c r="J31" s="38"/>
      <c r="K31" s="38"/>
      <c r="L31" s="38"/>
      <c r="M31" s="38">
        <v>2848</v>
      </c>
      <c r="N31" s="67">
        <f>C31+F31+M31</f>
        <v>6678</v>
      </c>
      <c r="O31" s="17">
        <f>N31/N$39</f>
        <v>4.2796444524195565E-2</v>
      </c>
      <c r="P31" s="18" t="s">
        <v>37</v>
      </c>
      <c r="Q31" s="3"/>
      <c r="R31" s="3" t="s">
        <v>38</v>
      </c>
      <c r="S31" s="12">
        <f>C42/1000</f>
        <v>46.938000000000002</v>
      </c>
      <c r="T31" s="14">
        <f>C43</f>
        <v>0.33783579530683333</v>
      </c>
    </row>
    <row r="32" spans="1:20" ht="15">
      <c r="A32" s="5" t="s">
        <v>39</v>
      </c>
      <c r="B32" s="38">
        <v>3757</v>
      </c>
      <c r="C32" s="67">
        <f>C39-C34-C31-C35-C36-C37</f>
        <v>1851</v>
      </c>
      <c r="D32" s="38">
        <v>0</v>
      </c>
      <c r="E32" s="38">
        <v>0</v>
      </c>
      <c r="F32" s="67">
        <f>F39-F34-F31</f>
        <v>24</v>
      </c>
      <c r="G32" s="38">
        <v>0</v>
      </c>
      <c r="H32" s="38">
        <v>0</v>
      </c>
      <c r="I32" s="38"/>
      <c r="J32" s="38"/>
      <c r="K32" s="38"/>
      <c r="L32" s="38"/>
      <c r="M32" s="38">
        <v>7345</v>
      </c>
      <c r="N32" s="67">
        <f>M32+F32+C32+B32</f>
        <v>12977</v>
      </c>
      <c r="O32" s="17">
        <f>N32/N$39</f>
        <v>8.3164040220198535E-2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38">
        <v>4268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8">
        <v>4636</v>
      </c>
      <c r="N33" s="38">
        <v>8904</v>
      </c>
      <c r="O33" s="17">
        <f>N33/N$39</f>
        <v>5.7061926032260749E-2</v>
      </c>
      <c r="P33" s="18" t="s">
        <v>43</v>
      </c>
      <c r="Q33" s="3"/>
      <c r="R33" s="3" t="s">
        <v>8</v>
      </c>
      <c r="S33" s="12">
        <f>H42/1000</f>
        <v>0</v>
      </c>
      <c r="T33" s="13">
        <f>H43</f>
        <v>0</v>
      </c>
    </row>
    <row r="34" spans="1:47" ht="15">
      <c r="A34" s="5" t="s">
        <v>44</v>
      </c>
      <c r="B34" s="38">
        <v>0</v>
      </c>
      <c r="C34" s="38">
        <v>40943</v>
      </c>
      <c r="D34" s="38">
        <v>0</v>
      </c>
      <c r="E34" s="38">
        <v>0</v>
      </c>
      <c r="F34" s="38">
        <v>3676</v>
      </c>
      <c r="G34" s="38">
        <v>0</v>
      </c>
      <c r="H34" s="38">
        <v>0</v>
      </c>
      <c r="I34" s="38"/>
      <c r="J34" s="38"/>
      <c r="K34" s="38"/>
      <c r="L34" s="38"/>
      <c r="M34" s="38">
        <v>13</v>
      </c>
      <c r="N34" s="38">
        <v>44632</v>
      </c>
      <c r="O34" s="17">
        <f>N34/N$39</f>
        <v>0.28602739023718127</v>
      </c>
      <c r="P34" s="18" t="s">
        <v>45</v>
      </c>
      <c r="Q34" s="3"/>
      <c r="R34" s="3"/>
      <c r="S34" s="12">
        <f>SUM(S26:S33)</f>
        <v>138.93732</v>
      </c>
      <c r="T34" s="13">
        <f>SUM(T26:T33)</f>
        <v>1</v>
      </c>
    </row>
    <row r="35" spans="1:47" ht="15">
      <c r="A35" s="5" t="s">
        <v>46</v>
      </c>
      <c r="B35" s="38">
        <v>3819</v>
      </c>
      <c r="C35" s="38">
        <v>67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>
        <v>10875</v>
      </c>
      <c r="N35" s="38">
        <v>14761</v>
      </c>
      <c r="O35" s="17">
        <f>N35/N$39</f>
        <v>9.4596932857390043E-2</v>
      </c>
      <c r="P35" s="18" t="s">
        <v>47</v>
      </c>
      <c r="Q35" s="18"/>
    </row>
    <row r="36" spans="1:47" ht="15">
      <c r="A36" s="5" t="s">
        <v>48</v>
      </c>
      <c r="B36" s="38">
        <v>876</v>
      </c>
      <c r="C36" s="38">
        <v>337</v>
      </c>
      <c r="D36" s="38">
        <v>0</v>
      </c>
      <c r="E36" s="38">
        <v>0</v>
      </c>
      <c r="F36" s="38">
        <v>0</v>
      </c>
      <c r="G36" s="38">
        <v>8296</v>
      </c>
      <c r="H36" s="38">
        <v>0</v>
      </c>
      <c r="I36" s="38"/>
      <c r="J36" s="38"/>
      <c r="K36" s="38"/>
      <c r="L36" s="38"/>
      <c r="M36" s="38">
        <v>40463</v>
      </c>
      <c r="N36" s="38">
        <v>49972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38">
        <v>10284</v>
      </c>
      <c r="C37" s="38">
        <v>259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>
        <v>2842</v>
      </c>
      <c r="N37" s="38">
        <v>13385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>
        <v>4732</v>
      </c>
      <c r="N38" s="38">
        <v>4732</v>
      </c>
      <c r="O38" s="18">
        <f>SUM(O31:O35)</f>
        <v>0.5636467338712261</v>
      </c>
      <c r="P38" s="18"/>
      <c r="Q38" s="3"/>
      <c r="R38" s="7" t="s">
        <v>51</v>
      </c>
      <c r="S38" s="19">
        <f>N45/1000</f>
        <v>7.1963200000000001</v>
      </c>
      <c r="T38" s="7"/>
    </row>
    <row r="39" spans="1:47" ht="15">
      <c r="A39" s="5" t="s">
        <v>18</v>
      </c>
      <c r="B39" s="38">
        <v>23004</v>
      </c>
      <c r="C39" s="38">
        <v>46938</v>
      </c>
      <c r="D39" s="38">
        <v>0</v>
      </c>
      <c r="E39" s="38">
        <v>0</v>
      </c>
      <c r="F39" s="38">
        <v>4049</v>
      </c>
      <c r="G39" s="38">
        <v>8296</v>
      </c>
      <c r="H39" s="38">
        <v>0</v>
      </c>
      <c r="I39" s="38"/>
      <c r="J39" s="38"/>
      <c r="K39" s="38"/>
      <c r="L39" s="38"/>
      <c r="M39" s="38">
        <v>73754</v>
      </c>
      <c r="N39" s="38">
        <v>156041</v>
      </c>
      <c r="O39" s="3"/>
      <c r="P39" s="3"/>
      <c r="Q39" s="3"/>
      <c r="R39" s="7" t="s">
        <v>52</v>
      </c>
      <c r="S39" s="20">
        <f>N41/1000</f>
        <v>68.088999999999999</v>
      </c>
      <c r="T39" s="13">
        <f>O41</f>
        <v>0.43635326612877384</v>
      </c>
    </row>
    <row r="40" spans="1:47">
      <c r="R40" s="7" t="s">
        <v>53</v>
      </c>
      <c r="S40" s="20">
        <f>N35/1000</f>
        <v>14.760999999999999</v>
      </c>
      <c r="T40" s="14">
        <f>O35</f>
        <v>9.4596932857390043E-2</v>
      </c>
    </row>
    <row r="41" spans="1:47" ht="15">
      <c r="A41" s="21" t="s">
        <v>54</v>
      </c>
      <c r="B41" s="22">
        <f>B38+B37+B36</f>
        <v>11160</v>
      </c>
      <c r="C41" s="22">
        <f t="shared" ref="C41:N41" si="0">C38+C37+C36</f>
        <v>596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8296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48037</v>
      </c>
      <c r="N41" s="22">
        <f t="shared" si="0"/>
        <v>68089</v>
      </c>
      <c r="O41" s="17">
        <f>N41/N$39</f>
        <v>0.43635326612877384</v>
      </c>
      <c r="P41" s="17" t="s">
        <v>55</v>
      </c>
      <c r="Q41" s="7"/>
      <c r="R41" s="7" t="s">
        <v>56</v>
      </c>
      <c r="S41" s="20">
        <f>N33/1000</f>
        <v>8.9039999999999999</v>
      </c>
      <c r="T41" s="13">
        <f>O33</f>
        <v>5.7061926032260749E-2</v>
      </c>
    </row>
    <row r="42" spans="1:47" ht="15">
      <c r="A42" s="23" t="s">
        <v>57</v>
      </c>
      <c r="B42" s="22"/>
      <c r="C42" s="24">
        <f>C39+C23+C10</f>
        <v>46938</v>
      </c>
      <c r="D42" s="24">
        <f t="shared" ref="D42:L42" si="1">D39+D23+D10</f>
        <v>0</v>
      </c>
      <c r="E42" s="24">
        <f t="shared" si="1"/>
        <v>0</v>
      </c>
      <c r="F42" s="24">
        <f t="shared" si="1"/>
        <v>4049</v>
      </c>
      <c r="G42" s="24">
        <f t="shared" si="1"/>
        <v>8296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79654.320000000007</v>
      </c>
      <c r="N42" s="25">
        <f>SUM(C42:M42)</f>
        <v>138937.32</v>
      </c>
      <c r="O42" s="7"/>
      <c r="P42" s="7"/>
      <c r="Q42" s="7"/>
      <c r="R42" s="7" t="s">
        <v>37</v>
      </c>
      <c r="S42" s="20">
        <f>N31/1000</f>
        <v>6.6779999999999999</v>
      </c>
      <c r="T42" s="13">
        <f>O31</f>
        <v>4.2796444524195565E-2</v>
      </c>
    </row>
    <row r="43" spans="1:47" ht="15">
      <c r="A43" s="23" t="s">
        <v>58</v>
      </c>
      <c r="B43" s="22"/>
      <c r="C43" s="17">
        <f t="shared" ref="C43:M43" si="2">C42/$N42</f>
        <v>0.33783579530683333</v>
      </c>
      <c r="D43" s="17">
        <f t="shared" si="2"/>
        <v>0</v>
      </c>
      <c r="E43" s="17">
        <f t="shared" si="2"/>
        <v>0</v>
      </c>
      <c r="F43" s="17">
        <f t="shared" si="2"/>
        <v>2.9142637845612683E-2</v>
      </c>
      <c r="G43" s="17">
        <f t="shared" si="2"/>
        <v>5.971037875208763E-2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0.57331118809546633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12.977</v>
      </c>
      <c r="T43" s="14">
        <f>O32</f>
        <v>8.3164040220198535E-2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44.631999999999998</v>
      </c>
      <c r="T44" s="14">
        <f>O34</f>
        <v>0.28602739023718127</v>
      </c>
    </row>
    <row r="45" spans="1:47" ht="15">
      <c r="A45" s="6" t="s">
        <v>61</v>
      </c>
      <c r="B45" s="6">
        <f>B23-B39</f>
        <v>1296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5900.32</v>
      </c>
      <c r="N45" s="25">
        <f>B45+M45</f>
        <v>7196.32</v>
      </c>
      <c r="O45" s="7"/>
      <c r="P45" s="7"/>
      <c r="Q45" s="7"/>
      <c r="R45" s="7" t="s">
        <v>62</v>
      </c>
      <c r="S45" s="20">
        <f>SUM(S39:S44)</f>
        <v>156.041</v>
      </c>
      <c r="T45" s="13">
        <f>SUM(T39:T44)</f>
        <v>1</v>
      </c>
    </row>
    <row r="46" spans="1:47" ht="15">
      <c r="A46" s="6" t="s">
        <v>88</v>
      </c>
      <c r="B46" s="83">
        <f>B45/(B23)</f>
        <v>5.3333333333333337E-2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/>
      <c r="B47" s="37"/>
      <c r="C47" s="40"/>
      <c r="D47" s="41"/>
      <c r="E47" s="40"/>
      <c r="F47" s="40"/>
      <c r="G47" s="41"/>
      <c r="H47" s="40"/>
      <c r="I47" s="40"/>
      <c r="J47" s="40"/>
      <c r="K47" s="40"/>
      <c r="L47" s="40"/>
      <c r="M47" s="40"/>
      <c r="N47" s="40"/>
      <c r="O47" s="41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40"/>
      <c r="B48" s="37"/>
      <c r="C48" s="40"/>
      <c r="D48" s="41"/>
      <c r="E48" s="40"/>
      <c r="F48" s="40"/>
      <c r="G48" s="41"/>
      <c r="H48" s="40"/>
      <c r="I48" s="40"/>
      <c r="J48" s="40"/>
      <c r="K48" s="40"/>
      <c r="L48" s="40"/>
      <c r="M48" s="40"/>
      <c r="N48" s="40"/>
      <c r="O48" s="41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40"/>
      <c r="B55" s="37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 enableFormatConditionsCalculation="0"/>
  <dimension ref="A1:AU70"/>
  <sheetViews>
    <sheetView topLeftCell="A4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75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75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>
        <v>0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38">
        <f>79943+8500</f>
        <v>88443</v>
      </c>
      <c r="C18" s="68">
        <f>22334+1100</f>
        <v>23434</v>
      </c>
      <c r="D18" s="38">
        <v>0</v>
      </c>
      <c r="E18" s="38">
        <v>0</v>
      </c>
      <c r="F18" s="38">
        <v>73305</v>
      </c>
      <c r="G18" s="68">
        <v>8250</v>
      </c>
      <c r="H18" s="38">
        <v>1228</v>
      </c>
      <c r="I18" s="38"/>
      <c r="J18" s="38"/>
      <c r="K18" s="38"/>
      <c r="L18" s="38"/>
      <c r="M18" s="38"/>
      <c r="N18" s="38">
        <f>C18+F18+G18+H18</f>
        <v>106217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55">
        <v>0</v>
      </c>
      <c r="N19" s="38"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68">
        <v>16500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68">
        <f>B20*0.33</f>
        <v>5445</v>
      </c>
      <c r="N20" s="54">
        <f>M20</f>
        <v>5445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54"/>
      <c r="N21" s="38">
        <v>0</v>
      </c>
      <c r="O21" s="3"/>
      <c r="P21" s="3"/>
      <c r="Q21" s="3"/>
      <c r="R21" s="3"/>
      <c r="S21" s="3"/>
      <c r="T21" s="3"/>
    </row>
    <row r="22" spans="1:20" ht="15">
      <c r="A22" s="4" t="s">
        <v>27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54"/>
      <c r="N22" s="38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38">
        <f>B18+B20</f>
        <v>104943</v>
      </c>
      <c r="C23" s="38">
        <f>C18</f>
        <v>23434</v>
      </c>
      <c r="D23" s="38">
        <v>0</v>
      </c>
      <c r="E23" s="38">
        <v>0</v>
      </c>
      <c r="F23" s="38">
        <v>73305</v>
      </c>
      <c r="G23" s="38">
        <f>G18</f>
        <v>8250</v>
      </c>
      <c r="H23" s="38">
        <v>1228</v>
      </c>
      <c r="I23" s="38"/>
      <c r="J23" s="38"/>
      <c r="K23" s="38"/>
      <c r="L23" s="38"/>
      <c r="M23" s="54">
        <f>M20</f>
        <v>5445</v>
      </c>
      <c r="N23" s="54">
        <f>N20+N18</f>
        <v>111662</v>
      </c>
      <c r="O23" s="3"/>
      <c r="P23" s="3"/>
      <c r="Q23" s="3"/>
      <c r="R23" s="3" t="s">
        <v>28</v>
      </c>
      <c r="S23" s="11">
        <f>N42/1000</f>
        <v>1322.1442400000001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631.30823999999996</v>
      </c>
      <c r="T26" s="13">
        <f>M43</f>
        <v>0.47748817481517752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29.222999999999999</v>
      </c>
      <c r="T27" s="14">
        <f>G43</f>
        <v>2.2102732149708568E-2</v>
      </c>
    </row>
    <row r="28" spans="1:20" ht="15">
      <c r="A28" s="37" t="s">
        <v>75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133.81</v>
      </c>
      <c r="T29" s="13">
        <f>F43</f>
        <v>0.10120680932664351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0</v>
      </c>
      <c r="T30" s="13">
        <f>E43</f>
        <v>0</v>
      </c>
    </row>
    <row r="31" spans="1:20" ht="15">
      <c r="A31" s="5" t="s">
        <v>36</v>
      </c>
      <c r="B31" s="38">
        <v>0</v>
      </c>
      <c r="C31" s="38">
        <v>571</v>
      </c>
      <c r="D31" s="38">
        <v>0</v>
      </c>
      <c r="E31" s="38">
        <v>0</v>
      </c>
      <c r="F31" s="38">
        <v>56</v>
      </c>
      <c r="G31" s="38">
        <v>0</v>
      </c>
      <c r="H31" s="38">
        <v>0</v>
      </c>
      <c r="I31" s="38"/>
      <c r="J31" s="38"/>
      <c r="K31" s="38"/>
      <c r="L31" s="38"/>
      <c r="M31" s="38">
        <v>1579</v>
      </c>
      <c r="N31" s="38">
        <v>2207</v>
      </c>
      <c r="O31" s="17">
        <f>N31/N$39</f>
        <v>1.7416804572720091E-3</v>
      </c>
      <c r="P31" s="18" t="s">
        <v>37</v>
      </c>
      <c r="Q31" s="3"/>
      <c r="R31" s="3" t="s">
        <v>38</v>
      </c>
      <c r="S31" s="12">
        <f>C42/1000</f>
        <v>526.57500000000005</v>
      </c>
      <c r="T31" s="14">
        <f>C43</f>
        <v>0.3982734894341029</v>
      </c>
    </row>
    <row r="32" spans="1:20" ht="15">
      <c r="A32" s="5" t="s">
        <v>39</v>
      </c>
      <c r="B32" s="38">
        <v>611</v>
      </c>
      <c r="C32" s="38">
        <v>3750</v>
      </c>
      <c r="D32" s="38">
        <v>0</v>
      </c>
      <c r="E32" s="38">
        <v>0</v>
      </c>
      <c r="F32" s="38">
        <v>63</v>
      </c>
      <c r="G32" s="38">
        <v>0</v>
      </c>
      <c r="H32" s="38">
        <v>0</v>
      </c>
      <c r="I32" s="38"/>
      <c r="J32" s="38"/>
      <c r="K32" s="38"/>
      <c r="L32" s="38"/>
      <c r="M32" s="38">
        <v>46533</v>
      </c>
      <c r="N32" s="38">
        <v>50957</v>
      </c>
      <c r="O32" s="17">
        <f>N32/N$39</f>
        <v>4.0213326262442124E-2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38">
        <v>14170</v>
      </c>
      <c r="C33" s="38">
        <v>11448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8">
        <v>39532</v>
      </c>
      <c r="N33" s="38">
        <v>65151</v>
      </c>
      <c r="O33" s="17">
        <f>N33/N$39</f>
        <v>5.1414691196977197E-2</v>
      </c>
      <c r="P33" s="18" t="s">
        <v>43</v>
      </c>
      <c r="Q33" s="3"/>
      <c r="R33" s="3" t="s">
        <v>8</v>
      </c>
      <c r="S33" s="12">
        <f>H42/1000</f>
        <v>1.228</v>
      </c>
      <c r="T33" s="13">
        <f>H43</f>
        <v>9.2879427436752288E-4</v>
      </c>
    </row>
    <row r="34" spans="1:47" ht="15">
      <c r="A34" s="5" t="s">
        <v>44</v>
      </c>
      <c r="B34" s="38">
        <v>0</v>
      </c>
      <c r="C34" s="38">
        <v>478813</v>
      </c>
      <c r="D34" s="38">
        <v>0</v>
      </c>
      <c r="E34" s="38">
        <v>0</v>
      </c>
      <c r="F34" s="38">
        <v>60386</v>
      </c>
      <c r="G34" s="38">
        <v>0</v>
      </c>
      <c r="H34" s="38">
        <v>0</v>
      </c>
      <c r="I34" s="38"/>
      <c r="J34" s="38"/>
      <c r="K34" s="38"/>
      <c r="L34" s="38"/>
      <c r="M34" s="38">
        <v>9581</v>
      </c>
      <c r="N34" s="38">
        <v>548780</v>
      </c>
      <c r="O34" s="17">
        <f>N34/N$39</f>
        <v>0.43307630328125651</v>
      </c>
      <c r="P34" s="18" t="s">
        <v>45</v>
      </c>
      <c r="Q34" s="3"/>
      <c r="R34" s="3"/>
      <c r="S34" s="12">
        <f>SUM(S26:S33)</f>
        <v>1322.1442400000001</v>
      </c>
      <c r="T34" s="13">
        <f>SUM(T26:T33)</f>
        <v>1</v>
      </c>
    </row>
    <row r="35" spans="1:47" ht="15">
      <c r="A35" s="5" t="s">
        <v>46</v>
      </c>
      <c r="B35" s="38">
        <v>26425</v>
      </c>
      <c r="C35" s="38">
        <v>5889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>
        <v>169665</v>
      </c>
      <c r="N35" s="38">
        <v>201979</v>
      </c>
      <c r="O35" s="17">
        <f>N35/N$39</f>
        <v>0.15939414457605036</v>
      </c>
      <c r="P35" s="18" t="s">
        <v>47</v>
      </c>
      <c r="Q35" s="18"/>
    </row>
    <row r="36" spans="1:47" ht="15">
      <c r="A36" s="5" t="s">
        <v>48</v>
      </c>
      <c r="B36" s="38">
        <v>4194</v>
      </c>
      <c r="C36" s="38">
        <v>2405</v>
      </c>
      <c r="D36" s="38">
        <v>0</v>
      </c>
      <c r="E36" s="38">
        <v>0</v>
      </c>
      <c r="F36" s="38">
        <v>0</v>
      </c>
      <c r="G36" s="38">
        <v>20973</v>
      </c>
      <c r="H36" s="38">
        <v>0</v>
      </c>
      <c r="I36" s="38"/>
      <c r="J36" s="38"/>
      <c r="K36" s="38"/>
      <c r="L36" s="38"/>
      <c r="M36" s="38">
        <v>276285</v>
      </c>
      <c r="N36" s="38">
        <v>303857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38">
        <v>57644</v>
      </c>
      <c r="C37" s="38">
        <v>265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>
        <v>35874</v>
      </c>
      <c r="N37" s="38">
        <v>93783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>
        <v>454</v>
      </c>
      <c r="N38" s="38">
        <v>454</v>
      </c>
      <c r="O38" s="18">
        <f>SUM(O31:O35)</f>
        <v>0.68584014577399821</v>
      </c>
      <c r="P38" s="18"/>
      <c r="Q38" s="3"/>
      <c r="R38" s="7" t="s">
        <v>51</v>
      </c>
      <c r="S38" s="19">
        <f>N45/1000</f>
        <v>48.259239999999998</v>
      </c>
      <c r="T38" s="7"/>
    </row>
    <row r="39" spans="1:47" ht="15">
      <c r="A39" s="5" t="s">
        <v>18</v>
      </c>
      <c r="B39" s="38">
        <v>103044</v>
      </c>
      <c r="C39" s="38">
        <v>503141</v>
      </c>
      <c r="D39" s="38">
        <v>0</v>
      </c>
      <c r="E39" s="38">
        <v>0</v>
      </c>
      <c r="F39" s="38">
        <f>F34+F32+F31</f>
        <v>60505</v>
      </c>
      <c r="G39" s="38">
        <v>20973</v>
      </c>
      <c r="H39" s="38">
        <v>0</v>
      </c>
      <c r="I39" s="38"/>
      <c r="J39" s="38"/>
      <c r="K39" s="38"/>
      <c r="L39" s="38"/>
      <c r="M39" s="38">
        <v>579503</v>
      </c>
      <c r="N39" s="38">
        <v>1267167</v>
      </c>
      <c r="O39" s="3"/>
      <c r="P39" s="3"/>
      <c r="Q39" s="3"/>
      <c r="R39" s="7" t="s">
        <v>52</v>
      </c>
      <c r="S39" s="20">
        <f>N41/1000</f>
        <v>398.09399999999999</v>
      </c>
      <c r="T39" s="13">
        <f>O41</f>
        <v>0.31416064338796701</v>
      </c>
    </row>
    <row r="40" spans="1:47">
      <c r="R40" s="7" t="s">
        <v>53</v>
      </c>
      <c r="S40" s="20">
        <f>N35/1000</f>
        <v>201.97900000000001</v>
      </c>
      <c r="T40" s="14">
        <f>O35</f>
        <v>0.15939414457605036</v>
      </c>
    </row>
    <row r="41" spans="1:47" ht="15">
      <c r="A41" s="21" t="s">
        <v>54</v>
      </c>
      <c r="B41" s="22">
        <f>B38+B37+B36</f>
        <v>61838</v>
      </c>
      <c r="C41" s="22">
        <f t="shared" ref="C41:N41" si="0">C38+C37+C36</f>
        <v>2670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20973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312613</v>
      </c>
      <c r="N41" s="22">
        <f t="shared" si="0"/>
        <v>398094</v>
      </c>
      <c r="O41" s="17">
        <f>N41/N$39</f>
        <v>0.31416064338796701</v>
      </c>
      <c r="P41" s="17" t="s">
        <v>55</v>
      </c>
      <c r="Q41" s="7"/>
      <c r="R41" s="7" t="s">
        <v>56</v>
      </c>
      <c r="S41" s="20">
        <f>N33/1000</f>
        <v>65.150999999999996</v>
      </c>
      <c r="T41" s="13">
        <f>O33</f>
        <v>5.1414691196977197E-2</v>
      </c>
    </row>
    <row r="42" spans="1:47" ht="15">
      <c r="A42" s="23" t="s">
        <v>57</v>
      </c>
      <c r="B42" s="22"/>
      <c r="C42" s="24">
        <f>C39+C23+C10</f>
        <v>526575</v>
      </c>
      <c r="D42" s="24">
        <f t="shared" ref="D42:L42" si="1">D39+D23+D10</f>
        <v>0</v>
      </c>
      <c r="E42" s="24">
        <f t="shared" si="1"/>
        <v>0</v>
      </c>
      <c r="F42" s="24">
        <f t="shared" si="1"/>
        <v>133810</v>
      </c>
      <c r="G42" s="24">
        <f t="shared" si="1"/>
        <v>29223</v>
      </c>
      <c r="H42" s="24">
        <f t="shared" si="1"/>
        <v>1228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631308.24</v>
      </c>
      <c r="N42" s="25">
        <f>SUM(C42:M42)</f>
        <v>1322144.24</v>
      </c>
      <c r="O42" s="7"/>
      <c r="P42" s="7"/>
      <c r="Q42" s="7"/>
      <c r="R42" s="7" t="s">
        <v>37</v>
      </c>
      <c r="S42" s="20">
        <f>N31/1000</f>
        <v>2.2069999999999999</v>
      </c>
      <c r="T42" s="13">
        <f>O31</f>
        <v>1.7416804572720091E-3</v>
      </c>
    </row>
    <row r="43" spans="1:47" ht="15">
      <c r="A43" s="23" t="s">
        <v>58</v>
      </c>
      <c r="B43" s="22"/>
      <c r="C43" s="17">
        <f t="shared" ref="C43:M43" si="2">C42/$N42</f>
        <v>0.3982734894341029</v>
      </c>
      <c r="D43" s="17">
        <f t="shared" si="2"/>
        <v>0</v>
      </c>
      <c r="E43" s="17">
        <f t="shared" si="2"/>
        <v>0</v>
      </c>
      <c r="F43" s="17">
        <f t="shared" si="2"/>
        <v>0.10120680932664351</v>
      </c>
      <c r="G43" s="17">
        <f t="shared" si="2"/>
        <v>2.2102732149708568E-2</v>
      </c>
      <c r="H43" s="17">
        <f t="shared" si="2"/>
        <v>9.2879427436752288E-4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0.47748817481517752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50.957000000000001</v>
      </c>
      <c r="T43" s="14">
        <f>O32</f>
        <v>4.0213326262442124E-2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548.78</v>
      </c>
      <c r="T44" s="14">
        <f>O34</f>
        <v>0.43307630328125651</v>
      </c>
    </row>
    <row r="45" spans="1:47" ht="15">
      <c r="A45" s="6" t="s">
        <v>61</v>
      </c>
      <c r="B45" s="6">
        <f>B23-B39</f>
        <v>1899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46360.24</v>
      </c>
      <c r="N45" s="25">
        <f>B45+M45</f>
        <v>48259.24</v>
      </c>
      <c r="O45" s="7"/>
      <c r="P45" s="7"/>
      <c r="Q45" s="7"/>
      <c r="R45" s="7" t="s">
        <v>62</v>
      </c>
      <c r="S45" s="20">
        <f>SUM(S39:S44)</f>
        <v>1267.1679999999999</v>
      </c>
      <c r="T45" s="13">
        <f>SUM(T39:T44)</f>
        <v>1.0000007891619651</v>
      </c>
    </row>
    <row r="46" spans="1:47" ht="15">
      <c r="A46" s="6" t="s">
        <v>88</v>
      </c>
      <c r="B46" s="83">
        <f>B45/B23</f>
        <v>1.8095537577542096E-2</v>
      </c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/>
      <c r="B47" s="37"/>
      <c r="D47" s="6"/>
      <c r="F47" s="6"/>
      <c r="H47" s="40"/>
      <c r="I47" s="40"/>
      <c r="J47" s="40"/>
      <c r="K47" s="40"/>
      <c r="L47" s="40"/>
      <c r="M47" s="40"/>
      <c r="N47" s="40"/>
      <c r="O47" s="40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40"/>
      <c r="B48" s="37"/>
      <c r="D48" s="40"/>
      <c r="E48" s="50"/>
      <c r="F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>
      <c r="A49" s="40"/>
      <c r="B49" s="45"/>
      <c r="D49" s="40"/>
      <c r="E49" s="5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>
      <c r="A50" s="40"/>
      <c r="B50" s="37"/>
      <c r="C50" s="40"/>
      <c r="D50" s="40"/>
      <c r="E50" s="5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40"/>
      <c r="B55" s="37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 enableFormatConditionsCalculation="0"/>
  <dimension ref="A1:AU70"/>
  <sheetViews>
    <sheetView topLeftCell="A15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76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76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>
        <v>0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38">
        <v>3597</v>
      </c>
      <c r="C18" s="38">
        <v>4169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/>
      <c r="J18" s="38"/>
      <c r="K18" s="38"/>
      <c r="L18" s="38"/>
      <c r="M18" s="38"/>
      <c r="N18" s="38">
        <v>4169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55">
        <v>0</v>
      </c>
      <c r="N19" s="38"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55">
        <v>0</v>
      </c>
      <c r="N20" s="38">
        <v>0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55"/>
      <c r="N21" s="38">
        <v>0</v>
      </c>
      <c r="O21" s="3"/>
      <c r="P21" s="3"/>
      <c r="Q21" s="3"/>
      <c r="R21" s="3"/>
      <c r="S21" s="3"/>
      <c r="T21" s="3"/>
    </row>
    <row r="22" spans="1:20" ht="15">
      <c r="A22" s="4" t="s">
        <v>95</v>
      </c>
      <c r="B22" s="53">
        <v>88000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38"/>
      <c r="N22" s="38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54">
        <f>B22+B18</f>
        <v>91597</v>
      </c>
      <c r="C23" s="38">
        <v>4169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/>
      <c r="J23" s="38"/>
      <c r="K23" s="38"/>
      <c r="L23" s="38"/>
      <c r="M23" s="38"/>
      <c r="N23" s="38">
        <v>4169</v>
      </c>
      <c r="O23" s="3"/>
      <c r="P23" s="3"/>
      <c r="Q23" s="3"/>
      <c r="R23" s="3" t="s">
        <v>28</v>
      </c>
      <c r="S23" s="11">
        <f>N42/1000</f>
        <v>502.99491999999998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355.31891999999999</v>
      </c>
      <c r="T26" s="13">
        <f>M43</f>
        <v>0.70640657762507819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12.917888888888889</v>
      </c>
      <c r="T27" s="14">
        <f>G43</f>
        <v>2.5681947024214259E-2</v>
      </c>
    </row>
    <row r="28" spans="1:20" ht="15">
      <c r="A28" s="37" t="s">
        <v>76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9.9580000000000002</v>
      </c>
      <c r="T29" s="13">
        <f>F43</f>
        <v>1.9797416641901672E-2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0</v>
      </c>
      <c r="T30" s="13">
        <f>E43</f>
        <v>0</v>
      </c>
    </row>
    <row r="31" spans="1:20" ht="15">
      <c r="A31" s="5" t="s">
        <v>36</v>
      </c>
      <c r="B31" s="38">
        <v>0</v>
      </c>
      <c r="C31" s="67">
        <f>F31/9*91</f>
        <v>101.11111111111111</v>
      </c>
      <c r="D31" s="38">
        <v>0</v>
      </c>
      <c r="E31" s="38">
        <v>0</v>
      </c>
      <c r="F31" s="38">
        <v>10</v>
      </c>
      <c r="G31" s="38">
        <v>0</v>
      </c>
      <c r="H31" s="38">
        <v>0</v>
      </c>
      <c r="I31" s="38"/>
      <c r="J31" s="38"/>
      <c r="K31" s="38"/>
      <c r="L31" s="38"/>
      <c r="M31" s="38">
        <v>578</v>
      </c>
      <c r="N31" s="67">
        <f>M31+F31+C31</f>
        <v>689.11111111111109</v>
      </c>
      <c r="O31" s="17">
        <f>N31/N$39</f>
        <v>1.2315760042447869E-3</v>
      </c>
      <c r="P31" s="18" t="s">
        <v>37</v>
      </c>
      <c r="Q31" s="3"/>
      <c r="R31" s="3" t="s">
        <v>38</v>
      </c>
      <c r="S31" s="12">
        <f>C42/1000</f>
        <v>124.80011111111111</v>
      </c>
      <c r="T31" s="14">
        <f>C43</f>
        <v>0.24811405870880587</v>
      </c>
    </row>
    <row r="32" spans="1:20" ht="15">
      <c r="A32" s="5" t="s">
        <v>39</v>
      </c>
      <c r="B32" s="38">
        <v>1287</v>
      </c>
      <c r="C32" s="67">
        <v>36</v>
      </c>
      <c r="D32" s="38">
        <v>0</v>
      </c>
      <c r="E32" s="38">
        <v>0</v>
      </c>
      <c r="F32" s="38">
        <v>0</v>
      </c>
      <c r="G32" s="67">
        <f>N32-M32-C32-B32</f>
        <v>2356.8888888888887</v>
      </c>
      <c r="H32" s="38">
        <v>0</v>
      </c>
      <c r="I32" s="38"/>
      <c r="J32" s="38"/>
      <c r="K32" s="38"/>
      <c r="L32" s="38"/>
      <c r="M32" s="38">
        <v>7002</v>
      </c>
      <c r="N32" s="67">
        <f>N39-N38-N37-N36-N35-N34-N33-N31</f>
        <v>10681.888888888889</v>
      </c>
      <c r="O32" s="17">
        <f>N32/N$39</f>
        <v>1.9090619529197207E-2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38">
        <v>31231</v>
      </c>
      <c r="C33" s="38">
        <v>1817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8">
        <v>58992</v>
      </c>
      <c r="N33" s="38">
        <v>92040</v>
      </c>
      <c r="O33" s="17">
        <f>N33/N$39</f>
        <v>0.16449343741957623</v>
      </c>
      <c r="P33" s="18" t="s">
        <v>43</v>
      </c>
      <c r="Q33" s="3"/>
      <c r="R33" s="3" t="s">
        <v>8</v>
      </c>
      <c r="S33" s="12">
        <f>H42/1000</f>
        <v>0</v>
      </c>
      <c r="T33" s="13">
        <f>H43</f>
        <v>0</v>
      </c>
    </row>
    <row r="34" spans="1:47" ht="15">
      <c r="A34" s="5" t="s">
        <v>44</v>
      </c>
      <c r="B34" s="38">
        <v>0</v>
      </c>
      <c r="C34" s="38">
        <v>110523</v>
      </c>
      <c r="D34" s="38">
        <v>0</v>
      </c>
      <c r="E34" s="38">
        <v>0</v>
      </c>
      <c r="F34" s="38">
        <v>9948</v>
      </c>
      <c r="G34" s="38">
        <v>0</v>
      </c>
      <c r="H34" s="38">
        <v>0</v>
      </c>
      <c r="I34" s="38"/>
      <c r="J34" s="38"/>
      <c r="K34" s="38"/>
      <c r="L34" s="38"/>
      <c r="M34" s="38">
        <v>10859</v>
      </c>
      <c r="N34" s="38">
        <v>131331</v>
      </c>
      <c r="O34" s="17">
        <f>N34/N$39</f>
        <v>0.23471412027108177</v>
      </c>
      <c r="P34" s="18" t="s">
        <v>45</v>
      </c>
      <c r="Q34" s="3"/>
      <c r="R34" s="3"/>
      <c r="S34" s="12">
        <f>SUM(S26:S33)</f>
        <v>502.99492000000004</v>
      </c>
      <c r="T34" s="13">
        <f>SUM(T26:T33)</f>
        <v>1</v>
      </c>
    </row>
    <row r="35" spans="1:47" ht="15">
      <c r="A35" s="5" t="s">
        <v>46</v>
      </c>
      <c r="B35" s="38">
        <v>16307</v>
      </c>
      <c r="C35" s="38">
        <v>3475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>
        <v>67499</v>
      </c>
      <c r="N35" s="38">
        <v>87281</v>
      </c>
      <c r="O35" s="17">
        <f>N35/N$39</f>
        <v>0.15598817591718853</v>
      </c>
      <c r="P35" s="18" t="s">
        <v>47</v>
      </c>
      <c r="Q35" s="18"/>
    </row>
    <row r="36" spans="1:47" ht="15">
      <c r="A36" s="5" t="s">
        <v>48</v>
      </c>
      <c r="B36" s="38">
        <v>123</v>
      </c>
      <c r="C36" s="38">
        <v>3704</v>
      </c>
      <c r="D36" s="38">
        <v>0</v>
      </c>
      <c r="E36" s="38">
        <v>0</v>
      </c>
      <c r="F36" s="38">
        <v>0</v>
      </c>
      <c r="G36" s="38">
        <v>10561</v>
      </c>
      <c r="H36" s="38">
        <v>0</v>
      </c>
      <c r="I36" s="38"/>
      <c r="J36" s="38"/>
      <c r="K36" s="38"/>
      <c r="L36" s="38"/>
      <c r="M36" s="38">
        <v>170691</v>
      </c>
      <c r="N36" s="38">
        <v>185080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38">
        <v>38080</v>
      </c>
      <c r="C37" s="38">
        <v>975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>
        <v>13289</v>
      </c>
      <c r="N37" s="38">
        <v>52344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>
        <v>89</v>
      </c>
      <c r="N38" s="38">
        <v>89</v>
      </c>
      <c r="O38" s="18">
        <f>SUM(O31:O35)</f>
        <v>0.57551792914128852</v>
      </c>
      <c r="P38" s="18"/>
      <c r="Q38" s="3"/>
      <c r="R38" s="7" t="s">
        <v>51</v>
      </c>
      <c r="S38" s="19">
        <f>N45/1000</f>
        <v>30.888920000000002</v>
      </c>
      <c r="T38" s="7"/>
    </row>
    <row r="39" spans="1:47" ht="15">
      <c r="A39" s="5" t="s">
        <v>18</v>
      </c>
      <c r="B39" s="38">
        <v>87028</v>
      </c>
      <c r="C39" s="67">
        <f>SUM(C31:C38)</f>
        <v>120631.11111111111</v>
      </c>
      <c r="D39" s="38">
        <v>0</v>
      </c>
      <c r="E39" s="38">
        <v>0</v>
      </c>
      <c r="F39" s="38">
        <v>9958</v>
      </c>
      <c r="G39" s="67">
        <f>G36+G32</f>
        <v>12917.888888888889</v>
      </c>
      <c r="H39" s="38">
        <v>0</v>
      </c>
      <c r="I39" s="38"/>
      <c r="J39" s="38"/>
      <c r="K39" s="38"/>
      <c r="L39" s="38"/>
      <c r="M39" s="38">
        <v>328999</v>
      </c>
      <c r="N39" s="38">
        <v>559536</v>
      </c>
      <c r="O39" s="3"/>
      <c r="P39" s="3"/>
      <c r="Q39" s="3"/>
      <c r="R39" s="7" t="s">
        <v>52</v>
      </c>
      <c r="S39" s="20">
        <f>N41/1000</f>
        <v>237.51300000000001</v>
      </c>
      <c r="T39" s="13">
        <f>O41</f>
        <v>0.42448207085871148</v>
      </c>
    </row>
    <row r="40" spans="1:47">
      <c r="R40" s="7" t="s">
        <v>53</v>
      </c>
      <c r="S40" s="20">
        <f>N35/1000</f>
        <v>87.281000000000006</v>
      </c>
      <c r="T40" s="14">
        <f>O35</f>
        <v>0.15598817591718853</v>
      </c>
    </row>
    <row r="41" spans="1:47" ht="15">
      <c r="A41" s="21" t="s">
        <v>54</v>
      </c>
      <c r="B41" s="22">
        <f>B38+B37+B36</f>
        <v>38203</v>
      </c>
      <c r="C41" s="22">
        <f t="shared" ref="C41:N41" si="0">C38+C37+C36</f>
        <v>4679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10561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184069</v>
      </c>
      <c r="N41" s="22">
        <f t="shared" si="0"/>
        <v>237513</v>
      </c>
      <c r="O41" s="17">
        <f>N41/N$39</f>
        <v>0.42448207085871148</v>
      </c>
      <c r="P41" s="17" t="s">
        <v>55</v>
      </c>
      <c r="Q41" s="7"/>
      <c r="R41" s="7" t="s">
        <v>56</v>
      </c>
      <c r="S41" s="20">
        <f>N33/1000</f>
        <v>92.04</v>
      </c>
      <c r="T41" s="13">
        <f>O33</f>
        <v>0.16449343741957623</v>
      </c>
    </row>
    <row r="42" spans="1:47" ht="15">
      <c r="A42" s="23" t="s">
        <v>57</v>
      </c>
      <c r="B42" s="22"/>
      <c r="C42" s="24">
        <f>C39+C23+C10</f>
        <v>124800.11111111111</v>
      </c>
      <c r="D42" s="24">
        <f t="shared" ref="D42:L42" si="1">D39+D23+D10</f>
        <v>0</v>
      </c>
      <c r="E42" s="24">
        <f t="shared" si="1"/>
        <v>0</v>
      </c>
      <c r="F42" s="24">
        <f t="shared" si="1"/>
        <v>9958</v>
      </c>
      <c r="G42" s="24">
        <f t="shared" si="1"/>
        <v>12917.888888888889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355318.92</v>
      </c>
      <c r="N42" s="25">
        <f>SUM(C42:M42)</f>
        <v>502994.92</v>
      </c>
      <c r="O42" s="7"/>
      <c r="P42" s="7"/>
      <c r="Q42" s="7"/>
      <c r="R42" s="7" t="s">
        <v>37</v>
      </c>
      <c r="S42" s="20">
        <f>N31/1000</f>
        <v>0.68911111111111112</v>
      </c>
      <c r="T42" s="13">
        <f>O31</f>
        <v>1.2315760042447869E-3</v>
      </c>
    </row>
    <row r="43" spans="1:47" ht="15">
      <c r="A43" s="23" t="s">
        <v>58</v>
      </c>
      <c r="B43" s="22"/>
      <c r="C43" s="17">
        <f t="shared" ref="C43:M43" si="2">C42/$N42</f>
        <v>0.24811405870880587</v>
      </c>
      <c r="D43" s="17">
        <f t="shared" si="2"/>
        <v>0</v>
      </c>
      <c r="E43" s="17">
        <f t="shared" si="2"/>
        <v>0</v>
      </c>
      <c r="F43" s="17">
        <f t="shared" si="2"/>
        <v>1.9797416641901672E-2</v>
      </c>
      <c r="G43" s="17">
        <f t="shared" si="2"/>
        <v>2.5681947024214259E-2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0.70640657762507819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10.681888888888889</v>
      </c>
      <c r="T43" s="14">
        <f>O32</f>
        <v>1.9090619529197207E-2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131.33099999999999</v>
      </c>
      <c r="T44" s="14">
        <f>O34</f>
        <v>0.23471412027108177</v>
      </c>
    </row>
    <row r="45" spans="1:47" ht="15">
      <c r="A45" s="6" t="s">
        <v>61</v>
      </c>
      <c r="B45" s="6">
        <f>B23-B39</f>
        <v>4569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26319.920000000002</v>
      </c>
      <c r="N45" s="25">
        <f>B45+M45</f>
        <v>30888.920000000002</v>
      </c>
      <c r="O45" s="7"/>
      <c r="P45" s="7"/>
      <c r="Q45" s="7"/>
      <c r="R45" s="7" t="s">
        <v>62</v>
      </c>
      <c r="S45" s="20">
        <f>SUM(S39:S44)</f>
        <v>559.53599999999994</v>
      </c>
      <c r="T45" s="13">
        <f>SUM(T39:T44)</f>
        <v>1</v>
      </c>
    </row>
    <row r="46" spans="1:47" ht="15">
      <c r="A46" s="6" t="s">
        <v>88</v>
      </c>
      <c r="B46" s="83">
        <f>B45/(B23)</f>
        <v>4.9881546338853895E-2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/>
      <c r="B47" s="37"/>
      <c r="C47" s="40"/>
      <c r="D47" s="41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1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40"/>
      <c r="B48" s="37"/>
      <c r="C48" s="40"/>
      <c r="D48" s="41"/>
      <c r="E48" s="40"/>
      <c r="F48" s="40"/>
      <c r="G48" s="40"/>
      <c r="H48" s="41"/>
      <c r="I48" s="40"/>
      <c r="J48" s="40"/>
      <c r="K48" s="40"/>
      <c r="L48" s="40"/>
      <c r="M48" s="40"/>
      <c r="N48" s="40"/>
      <c r="O48" s="41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40"/>
      <c r="B55" s="37"/>
      <c r="C55" s="40"/>
      <c r="D55" s="41"/>
      <c r="E55" s="40"/>
      <c r="F55" s="40"/>
      <c r="G55" s="40"/>
      <c r="H55" s="41"/>
      <c r="I55" s="40"/>
      <c r="J55" s="4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1"/>
      <c r="E56" s="40"/>
      <c r="F56" s="40"/>
      <c r="G56" s="40"/>
      <c r="H56" s="41"/>
      <c r="I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 enableFormatConditionsCalculation="0"/>
  <dimension ref="A1:AU70"/>
  <sheetViews>
    <sheetView topLeftCell="A13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77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77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>
        <v>0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/>
      <c r="J18" s="38"/>
      <c r="K18" s="38"/>
      <c r="L18" s="38"/>
      <c r="M18" s="55"/>
      <c r="N18" s="38">
        <v>0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55">
        <v>0</v>
      </c>
      <c r="N19" s="38"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55">
        <v>0</v>
      </c>
      <c r="N20" s="38">
        <v>0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55"/>
      <c r="N21" s="38">
        <v>0</v>
      </c>
      <c r="O21" s="3"/>
      <c r="P21" s="3"/>
      <c r="Q21" s="3"/>
      <c r="R21" s="3"/>
      <c r="S21" s="3"/>
      <c r="T21" s="3"/>
    </row>
    <row r="22" spans="1:20" ht="15">
      <c r="A22" s="4" t="s">
        <v>95</v>
      </c>
      <c r="B22" s="53">
        <v>337000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55"/>
      <c r="N22" s="38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54">
        <f>B22</f>
        <v>337000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/>
      <c r="J23" s="38"/>
      <c r="K23" s="38"/>
      <c r="L23" s="38"/>
      <c r="M23" s="55"/>
      <c r="N23" s="38">
        <v>0</v>
      </c>
      <c r="O23" s="3"/>
      <c r="P23" s="3"/>
      <c r="Q23" s="3"/>
      <c r="R23" s="3" t="s">
        <v>28</v>
      </c>
      <c r="S23" s="11">
        <f>N42/1000</f>
        <v>1130.07716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A25" s="2" t="s">
        <v>89</v>
      </c>
      <c r="C25" s="9" t="s">
        <v>93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713.39616000000001</v>
      </c>
      <c r="T26" s="13">
        <f>M43</f>
        <v>0.63128092952520154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17.393000000000001</v>
      </c>
      <c r="T27" s="14">
        <f>G43</f>
        <v>1.5390984452778426E-2</v>
      </c>
    </row>
    <row r="28" spans="1:20" ht="15">
      <c r="A28" s="37" t="s">
        <v>77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32.027999999999999</v>
      </c>
      <c r="T29" s="13">
        <f>F43</f>
        <v>2.8341427588891362E-2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0.13700000000000001</v>
      </c>
      <c r="T30" s="13">
        <f>E43</f>
        <v>1.212306600374084E-4</v>
      </c>
    </row>
    <row r="31" spans="1:20" ht="15">
      <c r="A31" s="5" t="s">
        <v>36</v>
      </c>
      <c r="B31" s="38">
        <v>0</v>
      </c>
      <c r="C31" s="38">
        <v>201</v>
      </c>
      <c r="D31" s="38">
        <v>0</v>
      </c>
      <c r="E31" s="38">
        <v>0</v>
      </c>
      <c r="F31" s="38">
        <v>9</v>
      </c>
      <c r="G31" s="38">
        <v>0</v>
      </c>
      <c r="H31" s="38">
        <v>0</v>
      </c>
      <c r="I31" s="38"/>
      <c r="J31" s="38"/>
      <c r="K31" s="38"/>
      <c r="L31" s="38"/>
      <c r="M31" s="38">
        <v>215</v>
      </c>
      <c r="N31" s="38">
        <v>425</v>
      </c>
      <c r="O31" s="17">
        <f>N31/N$39</f>
        <v>3.0434642500367005E-4</v>
      </c>
      <c r="P31" s="18" t="s">
        <v>37</v>
      </c>
      <c r="Q31" s="3"/>
      <c r="R31" s="3" t="s">
        <v>38</v>
      </c>
      <c r="S31" s="12">
        <f>C42/1000</f>
        <v>367.12299999999999</v>
      </c>
      <c r="T31" s="14">
        <f>C43</f>
        <v>0.32486542777309113</v>
      </c>
    </row>
    <row r="32" spans="1:20" ht="15">
      <c r="A32" s="5" t="s">
        <v>39</v>
      </c>
      <c r="B32" s="68">
        <v>2902</v>
      </c>
      <c r="C32" s="38">
        <v>15917</v>
      </c>
      <c r="D32" s="38">
        <v>0</v>
      </c>
      <c r="E32" s="67">
        <f>N32-C32-B32-F32-M32</f>
        <v>137</v>
      </c>
      <c r="F32" s="67">
        <v>209</v>
      </c>
      <c r="G32" s="38">
        <v>0</v>
      </c>
      <c r="H32" s="38">
        <v>0</v>
      </c>
      <c r="I32" s="38"/>
      <c r="J32" s="38"/>
      <c r="K32" s="38"/>
      <c r="L32" s="38"/>
      <c r="M32" s="38">
        <v>54320</v>
      </c>
      <c r="N32" s="38">
        <v>73485</v>
      </c>
      <c r="O32" s="17">
        <f>N32/N$39</f>
        <v>5.262328715622281E-2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68">
        <v>87055</v>
      </c>
      <c r="C33" s="38">
        <v>137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8">
        <v>52177</v>
      </c>
      <c r="N33" s="68">
        <f t="shared" ref="N33:N38" si="0">SUM(B33:M33)</f>
        <v>139369</v>
      </c>
      <c r="O33" s="17">
        <f>N33/N$39</f>
        <v>9.9803428014909393E-2</v>
      </c>
      <c r="P33" s="18" t="s">
        <v>43</v>
      </c>
      <c r="Q33" s="3"/>
      <c r="R33" s="3" t="s">
        <v>8</v>
      </c>
      <c r="S33" s="12">
        <f>H42/1000</f>
        <v>0</v>
      </c>
      <c r="T33" s="13">
        <f>H43</f>
        <v>0</v>
      </c>
    </row>
    <row r="34" spans="1:47" ht="15">
      <c r="A34" s="5" t="s">
        <v>44</v>
      </c>
      <c r="B34" s="68">
        <v>0</v>
      </c>
      <c r="C34" s="38">
        <v>347219</v>
      </c>
      <c r="D34" s="38">
        <v>0</v>
      </c>
      <c r="E34" s="38">
        <v>0</v>
      </c>
      <c r="F34" s="38">
        <v>31810</v>
      </c>
      <c r="G34" s="38">
        <v>0</v>
      </c>
      <c r="H34" s="38">
        <v>0</v>
      </c>
      <c r="I34" s="38"/>
      <c r="J34" s="38"/>
      <c r="K34" s="38"/>
      <c r="L34" s="38"/>
      <c r="M34" s="38">
        <v>181987</v>
      </c>
      <c r="N34" s="68">
        <f t="shared" si="0"/>
        <v>561016</v>
      </c>
      <c r="O34" s="17">
        <f>N34/N$39</f>
        <v>0.4017487387526093</v>
      </c>
      <c r="P34" s="18" t="s">
        <v>45</v>
      </c>
      <c r="Q34" s="3"/>
      <c r="R34" s="3"/>
      <c r="S34" s="12">
        <f>SUM(S26:S33)</f>
        <v>1130.07716</v>
      </c>
      <c r="T34" s="13">
        <f>SUM(T26:T33)</f>
        <v>0.99999999999999989</v>
      </c>
    </row>
    <row r="35" spans="1:47" ht="15">
      <c r="A35" s="5" t="s">
        <v>46</v>
      </c>
      <c r="B35" s="68">
        <v>0</v>
      </c>
      <c r="C35" s="38">
        <v>632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>
        <v>120762</v>
      </c>
      <c r="N35" s="68">
        <f t="shared" si="0"/>
        <v>121394</v>
      </c>
      <c r="O35" s="17">
        <f>N35/N$39</f>
        <v>8.6931364510342404E-2</v>
      </c>
      <c r="P35" s="18" t="s">
        <v>47</v>
      </c>
      <c r="Q35" s="18"/>
    </row>
    <row r="36" spans="1:47" ht="15">
      <c r="A36" s="5" t="s">
        <v>48</v>
      </c>
      <c r="B36" s="68">
        <v>24182</v>
      </c>
      <c r="C36" s="38">
        <v>2261</v>
      </c>
      <c r="D36" s="38">
        <v>0</v>
      </c>
      <c r="E36" s="38">
        <v>0</v>
      </c>
      <c r="F36" s="38">
        <v>0</v>
      </c>
      <c r="G36" s="38">
        <v>17393</v>
      </c>
      <c r="H36" s="38">
        <v>0</v>
      </c>
      <c r="I36" s="38"/>
      <c r="J36" s="38"/>
      <c r="K36" s="38"/>
      <c r="L36" s="38"/>
      <c r="M36" s="38">
        <v>212520</v>
      </c>
      <c r="N36" s="68">
        <f t="shared" si="0"/>
        <v>256356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68">
        <v>205062</v>
      </c>
      <c r="C37" s="38">
        <v>757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>
        <v>38287</v>
      </c>
      <c r="N37" s="68">
        <f t="shared" si="0"/>
        <v>244106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6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>
        <v>284</v>
      </c>
      <c r="N38" s="55">
        <f t="shared" si="0"/>
        <v>284</v>
      </c>
      <c r="O38" s="18">
        <f>SUM(O31:O35)</f>
        <v>0.64141116485908767</v>
      </c>
      <c r="P38" s="18"/>
      <c r="Q38" s="3"/>
      <c r="R38" s="7" t="s">
        <v>51</v>
      </c>
      <c r="S38" s="19">
        <f>N45/1000</f>
        <v>70.644159999999999</v>
      </c>
      <c r="T38" s="7"/>
    </row>
    <row r="39" spans="1:47" ht="15">
      <c r="A39" s="5" t="s">
        <v>18</v>
      </c>
      <c r="B39" s="68">
        <v>319200</v>
      </c>
      <c r="C39" s="38">
        <v>367123</v>
      </c>
      <c r="D39" s="38">
        <v>0</v>
      </c>
      <c r="E39" s="67">
        <f>E32</f>
        <v>137</v>
      </c>
      <c r="F39" s="67">
        <f>F34+F32+F31</f>
        <v>32028</v>
      </c>
      <c r="G39" s="38">
        <v>17393</v>
      </c>
      <c r="H39" s="38">
        <v>0</v>
      </c>
      <c r="I39" s="38"/>
      <c r="J39" s="38"/>
      <c r="K39" s="38"/>
      <c r="L39" s="38"/>
      <c r="M39" s="38">
        <v>660552</v>
      </c>
      <c r="N39" s="68">
        <f>SUM(N31:N38)</f>
        <v>1396435</v>
      </c>
      <c r="O39" s="3"/>
      <c r="P39" s="3"/>
      <c r="Q39" s="3"/>
      <c r="R39" s="7" t="s">
        <v>52</v>
      </c>
      <c r="S39" s="20">
        <f>N41/1000</f>
        <v>500.74599999999998</v>
      </c>
      <c r="T39" s="13">
        <f>O41</f>
        <v>0.35858883514091239</v>
      </c>
    </row>
    <row r="40" spans="1:47">
      <c r="R40" s="7" t="s">
        <v>53</v>
      </c>
      <c r="S40" s="20">
        <f>N35/1000</f>
        <v>121.39400000000001</v>
      </c>
      <c r="T40" s="14">
        <f>O35</f>
        <v>8.6931364510342404E-2</v>
      </c>
    </row>
    <row r="41" spans="1:47" ht="15">
      <c r="A41" s="21" t="s">
        <v>54</v>
      </c>
      <c r="B41" s="22">
        <f>B38+B37+B36</f>
        <v>229244</v>
      </c>
      <c r="C41" s="22">
        <f t="shared" ref="C41:N41" si="1">C38+C37+C36</f>
        <v>3018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17393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251091</v>
      </c>
      <c r="N41" s="22">
        <f t="shared" si="1"/>
        <v>500746</v>
      </c>
      <c r="O41" s="17">
        <f>N41/N$39</f>
        <v>0.35858883514091239</v>
      </c>
      <c r="P41" s="17" t="s">
        <v>55</v>
      </c>
      <c r="Q41" s="7"/>
      <c r="R41" s="7" t="s">
        <v>56</v>
      </c>
      <c r="S41" s="20">
        <f>N33/1000</f>
        <v>139.369</v>
      </c>
      <c r="T41" s="13">
        <f>O33</f>
        <v>9.9803428014909393E-2</v>
      </c>
    </row>
    <row r="42" spans="1:47" ht="15">
      <c r="A42" s="23" t="s">
        <v>57</v>
      </c>
      <c r="B42" s="22"/>
      <c r="C42" s="24">
        <f>C39+C23+C10</f>
        <v>367123</v>
      </c>
      <c r="D42" s="24">
        <f t="shared" ref="D42:L42" si="2">D39+D23+D10</f>
        <v>0</v>
      </c>
      <c r="E42" s="24">
        <f t="shared" si="2"/>
        <v>137</v>
      </c>
      <c r="F42" s="24">
        <f t="shared" si="2"/>
        <v>32028</v>
      </c>
      <c r="G42" s="24">
        <f t="shared" si="2"/>
        <v>17393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>M39+M23-B6+M45</f>
        <v>713396.16</v>
      </c>
      <c r="N42" s="25">
        <f>SUM(C42:M42)</f>
        <v>1130077.1600000001</v>
      </c>
      <c r="O42" s="7"/>
      <c r="P42" s="7"/>
      <c r="Q42" s="7"/>
      <c r="R42" s="7" t="s">
        <v>37</v>
      </c>
      <c r="S42" s="20">
        <f>N31/1000</f>
        <v>0.42499999999999999</v>
      </c>
      <c r="T42" s="13">
        <f>O31</f>
        <v>3.0434642500367005E-4</v>
      </c>
    </row>
    <row r="43" spans="1:47" ht="15">
      <c r="A43" s="23" t="s">
        <v>58</v>
      </c>
      <c r="B43" s="22"/>
      <c r="C43" s="17">
        <f t="shared" ref="C43:M43" si="3">C42/$N42</f>
        <v>0.32486542777309113</v>
      </c>
      <c r="D43" s="17">
        <f t="shared" si="3"/>
        <v>0</v>
      </c>
      <c r="E43" s="17">
        <f t="shared" si="3"/>
        <v>1.212306600374084E-4</v>
      </c>
      <c r="F43" s="17">
        <f t="shared" si="3"/>
        <v>2.8341427588891362E-2</v>
      </c>
      <c r="G43" s="17">
        <f t="shared" si="3"/>
        <v>1.5390984452778426E-2</v>
      </c>
      <c r="H43" s="17">
        <f t="shared" si="3"/>
        <v>0</v>
      </c>
      <c r="I43" s="17">
        <f t="shared" si="3"/>
        <v>0</v>
      </c>
      <c r="J43" s="17">
        <f t="shared" si="3"/>
        <v>0</v>
      </c>
      <c r="K43" s="17">
        <f t="shared" si="3"/>
        <v>0</v>
      </c>
      <c r="L43" s="17">
        <f t="shared" si="3"/>
        <v>0</v>
      </c>
      <c r="M43" s="17">
        <f t="shared" si="3"/>
        <v>0.63128092952520154</v>
      </c>
      <c r="N43" s="17">
        <f>SUM(C43:M43)</f>
        <v>0.99999999999999978</v>
      </c>
      <c r="O43" s="7"/>
      <c r="P43" s="7"/>
      <c r="Q43" s="7"/>
      <c r="R43" s="7" t="s">
        <v>59</v>
      </c>
      <c r="S43" s="20">
        <f>N32/1000</f>
        <v>73.484999999999999</v>
      </c>
      <c r="T43" s="14">
        <f>O32</f>
        <v>5.262328715622281E-2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561.01599999999996</v>
      </c>
      <c r="T44" s="14">
        <f>O34</f>
        <v>0.4017487387526093</v>
      </c>
    </row>
    <row r="45" spans="1:47" ht="15">
      <c r="A45" s="6" t="s">
        <v>61</v>
      </c>
      <c r="B45" s="6">
        <f>B22-B39</f>
        <v>17800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52844.160000000003</v>
      </c>
      <c r="N45" s="25">
        <f>B45+M45</f>
        <v>70644.160000000003</v>
      </c>
      <c r="O45" s="7"/>
      <c r="P45" s="7"/>
      <c r="Q45" s="7"/>
      <c r="R45" s="7" t="s">
        <v>62</v>
      </c>
      <c r="S45" s="20">
        <f>SUM(S39:S44)</f>
        <v>1396.4349999999999</v>
      </c>
      <c r="T45" s="13">
        <f>SUM(T39:T44)</f>
        <v>0.99999999999999989</v>
      </c>
    </row>
    <row r="46" spans="1:47" ht="15">
      <c r="A46" s="6" t="s">
        <v>88</v>
      </c>
      <c r="B46" s="83">
        <f>B45/B22</f>
        <v>5.2818991097922846E-2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40"/>
      <c r="B48" s="37"/>
      <c r="C48" s="40"/>
      <c r="D48" s="40"/>
      <c r="E48" s="40"/>
      <c r="F48" s="41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40"/>
      <c r="B55" s="37"/>
      <c r="C55" s="40"/>
      <c r="D55" s="40"/>
      <c r="E55" s="40"/>
      <c r="F55" s="41"/>
      <c r="G55" s="41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0"/>
      <c r="E56" s="40"/>
      <c r="F56" s="41"/>
      <c r="G56" s="41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 enableFormatConditionsCalculation="0"/>
  <dimension ref="A1:AU70"/>
  <sheetViews>
    <sheetView topLeftCell="A13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8" width="9.1640625" style="2" bestFit="1" customWidth="1"/>
    <col min="9" max="12" width="8.83203125" style="2"/>
    <col min="13" max="13" width="9.1640625" style="2" bestFit="1" customWidth="1"/>
    <col min="14" max="14" width="10.83203125" style="2" customWidth="1"/>
    <col min="15" max="15" width="9.1640625" style="2" bestFit="1" customWidth="1"/>
    <col min="16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78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55">
        <v>1019475</v>
      </c>
      <c r="C6" s="68">
        <v>0</v>
      </c>
      <c r="D6" s="68">
        <v>0</v>
      </c>
      <c r="E6" s="68">
        <v>0</v>
      </c>
      <c r="F6" s="68">
        <v>0</v>
      </c>
      <c r="G6" s="68">
        <v>0</v>
      </c>
      <c r="H6" s="6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81</v>
      </c>
      <c r="C7" s="55">
        <v>463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  <c r="I7" s="38"/>
      <c r="J7" s="38"/>
      <c r="K7" s="38"/>
      <c r="L7" s="38"/>
      <c r="M7" s="38"/>
      <c r="N7" s="38">
        <v>463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38">
        <v>0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38">
        <v>1019556</v>
      </c>
      <c r="C10" s="68">
        <f>C7</f>
        <v>463</v>
      </c>
      <c r="D10" s="68">
        <f>D7</f>
        <v>0</v>
      </c>
      <c r="E10" s="68">
        <f>E7</f>
        <v>0</v>
      </c>
      <c r="F10" s="68">
        <f>F7</f>
        <v>0</v>
      </c>
      <c r="G10" s="68">
        <v>0</v>
      </c>
      <c r="H10" s="68">
        <v>0</v>
      </c>
      <c r="I10" s="55"/>
      <c r="J10" s="38"/>
      <c r="K10" s="38"/>
      <c r="L10" s="38"/>
      <c r="M10" s="38"/>
      <c r="N10" s="54">
        <f>N7</f>
        <v>463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46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78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38">
        <v>4439683</v>
      </c>
      <c r="C17" s="68">
        <v>105342</v>
      </c>
      <c r="D17" s="68">
        <v>1870019</v>
      </c>
      <c r="E17" s="68">
        <v>0</v>
      </c>
      <c r="F17" s="68">
        <v>149273</v>
      </c>
      <c r="G17" s="68">
        <v>1577014</v>
      </c>
      <c r="H17" s="68">
        <v>0</v>
      </c>
      <c r="I17" s="68"/>
      <c r="J17" s="68"/>
      <c r="K17" s="68">
        <v>2080982</v>
      </c>
      <c r="L17" s="68"/>
      <c r="M17" s="68"/>
      <c r="N17" s="68">
        <f t="shared" ref="N17:N22" si="0">SUM(C17:M17)</f>
        <v>5782630</v>
      </c>
      <c r="O17" s="46"/>
      <c r="P17" s="3"/>
      <c r="Q17" s="3"/>
      <c r="R17" s="3"/>
      <c r="S17" s="3"/>
      <c r="T17" s="3"/>
    </row>
    <row r="18" spans="1:20" ht="15">
      <c r="A18" s="4" t="s">
        <v>23</v>
      </c>
      <c r="B18" s="38">
        <v>423844</v>
      </c>
      <c r="C18" s="38">
        <v>23777</v>
      </c>
      <c r="D18" s="38">
        <v>0</v>
      </c>
      <c r="E18" s="38">
        <v>2488</v>
      </c>
      <c r="F18" s="38">
        <v>433608</v>
      </c>
      <c r="G18" s="38">
        <v>1957</v>
      </c>
      <c r="H18" s="38">
        <v>0</v>
      </c>
      <c r="I18" s="38"/>
      <c r="J18" s="38"/>
      <c r="K18" s="38"/>
      <c r="L18" s="38"/>
      <c r="M18" s="38"/>
      <c r="N18" s="38">
        <f t="shared" si="0"/>
        <v>461830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38">
        <v>20727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68">
        <f>1.015*B19</f>
        <v>21037.904999999999</v>
      </c>
      <c r="N19" s="68">
        <f t="shared" si="0"/>
        <v>21037.904999999999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38">
        <v>1489810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68">
        <f>0.33*B20</f>
        <v>491637.30000000005</v>
      </c>
      <c r="N20" s="68">
        <f t="shared" si="0"/>
        <v>491637.30000000005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68">
        <f>1785+701301</f>
        <v>703086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68"/>
      <c r="N21" s="68">
        <f t="shared" si="0"/>
        <v>0</v>
      </c>
      <c r="O21" s="3"/>
      <c r="P21" s="3"/>
      <c r="Q21" s="3"/>
      <c r="R21" s="3"/>
      <c r="S21" s="3"/>
      <c r="T21" s="3"/>
    </row>
    <row r="22" spans="1:20" ht="15">
      <c r="A22" s="4" t="s">
        <v>95</v>
      </c>
      <c r="B22" s="53">
        <v>834795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68"/>
      <c r="N22" s="68">
        <f t="shared" si="0"/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68">
        <f>SUM(B17:B22)</f>
        <v>7911945</v>
      </c>
      <c r="C23" s="54">
        <f>C17+C18</f>
        <v>129119</v>
      </c>
      <c r="D23" s="54">
        <f>D17+D18</f>
        <v>1870019</v>
      </c>
      <c r="E23" s="54">
        <f>E17+E18</f>
        <v>2488</v>
      </c>
      <c r="F23" s="54">
        <f>F17+F18</f>
        <v>582881</v>
      </c>
      <c r="G23" s="54">
        <f>G17+G18</f>
        <v>1578971</v>
      </c>
      <c r="H23" s="38">
        <v>0</v>
      </c>
      <c r="I23" s="38"/>
      <c r="J23" s="38"/>
      <c r="K23" s="54">
        <f>K17</f>
        <v>2080982</v>
      </c>
      <c r="L23" s="38"/>
      <c r="M23" s="68">
        <f>M21+M20+M19</f>
        <v>512675.20500000007</v>
      </c>
      <c r="N23" s="68">
        <f>SUM(N17:N21)</f>
        <v>6757135.2050000001</v>
      </c>
      <c r="O23" s="3"/>
      <c r="P23" s="3"/>
      <c r="Q23" s="3"/>
      <c r="R23" s="3" t="s">
        <v>28</v>
      </c>
      <c r="S23" s="11">
        <f>N42/1000</f>
        <v>17401.929204999997</v>
      </c>
      <c r="T23" s="3"/>
    </row>
    <row r="24" spans="1:20" ht="15">
      <c r="A24" s="2" t="s">
        <v>91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A25" s="2" t="s">
        <v>92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7487.7922049999997</v>
      </c>
      <c r="T26" s="13">
        <f>M43</f>
        <v>0.43028517797030086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1632.768</v>
      </c>
      <c r="T27" s="14">
        <f>G43</f>
        <v>9.3826838436445653E-2</v>
      </c>
    </row>
    <row r="28" spans="1:20" ht="15">
      <c r="A28" s="37" t="s">
        <v>78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1032.8720000000001</v>
      </c>
      <c r="T29" s="13">
        <f>F43</f>
        <v>5.9353878977006225E-2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4.3490000000000002</v>
      </c>
      <c r="T30" s="13">
        <f>E43</f>
        <v>2.4991481971725448E-4</v>
      </c>
    </row>
    <row r="31" spans="1:20" ht="15">
      <c r="A31" s="5" t="s">
        <v>36</v>
      </c>
      <c r="B31" s="73">
        <v>0</v>
      </c>
      <c r="C31" s="38">
        <v>8985</v>
      </c>
      <c r="D31" s="38">
        <v>0</v>
      </c>
      <c r="E31" s="55">
        <v>0</v>
      </c>
      <c r="F31" s="55">
        <v>556</v>
      </c>
      <c r="G31" s="55">
        <v>0</v>
      </c>
      <c r="H31" s="55">
        <v>0</v>
      </c>
      <c r="I31" s="38"/>
      <c r="J31" s="38"/>
      <c r="K31" s="38"/>
      <c r="L31" s="38"/>
      <c r="M31" s="38">
        <v>4927</v>
      </c>
      <c r="N31" s="38">
        <f t="shared" ref="N31:N38" si="1">SUM(B31:M31)</f>
        <v>14468</v>
      </c>
      <c r="O31" s="17">
        <f>N31/N$39</f>
        <v>8.2161658002723236E-4</v>
      </c>
      <c r="P31" s="18" t="s">
        <v>37</v>
      </c>
      <c r="Q31" s="3"/>
      <c r="R31" s="3" t="s">
        <v>38</v>
      </c>
      <c r="S31" s="12">
        <f>C42/1000</f>
        <v>3293.1469999999999</v>
      </c>
      <c r="T31" s="14">
        <f>C43</f>
        <v>0.18924034003389686</v>
      </c>
    </row>
    <row r="32" spans="1:20" ht="15">
      <c r="A32" s="5" t="s">
        <v>39</v>
      </c>
      <c r="B32" s="73">
        <v>178203</v>
      </c>
      <c r="C32" s="38">
        <v>50620</v>
      </c>
      <c r="D32" s="38">
        <v>0</v>
      </c>
      <c r="E32" s="67">
        <v>1861</v>
      </c>
      <c r="F32" s="67">
        <v>420</v>
      </c>
      <c r="G32" s="55">
        <v>0</v>
      </c>
      <c r="H32" s="55">
        <v>0</v>
      </c>
      <c r="I32" s="38"/>
      <c r="J32" s="38"/>
      <c r="K32" s="38"/>
      <c r="L32" s="38"/>
      <c r="M32" s="38">
        <v>478153</v>
      </c>
      <c r="N32" s="54">
        <f t="shared" si="1"/>
        <v>709257</v>
      </c>
      <c r="O32" s="17">
        <f>N32/N$39</f>
        <v>4.0277668696459414E-2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73">
        <v>559590</v>
      </c>
      <c r="C33" s="38">
        <v>8450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8">
        <v>414173</v>
      </c>
      <c r="N33" s="38">
        <f t="shared" si="1"/>
        <v>982213</v>
      </c>
      <c r="O33" s="17">
        <f>N33/N$39</f>
        <v>5.5778441105770529E-2</v>
      </c>
      <c r="P33" s="18" t="s">
        <v>43</v>
      </c>
      <c r="Q33" s="3"/>
      <c r="R33" s="3" t="s">
        <v>8</v>
      </c>
      <c r="S33" s="12">
        <f>H42/1000</f>
        <v>0</v>
      </c>
      <c r="T33" s="13">
        <f>H43</f>
        <v>0</v>
      </c>
    </row>
    <row r="34" spans="1:47" ht="15">
      <c r="A34" s="5" t="s">
        <v>44</v>
      </c>
      <c r="B34" s="73">
        <v>0</v>
      </c>
      <c r="C34" s="38">
        <v>2901685</v>
      </c>
      <c r="D34" s="38">
        <v>0</v>
      </c>
      <c r="E34" s="38">
        <v>0</v>
      </c>
      <c r="F34" s="38">
        <v>449015</v>
      </c>
      <c r="G34" s="38">
        <v>0</v>
      </c>
      <c r="H34" s="38">
        <v>0</v>
      </c>
      <c r="I34" s="38"/>
      <c r="J34" s="38"/>
      <c r="K34" s="38"/>
      <c r="L34" s="38"/>
      <c r="M34" s="38">
        <v>553952</v>
      </c>
      <c r="N34" s="38">
        <f t="shared" si="1"/>
        <v>3904652</v>
      </c>
      <c r="O34" s="17">
        <f>N34/N$39</f>
        <v>0.22173948178300337</v>
      </c>
      <c r="P34" s="18" t="s">
        <v>45</v>
      </c>
      <c r="Q34" s="3"/>
      <c r="R34" s="3"/>
      <c r="S34" s="12">
        <f>SUM(S26:S33)</f>
        <v>13450.928205</v>
      </c>
      <c r="T34" s="13">
        <f>SUM(T26:T33)</f>
        <v>0.77295615023736697</v>
      </c>
    </row>
    <row r="35" spans="1:47" ht="15">
      <c r="A35" s="5" t="s">
        <v>46</v>
      </c>
      <c r="B35" s="73">
        <v>1354365</v>
      </c>
      <c r="C35" s="38">
        <v>165448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>
        <v>4310758</v>
      </c>
      <c r="N35" s="38">
        <f t="shared" si="1"/>
        <v>5830571</v>
      </c>
      <c r="O35" s="17">
        <f>N35/N$39</f>
        <v>0.33110960772919273</v>
      </c>
      <c r="P35" s="18" t="s">
        <v>47</v>
      </c>
      <c r="Q35" s="18"/>
    </row>
    <row r="36" spans="1:47" ht="15">
      <c r="A36" s="5" t="s">
        <v>48</v>
      </c>
      <c r="B36" s="73">
        <v>178671</v>
      </c>
      <c r="C36" s="38">
        <v>14727</v>
      </c>
      <c r="D36" s="38">
        <v>0</v>
      </c>
      <c r="E36" s="38">
        <v>0</v>
      </c>
      <c r="F36" s="38">
        <v>0</v>
      </c>
      <c r="G36" s="38">
        <v>53797</v>
      </c>
      <c r="H36" s="38">
        <v>0</v>
      </c>
      <c r="I36" s="38"/>
      <c r="J36" s="38"/>
      <c r="K36" s="38"/>
      <c r="L36" s="38"/>
      <c r="M36" s="38">
        <v>574787</v>
      </c>
      <c r="N36" s="38">
        <f t="shared" si="1"/>
        <v>821982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73">
        <v>4266745</v>
      </c>
      <c r="C37" s="38">
        <v>13649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>
        <v>1062451</v>
      </c>
      <c r="N37" s="38">
        <f t="shared" si="1"/>
        <v>5342845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73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>
        <v>3199</v>
      </c>
      <c r="N38" s="38">
        <f t="shared" si="1"/>
        <v>3199</v>
      </c>
      <c r="O38" s="18">
        <f>SUM(O31:O35)</f>
        <v>0.64972681589445325</v>
      </c>
      <c r="P38" s="18"/>
      <c r="Q38" s="3"/>
      <c r="R38" s="7" t="s">
        <v>51</v>
      </c>
      <c r="S38" s="19">
        <f>N45/1000</f>
        <v>1144.47</v>
      </c>
      <c r="T38" s="7"/>
    </row>
    <row r="39" spans="1:47" ht="15">
      <c r="A39" s="5" t="s">
        <v>18</v>
      </c>
      <c r="B39" s="73">
        <v>6537572</v>
      </c>
      <c r="C39" s="38">
        <v>3163565</v>
      </c>
      <c r="D39" s="38">
        <v>0</v>
      </c>
      <c r="E39" s="65">
        <f>E32</f>
        <v>1861</v>
      </c>
      <c r="F39" s="65">
        <f>F34+F32+F31</f>
        <v>449991</v>
      </c>
      <c r="G39" s="38">
        <v>53797</v>
      </c>
      <c r="H39" s="38">
        <v>0</v>
      </c>
      <c r="I39" s="38"/>
      <c r="J39" s="38"/>
      <c r="K39" s="38"/>
      <c r="L39" s="38"/>
      <c r="M39" s="38">
        <v>7402400</v>
      </c>
      <c r="N39" s="54">
        <f>SUM(N31:N38)</f>
        <v>17609187</v>
      </c>
      <c r="O39" s="3"/>
      <c r="P39" s="3"/>
      <c r="Q39" s="3"/>
      <c r="R39" s="7" t="s">
        <v>52</v>
      </c>
      <c r="S39" s="20">
        <f>N41/1000</f>
        <v>6168.0259999999998</v>
      </c>
      <c r="T39" s="13">
        <f>O41</f>
        <v>0.3502731841055467</v>
      </c>
    </row>
    <row r="40" spans="1:47">
      <c r="R40" s="7" t="s">
        <v>53</v>
      </c>
      <c r="S40" s="20">
        <f>N35/1000</f>
        <v>5830.5709999999999</v>
      </c>
      <c r="T40" s="14">
        <f>O35</f>
        <v>0.33110960772919273</v>
      </c>
    </row>
    <row r="41" spans="1:47" ht="15">
      <c r="A41" s="21" t="s">
        <v>54</v>
      </c>
      <c r="B41" s="22">
        <f>B35+B36+B37</f>
        <v>5799781</v>
      </c>
      <c r="C41" s="22">
        <f t="shared" ref="C41:N41" si="2">C38+C37+C36</f>
        <v>28376</v>
      </c>
      <c r="D41" s="22">
        <f t="shared" si="2"/>
        <v>0</v>
      </c>
      <c r="E41" s="22">
        <f t="shared" si="2"/>
        <v>0</v>
      </c>
      <c r="F41" s="22">
        <f t="shared" si="2"/>
        <v>0</v>
      </c>
      <c r="G41" s="22">
        <f t="shared" si="2"/>
        <v>53797</v>
      </c>
      <c r="H41" s="22">
        <f t="shared" si="2"/>
        <v>0</v>
      </c>
      <c r="I41" s="22">
        <f t="shared" si="2"/>
        <v>0</v>
      </c>
      <c r="J41" s="22">
        <f t="shared" si="2"/>
        <v>0</v>
      </c>
      <c r="K41" s="22">
        <f t="shared" si="2"/>
        <v>0</v>
      </c>
      <c r="L41" s="22">
        <f t="shared" si="2"/>
        <v>0</v>
      </c>
      <c r="M41" s="22">
        <f t="shared" si="2"/>
        <v>1640437</v>
      </c>
      <c r="N41" s="22">
        <f t="shared" si="2"/>
        <v>6168026</v>
      </c>
      <c r="O41" s="17">
        <f>N41/N$39</f>
        <v>0.3502731841055467</v>
      </c>
      <c r="P41" s="17" t="s">
        <v>55</v>
      </c>
      <c r="Q41" s="7"/>
      <c r="R41" s="7" t="s">
        <v>56</v>
      </c>
      <c r="S41" s="20">
        <f>N33/1000</f>
        <v>982.21299999999997</v>
      </c>
      <c r="T41" s="13">
        <f>O33</f>
        <v>5.5778441105770529E-2</v>
      </c>
    </row>
    <row r="42" spans="1:47" ht="15">
      <c r="A42" s="23" t="s">
        <v>57</v>
      </c>
      <c r="B42" s="22"/>
      <c r="C42" s="24">
        <f>C39+C23+C10</f>
        <v>3293147</v>
      </c>
      <c r="D42" s="24">
        <f t="shared" ref="D42:L42" si="3">D39+D23+D10</f>
        <v>1870019</v>
      </c>
      <c r="E42" s="24">
        <f t="shared" si="3"/>
        <v>4349</v>
      </c>
      <c r="F42" s="24">
        <f t="shared" si="3"/>
        <v>1032872</v>
      </c>
      <c r="G42" s="24">
        <f t="shared" si="3"/>
        <v>1632768</v>
      </c>
      <c r="H42" s="24">
        <f t="shared" si="3"/>
        <v>0</v>
      </c>
      <c r="I42" s="24">
        <f t="shared" si="3"/>
        <v>0</v>
      </c>
      <c r="J42" s="24">
        <f t="shared" si="3"/>
        <v>0</v>
      </c>
      <c r="K42" s="24">
        <f t="shared" si="3"/>
        <v>2080982</v>
      </c>
      <c r="L42" s="24">
        <f t="shared" si="3"/>
        <v>0</v>
      </c>
      <c r="M42" s="24">
        <f>M39+M23-B6+M45</f>
        <v>7487792.2050000001</v>
      </c>
      <c r="N42" s="25">
        <f>SUM(C42:M42)</f>
        <v>17401929.204999998</v>
      </c>
      <c r="O42" s="7"/>
      <c r="P42" s="7"/>
      <c r="Q42" s="7"/>
      <c r="R42" s="7" t="s">
        <v>37</v>
      </c>
      <c r="S42" s="20">
        <f>N31/1000</f>
        <v>14.468</v>
      </c>
      <c r="T42" s="13">
        <f>O31</f>
        <v>8.2161658002723236E-4</v>
      </c>
    </row>
    <row r="43" spans="1:47" ht="15">
      <c r="A43" s="23" t="s">
        <v>58</v>
      </c>
      <c r="B43" s="22"/>
      <c r="C43" s="17">
        <f t="shared" ref="C43:M43" si="4">C42/$N42</f>
        <v>0.18924034003389686</v>
      </c>
      <c r="D43" s="17">
        <f t="shared" si="4"/>
        <v>0.10746044176887572</v>
      </c>
      <c r="E43" s="17">
        <f t="shared" si="4"/>
        <v>2.4991481971725448E-4</v>
      </c>
      <c r="F43" s="17">
        <f t="shared" si="4"/>
        <v>5.9353878977006225E-2</v>
      </c>
      <c r="G43" s="17">
        <f t="shared" si="4"/>
        <v>9.3826838436445653E-2</v>
      </c>
      <c r="H43" s="17">
        <f t="shared" si="4"/>
        <v>0</v>
      </c>
      <c r="I43" s="17">
        <f t="shared" si="4"/>
        <v>0</v>
      </c>
      <c r="J43" s="17">
        <f t="shared" si="4"/>
        <v>0</v>
      </c>
      <c r="K43" s="17">
        <f t="shared" si="4"/>
        <v>0.11958340799375757</v>
      </c>
      <c r="L43" s="17">
        <f t="shared" si="4"/>
        <v>0</v>
      </c>
      <c r="M43" s="17">
        <f t="shared" si="4"/>
        <v>0.43028517797030086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709.25699999999995</v>
      </c>
      <c r="T43" s="14">
        <f>O32</f>
        <v>4.0277668696459414E-2</v>
      </c>
    </row>
    <row r="44" spans="1:47">
      <c r="A44" s="2" t="s">
        <v>90</v>
      </c>
      <c r="B44" s="9">
        <v>822095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3904.652</v>
      </c>
      <c r="T44" s="14">
        <f>O34</f>
        <v>0.22173948178300337</v>
      </c>
    </row>
    <row r="45" spans="1:47" ht="15">
      <c r="A45" s="6" t="s">
        <v>61</v>
      </c>
      <c r="B45" s="70">
        <f>B23-B39-B44</f>
        <v>552278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592192</v>
      </c>
      <c r="N45" s="25">
        <f>B45+M45</f>
        <v>1144470</v>
      </c>
      <c r="O45" s="7"/>
      <c r="P45" s="7"/>
      <c r="Q45" s="7"/>
      <c r="R45" s="7" t="s">
        <v>62</v>
      </c>
      <c r="S45" s="20">
        <f>SUM(S39:S44)</f>
        <v>17609.186999999998</v>
      </c>
      <c r="T45" s="13">
        <f>SUM(T39:T44)</f>
        <v>1</v>
      </c>
    </row>
    <row r="46" spans="1:47" ht="15">
      <c r="A46" s="6" t="s">
        <v>88</v>
      </c>
      <c r="B46" s="83">
        <f>(B45)/(B23)</f>
        <v>6.9803063595613973E-2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71"/>
      <c r="B48" s="74"/>
      <c r="C48" s="71"/>
      <c r="D48" s="71"/>
      <c r="E48" s="71"/>
      <c r="F48" s="72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 ht="15">
      <c r="B49" s="63"/>
      <c r="C49" s="75"/>
      <c r="D49" s="71"/>
      <c r="E49" s="75"/>
      <c r="F49" s="75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 ht="15">
      <c r="B50" s="63"/>
      <c r="C50" s="75"/>
      <c r="D50" s="71"/>
      <c r="E50" s="75"/>
      <c r="F50" s="75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 ht="15">
      <c r="B51" s="63"/>
      <c r="C51" s="75"/>
      <c r="D51" s="71"/>
      <c r="E51" s="75"/>
      <c r="F51" s="75"/>
      <c r="G51" s="40"/>
      <c r="H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 ht="15">
      <c r="B52" s="63"/>
      <c r="C52" s="75"/>
      <c r="D52" s="71"/>
      <c r="E52" s="75"/>
      <c r="F52" s="75"/>
      <c r="G52" s="40"/>
      <c r="H52" s="40"/>
      <c r="J52" s="40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 ht="15">
      <c r="B53" s="63"/>
      <c r="C53" s="75"/>
      <c r="D53" s="71"/>
      <c r="E53" s="75"/>
      <c r="F53" s="75"/>
      <c r="G53" s="40"/>
      <c r="H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71"/>
      <c r="B54" s="74"/>
      <c r="C54" s="71"/>
      <c r="D54" s="71"/>
      <c r="E54" s="71"/>
      <c r="F54" s="71"/>
      <c r="G54" s="40"/>
      <c r="H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71"/>
      <c r="B55" s="74"/>
      <c r="C55" s="71"/>
      <c r="D55" s="71"/>
      <c r="E55" s="71"/>
      <c r="F55" s="72"/>
      <c r="G55" s="41"/>
      <c r="H55" s="40"/>
      <c r="J55" s="4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 ht="15">
      <c r="B56" s="63"/>
      <c r="C56" s="75"/>
      <c r="D56" s="71"/>
      <c r="E56" s="71"/>
      <c r="F56" s="72"/>
      <c r="G56" s="41"/>
      <c r="H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B57" s="63"/>
      <c r="C57" s="75"/>
      <c r="D57" s="76"/>
      <c r="E57" s="76"/>
      <c r="F57" s="76"/>
      <c r="G57" s="28"/>
      <c r="H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B58" s="63"/>
      <c r="C58" s="75"/>
      <c r="D58" s="76"/>
      <c r="E58" s="76"/>
      <c r="F58" s="76"/>
      <c r="G58" s="28"/>
      <c r="H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B59" s="63"/>
      <c r="C59" s="75"/>
      <c r="D59" s="76"/>
      <c r="E59" s="76"/>
      <c r="F59" s="76"/>
      <c r="G59" s="28"/>
      <c r="H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77"/>
      <c r="D60" s="76"/>
      <c r="E60" s="76"/>
      <c r="F60" s="76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8"/>
      <c r="B61" s="78"/>
      <c r="C61" s="78"/>
      <c r="D61" s="78"/>
      <c r="E61" s="78"/>
      <c r="F61" s="78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 ht="15">
      <c r="B62" s="63"/>
      <c r="C62" s="75"/>
      <c r="D62" s="78"/>
      <c r="E62" s="78"/>
      <c r="F62" s="78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 ht="15">
      <c r="B63" s="63"/>
      <c r="C63" s="75"/>
      <c r="D63" s="79"/>
      <c r="E63" s="79"/>
      <c r="F63" s="79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B64" s="63"/>
      <c r="C64" s="75"/>
      <c r="D64" s="70"/>
      <c r="E64" s="70"/>
      <c r="F64" s="70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B65" s="63"/>
      <c r="C65" s="75"/>
      <c r="D65" s="70"/>
      <c r="E65" s="70"/>
      <c r="F65" s="70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8"/>
      <c r="B66" s="70"/>
      <c r="C66" s="70"/>
      <c r="D66" s="70"/>
      <c r="E66" s="70"/>
      <c r="F66" s="70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8"/>
      <c r="B67" s="70"/>
      <c r="C67" s="70"/>
      <c r="D67" s="70"/>
      <c r="E67" s="70"/>
      <c r="F67" s="70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 enableFormatConditionsCalculation="0"/>
  <dimension ref="A1:AU70"/>
  <sheetViews>
    <sheetView topLeftCell="A7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79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68">
        <v>509366</v>
      </c>
      <c r="C6" s="68">
        <v>0</v>
      </c>
      <c r="D6" s="68">
        <v>0</v>
      </c>
      <c r="E6" s="68">
        <v>0</v>
      </c>
      <c r="F6" s="68">
        <v>0</v>
      </c>
      <c r="G6" s="68">
        <v>0</v>
      </c>
      <c r="H6" s="68">
        <v>0</v>
      </c>
      <c r="I6" s="68"/>
      <c r="J6" s="68"/>
      <c r="K6" s="68"/>
      <c r="L6" s="68"/>
      <c r="M6" s="68"/>
      <c r="N6" s="6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0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/>
      <c r="J7" s="55"/>
      <c r="K7" s="55"/>
      <c r="L7" s="55"/>
      <c r="M7" s="55"/>
      <c r="N7" s="55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/>
      <c r="J8" s="55"/>
      <c r="K8" s="55"/>
      <c r="L8" s="55"/>
      <c r="M8" s="55"/>
      <c r="N8" s="55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38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/>
      <c r="J9" s="55"/>
      <c r="K9" s="55"/>
      <c r="L9" s="55"/>
      <c r="M9" s="55"/>
      <c r="N9" s="55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38">
        <v>509366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/>
      <c r="J10" s="68"/>
      <c r="K10" s="68"/>
      <c r="L10" s="68"/>
      <c r="M10" s="68"/>
      <c r="N10" s="6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79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80">
        <f>1012872+201000+40513</f>
        <v>1254385</v>
      </c>
      <c r="C17" s="68">
        <v>4806</v>
      </c>
      <c r="D17" s="68">
        <v>6289</v>
      </c>
      <c r="E17" s="68">
        <v>0</v>
      </c>
      <c r="F17" s="68">
        <v>0</v>
      </c>
      <c r="G17" s="68">
        <v>1942370</v>
      </c>
      <c r="H17" s="68">
        <v>0</v>
      </c>
      <c r="I17" s="68"/>
      <c r="J17" s="68"/>
      <c r="K17" s="68"/>
      <c r="L17" s="68"/>
      <c r="M17" s="68"/>
      <c r="N17" s="68">
        <f>SUM(C17:M17)</f>
        <v>1953465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68">
        <f>998356+201001+40513</f>
        <v>1239870</v>
      </c>
      <c r="C18" s="55">
        <v>33320</v>
      </c>
      <c r="E18" s="55">
        <v>0</v>
      </c>
      <c r="F18" s="55">
        <v>9618</v>
      </c>
      <c r="G18" s="55">
        <v>893634</v>
      </c>
      <c r="H18" s="55">
        <v>5027</v>
      </c>
      <c r="I18" s="55"/>
      <c r="J18" s="68">
        <v>286612</v>
      </c>
      <c r="K18" s="55"/>
      <c r="L18" s="55"/>
      <c r="M18" s="55"/>
      <c r="N18" s="38">
        <f t="shared" ref="N18:N23" si="0">SUM(C18:M18)</f>
        <v>1228211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/>
      <c r="J19" s="55"/>
      <c r="K19" s="55"/>
      <c r="L19" s="55"/>
      <c r="M19" s="55">
        <v>0</v>
      </c>
      <c r="N19" s="38">
        <f t="shared" si="0"/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/>
      <c r="J20" s="55"/>
      <c r="K20" s="55"/>
      <c r="L20" s="55"/>
      <c r="M20" s="55">
        <v>0</v>
      </c>
      <c r="N20" s="38">
        <f t="shared" si="0"/>
        <v>0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55">
        <v>2745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/>
      <c r="J21" s="55"/>
      <c r="K21" s="55"/>
      <c r="L21" s="55"/>
      <c r="M21" s="55"/>
      <c r="N21" s="38">
        <f t="shared" si="0"/>
        <v>0</v>
      </c>
      <c r="O21" s="3"/>
      <c r="P21" s="3"/>
      <c r="Q21" s="3"/>
      <c r="R21" s="3"/>
      <c r="S21" s="3"/>
      <c r="T21" s="3"/>
    </row>
    <row r="22" spans="1:20" ht="15">
      <c r="A22" s="4" t="s">
        <v>27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/>
      <c r="J22" s="55"/>
      <c r="K22" s="55"/>
      <c r="L22" s="55"/>
      <c r="M22" s="55"/>
      <c r="N22" s="38">
        <f t="shared" si="0"/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53">
        <f>SUM(B17:B22)</f>
        <v>2497000</v>
      </c>
      <c r="C23" s="55">
        <f t="shared" ref="C23:H23" si="1">C18+C17</f>
        <v>38126</v>
      </c>
      <c r="D23" s="55">
        <f>D17</f>
        <v>6289</v>
      </c>
      <c r="E23" s="55">
        <f t="shared" si="1"/>
        <v>0</v>
      </c>
      <c r="F23" s="55">
        <f t="shared" si="1"/>
        <v>9618</v>
      </c>
      <c r="G23" s="55">
        <f t="shared" si="1"/>
        <v>2836004</v>
      </c>
      <c r="H23" s="55">
        <f t="shared" si="1"/>
        <v>5027</v>
      </c>
      <c r="I23" s="55"/>
      <c r="J23" s="55">
        <f>J18</f>
        <v>286612</v>
      </c>
      <c r="K23" s="55"/>
      <c r="L23" s="55"/>
      <c r="M23" s="55"/>
      <c r="N23" s="54">
        <f t="shared" si="0"/>
        <v>3181676</v>
      </c>
      <c r="O23" s="3"/>
      <c r="P23" s="3"/>
      <c r="Q23" s="3"/>
      <c r="R23" s="3" t="s">
        <v>28</v>
      </c>
      <c r="S23" s="11">
        <f>N42/1000</f>
        <v>4992.4560799999999</v>
      </c>
      <c r="T23" s="3"/>
    </row>
    <row r="24" spans="1:20" ht="15"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B25" s="9"/>
      <c r="C25" s="56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815.76807999999994</v>
      </c>
      <c r="T26" s="13">
        <f>M43</f>
        <v>0.1634001515342324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2880.6170000000002</v>
      </c>
      <c r="T27" s="14">
        <f>G43</f>
        <v>0.5769939592538188</v>
      </c>
    </row>
    <row r="28" spans="1:20" ht="15">
      <c r="A28" s="37" t="s">
        <v>79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286.61200000000002</v>
      </c>
      <c r="T28" s="13">
        <f>J43</f>
        <v>5.7409017807523707E-2</v>
      </c>
    </row>
    <row r="29" spans="1:20" ht="15">
      <c r="B29" s="70" t="s">
        <v>32</v>
      </c>
      <c r="C29" s="70" t="s">
        <v>3</v>
      </c>
      <c r="D29" s="70" t="s">
        <v>4</v>
      </c>
      <c r="E29" s="70" t="s">
        <v>5</v>
      </c>
      <c r="F29" s="70" t="s">
        <v>33</v>
      </c>
      <c r="G29" s="70" t="s">
        <v>7</v>
      </c>
      <c r="H29" s="70" t="s">
        <v>8</v>
      </c>
      <c r="I29" s="70" t="s">
        <v>6</v>
      </c>
      <c r="J29" s="70" t="s">
        <v>9</v>
      </c>
      <c r="K29" s="70" t="s">
        <v>10</v>
      </c>
      <c r="L29" s="70" t="s">
        <v>11</v>
      </c>
      <c r="M29" s="70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92.093000000000004</v>
      </c>
      <c r="T29" s="13">
        <f>F43</f>
        <v>1.844643168097735E-2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23.501000000000001</v>
      </c>
      <c r="T30" s="13">
        <f>E43</f>
        <v>4.7073023023970198E-3</v>
      </c>
    </row>
    <row r="31" spans="1:20" ht="15">
      <c r="A31" s="5" t="s">
        <v>36</v>
      </c>
      <c r="B31" s="55">
        <v>0</v>
      </c>
      <c r="C31" s="55">
        <v>6007</v>
      </c>
      <c r="D31" s="55">
        <v>0</v>
      </c>
      <c r="E31" s="55">
        <v>0</v>
      </c>
      <c r="F31" s="55">
        <v>526</v>
      </c>
      <c r="G31" s="55">
        <v>0</v>
      </c>
      <c r="H31" s="55">
        <v>0</v>
      </c>
      <c r="I31" s="55"/>
      <c r="J31" s="55"/>
      <c r="K31" s="55"/>
      <c r="L31" s="55"/>
      <c r="M31" s="55">
        <v>13660</v>
      </c>
      <c r="N31" s="38">
        <v>20192</v>
      </c>
      <c r="O31" s="17">
        <f>N31/N$39</f>
        <v>6.8012958570434438E-3</v>
      </c>
      <c r="P31" s="18" t="s">
        <v>37</v>
      </c>
      <c r="Q31" s="3"/>
      <c r="R31" s="3" t="s">
        <v>38</v>
      </c>
      <c r="S31" s="12">
        <f>C42/1000</f>
        <v>882.54899999999998</v>
      </c>
      <c r="T31" s="14">
        <f>C43</f>
        <v>0.17677651758130239</v>
      </c>
    </row>
    <row r="32" spans="1:20" ht="15">
      <c r="A32" s="5" t="s">
        <v>39</v>
      </c>
      <c r="B32" s="55">
        <v>232718</v>
      </c>
      <c r="C32" s="55">
        <v>59950</v>
      </c>
      <c r="D32" s="67">
        <v>0</v>
      </c>
      <c r="E32" s="67">
        <v>23501</v>
      </c>
      <c r="F32" s="55">
        <v>321</v>
      </c>
      <c r="G32" s="67">
        <v>19168</v>
      </c>
      <c r="H32" s="55">
        <v>0</v>
      </c>
      <c r="I32" s="55"/>
      <c r="J32" s="55"/>
      <c r="K32" s="55"/>
      <c r="L32" s="55"/>
      <c r="M32" s="55">
        <v>466871</v>
      </c>
      <c r="N32" s="54">
        <v>802529</v>
      </c>
      <c r="O32" s="17">
        <f>N32/N$39</f>
        <v>0.27031681670251673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55">
        <v>81591</v>
      </c>
      <c r="C33" s="55">
        <v>4077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/>
      <c r="J33" s="55"/>
      <c r="K33" s="55"/>
      <c r="L33" s="55"/>
      <c r="M33" s="55">
        <v>56967</v>
      </c>
      <c r="N33" s="38">
        <v>142635</v>
      </c>
      <c r="O33" s="17">
        <f>N33/N$39</f>
        <v>4.8043920095552278E-2</v>
      </c>
      <c r="P33" s="18" t="s">
        <v>43</v>
      </c>
      <c r="Q33" s="3"/>
      <c r="R33" s="3" t="s">
        <v>8</v>
      </c>
      <c r="S33" s="12">
        <f>H42/1000</f>
        <v>5.0270000000000001</v>
      </c>
      <c r="T33" s="13">
        <f>H43</f>
        <v>1.0069192236138811E-3</v>
      </c>
    </row>
    <row r="34" spans="1:47" ht="15">
      <c r="A34" s="5" t="s">
        <v>44</v>
      </c>
      <c r="B34" s="38">
        <v>0</v>
      </c>
      <c r="C34" s="38">
        <v>760366</v>
      </c>
      <c r="D34" s="38">
        <v>0</v>
      </c>
      <c r="E34" s="38">
        <v>0</v>
      </c>
      <c r="F34" s="38">
        <v>81628</v>
      </c>
      <c r="G34" s="38">
        <v>0</v>
      </c>
      <c r="H34" s="38">
        <v>0</v>
      </c>
      <c r="I34" s="38"/>
      <c r="J34" s="38"/>
      <c r="K34" s="38"/>
      <c r="L34" s="38"/>
      <c r="M34" s="38">
        <v>104633</v>
      </c>
      <c r="N34" s="38">
        <v>946627</v>
      </c>
      <c r="O34" s="17">
        <f>N34/N$39</f>
        <v>0.31885352086298852</v>
      </c>
      <c r="P34" s="18" t="s">
        <v>45</v>
      </c>
      <c r="Q34" s="3"/>
      <c r="R34" s="3"/>
      <c r="S34" s="12">
        <f>SUM(S26:S33)</f>
        <v>4986.1670800000002</v>
      </c>
      <c r="T34" s="13">
        <f>SUM(T26:T33)</f>
        <v>0.99874029938386555</v>
      </c>
    </row>
    <row r="35" spans="1:47" ht="15">
      <c r="A35" s="5" t="s">
        <v>46</v>
      </c>
      <c r="B35" s="38">
        <v>81409</v>
      </c>
      <c r="C35" s="38">
        <v>11456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>
        <v>335689</v>
      </c>
      <c r="N35" s="38">
        <v>428554</v>
      </c>
      <c r="O35" s="17">
        <f>N35/N$39</f>
        <v>0.14435036374402713</v>
      </c>
      <c r="P35" s="18" t="s">
        <v>47</v>
      </c>
      <c r="Q35" s="18"/>
    </row>
    <row r="36" spans="1:47" ht="15">
      <c r="A36" s="5" t="s">
        <v>48</v>
      </c>
      <c r="B36" s="38">
        <v>14751</v>
      </c>
      <c r="C36" s="38">
        <v>2397</v>
      </c>
      <c r="D36" s="38">
        <v>0</v>
      </c>
      <c r="E36" s="38">
        <v>0</v>
      </c>
      <c r="F36" s="38">
        <v>0</v>
      </c>
      <c r="G36" s="38">
        <v>25445</v>
      </c>
      <c r="H36" s="38">
        <v>0</v>
      </c>
      <c r="I36" s="38"/>
      <c r="J36" s="38"/>
      <c r="K36" s="38"/>
      <c r="L36" s="38"/>
      <c r="M36" s="38">
        <v>166809</v>
      </c>
      <c r="N36" s="38">
        <v>209402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38">
        <v>336389</v>
      </c>
      <c r="C37" s="38">
        <v>170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>
        <v>61263</v>
      </c>
      <c r="N37" s="38">
        <v>397822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>
        <v>21085</v>
      </c>
      <c r="N38" s="38">
        <v>21085</v>
      </c>
      <c r="O38" s="18">
        <f>SUM(O31:O35)</f>
        <v>0.78836591726212801</v>
      </c>
      <c r="P38" s="18"/>
      <c r="Q38" s="3"/>
      <c r="R38" s="7" t="s">
        <v>51</v>
      </c>
      <c r="S38" s="19">
        <f>N45/1000</f>
        <v>228.30008000000001</v>
      </c>
      <c r="T38" s="7"/>
    </row>
    <row r="39" spans="1:47" ht="15">
      <c r="A39" s="5" t="s">
        <v>18</v>
      </c>
      <c r="B39" s="38">
        <v>746858</v>
      </c>
      <c r="C39" s="38">
        <v>844423</v>
      </c>
      <c r="D39" s="65">
        <f>D32</f>
        <v>0</v>
      </c>
      <c r="E39" s="65">
        <f>E32</f>
        <v>23501</v>
      </c>
      <c r="F39" s="38">
        <v>82475</v>
      </c>
      <c r="G39" s="65">
        <f>G36+G32</f>
        <v>44613</v>
      </c>
      <c r="H39" s="38">
        <v>0</v>
      </c>
      <c r="I39" s="38"/>
      <c r="J39" s="38"/>
      <c r="K39" s="38"/>
      <c r="L39" s="38"/>
      <c r="M39" s="38">
        <v>1226976</v>
      </c>
      <c r="N39" s="54">
        <f>SUM(N31:N38)</f>
        <v>2968846</v>
      </c>
      <c r="O39" s="3"/>
      <c r="P39" s="3"/>
      <c r="Q39" s="3"/>
      <c r="R39" s="7" t="s">
        <v>52</v>
      </c>
      <c r="S39" s="20">
        <f>N41/1000</f>
        <v>628.30899999999997</v>
      </c>
      <c r="T39" s="13">
        <f>O41</f>
        <v>0.21163408273787188</v>
      </c>
    </row>
    <row r="40" spans="1:47">
      <c r="R40" s="7" t="s">
        <v>53</v>
      </c>
      <c r="S40" s="20">
        <f>N35/1000</f>
        <v>428.55399999999997</v>
      </c>
      <c r="T40" s="14">
        <f>O35</f>
        <v>0.14435036374402713</v>
      </c>
    </row>
    <row r="41" spans="1:47" ht="15">
      <c r="A41" s="21" t="s">
        <v>54</v>
      </c>
      <c r="B41" s="22">
        <f>B38+B37+B36</f>
        <v>351140</v>
      </c>
      <c r="C41" s="22">
        <f t="shared" ref="C41:N41" si="2">C38+C37+C36</f>
        <v>2567</v>
      </c>
      <c r="D41" s="22">
        <f t="shared" si="2"/>
        <v>0</v>
      </c>
      <c r="E41" s="22">
        <f t="shared" si="2"/>
        <v>0</v>
      </c>
      <c r="F41" s="22">
        <f t="shared" si="2"/>
        <v>0</v>
      </c>
      <c r="G41" s="22">
        <f t="shared" si="2"/>
        <v>25445</v>
      </c>
      <c r="H41" s="22">
        <f t="shared" si="2"/>
        <v>0</v>
      </c>
      <c r="I41" s="22">
        <f t="shared" si="2"/>
        <v>0</v>
      </c>
      <c r="J41" s="22">
        <f t="shared" si="2"/>
        <v>0</v>
      </c>
      <c r="K41" s="22">
        <f t="shared" si="2"/>
        <v>0</v>
      </c>
      <c r="L41" s="22">
        <f t="shared" si="2"/>
        <v>0</v>
      </c>
      <c r="M41" s="22">
        <f t="shared" si="2"/>
        <v>249157</v>
      </c>
      <c r="N41" s="22">
        <f t="shared" si="2"/>
        <v>628309</v>
      </c>
      <c r="O41" s="17">
        <f>N41/N$39</f>
        <v>0.21163408273787188</v>
      </c>
      <c r="P41" s="17" t="s">
        <v>55</v>
      </c>
      <c r="Q41" s="7"/>
      <c r="R41" s="7" t="s">
        <v>56</v>
      </c>
      <c r="S41" s="20">
        <f>N33/1000</f>
        <v>142.63499999999999</v>
      </c>
      <c r="T41" s="13">
        <f>O33</f>
        <v>4.8043920095552278E-2</v>
      </c>
    </row>
    <row r="42" spans="1:47" ht="15">
      <c r="A42" s="23" t="s">
        <v>57</v>
      </c>
      <c r="B42" s="22"/>
      <c r="C42" s="24">
        <f>C39+C23+C10</f>
        <v>882549</v>
      </c>
      <c r="D42" s="24">
        <f t="shared" ref="D42:L42" si="3">D39+D23+D10</f>
        <v>6289</v>
      </c>
      <c r="E42" s="24">
        <f t="shared" si="3"/>
        <v>23501</v>
      </c>
      <c r="F42" s="24">
        <f t="shared" si="3"/>
        <v>92093</v>
      </c>
      <c r="G42" s="24">
        <f t="shared" si="3"/>
        <v>2880617</v>
      </c>
      <c r="H42" s="24">
        <f t="shared" si="3"/>
        <v>5027</v>
      </c>
      <c r="I42" s="24">
        <f t="shared" si="3"/>
        <v>0</v>
      </c>
      <c r="J42" s="24">
        <f t="shared" si="3"/>
        <v>286612</v>
      </c>
      <c r="K42" s="24">
        <f t="shared" si="3"/>
        <v>0</v>
      </c>
      <c r="L42" s="24">
        <f t="shared" si="3"/>
        <v>0</v>
      </c>
      <c r="M42" s="24">
        <f>M39+M23-B6+M45</f>
        <v>815768.08</v>
      </c>
      <c r="N42" s="25">
        <f>SUM(C42:M42)</f>
        <v>4992456.08</v>
      </c>
      <c r="O42" s="7"/>
      <c r="P42" s="7"/>
      <c r="Q42" s="7"/>
      <c r="R42" s="7" t="s">
        <v>37</v>
      </c>
      <c r="S42" s="20">
        <f>N31/1000</f>
        <v>20.192</v>
      </c>
      <c r="T42" s="13">
        <f>O31</f>
        <v>6.8012958570434438E-3</v>
      </c>
    </row>
    <row r="43" spans="1:47" ht="15">
      <c r="A43" s="23" t="s">
        <v>58</v>
      </c>
      <c r="B43" s="22"/>
      <c r="C43" s="17">
        <f t="shared" ref="C43:M43" si="4">C42/$N42</f>
        <v>0.17677651758130239</v>
      </c>
      <c r="D43" s="17">
        <f t="shared" si="4"/>
        <v>1.2597006161344138E-3</v>
      </c>
      <c r="E43" s="17">
        <f t="shared" si="4"/>
        <v>4.7073023023970198E-3</v>
      </c>
      <c r="F43" s="17">
        <f t="shared" si="4"/>
        <v>1.844643168097735E-2</v>
      </c>
      <c r="G43" s="17">
        <f t="shared" si="4"/>
        <v>0.5769939592538188</v>
      </c>
      <c r="H43" s="17">
        <f t="shared" si="4"/>
        <v>1.0069192236138811E-3</v>
      </c>
      <c r="I43" s="17">
        <f t="shared" si="4"/>
        <v>0</v>
      </c>
      <c r="J43" s="17">
        <f t="shared" si="4"/>
        <v>5.7409017807523707E-2</v>
      </c>
      <c r="K43" s="17">
        <f t="shared" si="4"/>
        <v>0</v>
      </c>
      <c r="L43" s="17">
        <f t="shared" si="4"/>
        <v>0</v>
      </c>
      <c r="M43" s="17">
        <f t="shared" si="4"/>
        <v>0.1634001515342324</v>
      </c>
      <c r="N43" s="17">
        <f>SUM(C43:M43)</f>
        <v>0.99999999999999989</v>
      </c>
      <c r="O43" s="7"/>
      <c r="P43" s="7"/>
      <c r="Q43" s="7"/>
      <c r="R43" s="7" t="s">
        <v>59</v>
      </c>
      <c r="S43" s="20">
        <f>N32/1000</f>
        <v>802.529</v>
      </c>
      <c r="T43" s="14">
        <f>O32</f>
        <v>0.27031681670251673</v>
      </c>
    </row>
    <row r="44" spans="1:47">
      <c r="A44" s="6" t="s">
        <v>90</v>
      </c>
      <c r="B44" s="70">
        <v>1620000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946.62699999999995</v>
      </c>
      <c r="T44" s="14">
        <f>O34</f>
        <v>0.31885352086298852</v>
      </c>
    </row>
    <row r="45" spans="1:47" ht="15">
      <c r="A45" s="6" t="s">
        <v>61</v>
      </c>
      <c r="B45" s="6">
        <f>B23-B39-B44</f>
        <v>130142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98158.080000000002</v>
      </c>
      <c r="N45" s="25">
        <f>B45+M45</f>
        <v>228300.08000000002</v>
      </c>
      <c r="O45" s="7"/>
      <c r="P45" s="7"/>
      <c r="Q45" s="7"/>
      <c r="R45" s="7" t="s">
        <v>62</v>
      </c>
      <c r="S45" s="20">
        <f>SUM(S39:S44)</f>
        <v>2968.8459999999995</v>
      </c>
      <c r="T45" s="13">
        <f>SUM(T39:T44)</f>
        <v>1</v>
      </c>
    </row>
    <row r="46" spans="1:47" ht="15">
      <c r="A46" s="6" t="s">
        <v>88</v>
      </c>
      <c r="B46" s="42">
        <f>B45/B23</f>
        <v>5.2119343211854227E-2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/>
      <c r="B47" s="37"/>
      <c r="C47" s="40"/>
      <c r="D47" s="40"/>
      <c r="E47" s="40"/>
      <c r="F47" s="40"/>
      <c r="G47" s="40"/>
      <c r="H47" s="38"/>
      <c r="I47" s="40"/>
      <c r="J47" s="40"/>
      <c r="K47" s="40"/>
      <c r="L47" s="40"/>
      <c r="M47" s="40"/>
      <c r="N47" s="40"/>
      <c r="O47" s="40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71"/>
      <c r="B48" s="74"/>
      <c r="C48" s="71"/>
      <c r="D48" s="71"/>
      <c r="E48" s="72"/>
      <c r="F48" s="41"/>
      <c r="G48" s="40"/>
      <c r="H48" s="41"/>
      <c r="I48" s="40"/>
      <c r="J48" s="40"/>
      <c r="K48" s="40"/>
      <c r="L48" s="40"/>
      <c r="M48" s="40"/>
      <c r="N48" s="40"/>
      <c r="O48" s="40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>
      <c r="A49" s="71"/>
      <c r="B49" s="74"/>
      <c r="C49" s="71"/>
      <c r="D49" s="71"/>
      <c r="E49" s="71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>
      <c r="A50" s="71"/>
      <c r="B50" s="74"/>
      <c r="C50" s="71"/>
      <c r="D50" s="71"/>
      <c r="E50" s="71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71"/>
      <c r="B51" s="74"/>
      <c r="C51" s="71"/>
      <c r="D51" s="71"/>
      <c r="E51" s="71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71"/>
      <c r="B52" s="74"/>
      <c r="C52" s="71"/>
      <c r="D52" s="71"/>
      <c r="E52" s="71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71"/>
      <c r="B53" s="74"/>
      <c r="C53" s="71"/>
      <c r="D53" s="71"/>
      <c r="E53" s="71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71"/>
      <c r="B54" s="74"/>
      <c r="C54" s="71"/>
      <c r="D54" s="71"/>
      <c r="E54" s="71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71"/>
      <c r="B55" s="74"/>
      <c r="C55" s="71"/>
      <c r="D55" s="71"/>
      <c r="E55" s="72"/>
      <c r="F55" s="41"/>
      <c r="G55" s="40"/>
      <c r="H55" s="41"/>
      <c r="I55" s="40"/>
      <c r="J55" s="4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0"/>
      <c r="E56" s="41"/>
      <c r="F56" s="41"/>
      <c r="G56" s="40"/>
      <c r="H56" s="41"/>
      <c r="I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 enableFormatConditionsCalculation="0"/>
  <dimension ref="A1:AU70"/>
  <sheetViews>
    <sheetView topLeftCell="A10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63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4" t="s">
        <v>63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>
        <v>0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60">
        <v>57486</v>
      </c>
      <c r="C18" s="8">
        <v>318</v>
      </c>
      <c r="D18" s="8">
        <v>0</v>
      </c>
      <c r="E18" s="8">
        <v>0</v>
      </c>
      <c r="F18" s="8">
        <v>2824</v>
      </c>
      <c r="G18" s="8">
        <v>54400</v>
      </c>
      <c r="H18" s="8">
        <v>0</v>
      </c>
      <c r="I18" s="8"/>
      <c r="J18" s="8"/>
      <c r="K18" s="8"/>
      <c r="L18" s="8"/>
      <c r="M18" s="8"/>
      <c r="N18" s="8">
        <v>57542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61">
        <v>0</v>
      </c>
      <c r="N19" s="8"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8">
        <v>15576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62">
        <f>0.33*B20</f>
        <v>5140.08</v>
      </c>
      <c r="N20" s="60">
        <f>M20</f>
        <v>5140.08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>
        <v>0</v>
      </c>
      <c r="O21" s="3"/>
      <c r="P21" s="3"/>
      <c r="Q21" s="3"/>
      <c r="R21" s="3"/>
      <c r="S21" s="3"/>
      <c r="T21" s="3"/>
    </row>
    <row r="22" spans="1:20" ht="15">
      <c r="A22" s="4" t="s">
        <v>95</v>
      </c>
      <c r="B22" s="60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8">
        <v>73062</v>
      </c>
      <c r="C23" s="8">
        <v>318</v>
      </c>
      <c r="D23" s="8">
        <v>0</v>
      </c>
      <c r="E23" s="8">
        <v>0</v>
      </c>
      <c r="F23" s="8">
        <v>2824</v>
      </c>
      <c r="G23" s="8">
        <v>54400</v>
      </c>
      <c r="H23" s="8">
        <v>0</v>
      </c>
      <c r="I23" s="8"/>
      <c r="J23" s="8"/>
      <c r="K23" s="8"/>
      <c r="L23" s="8"/>
      <c r="M23" s="60">
        <f>M20</f>
        <v>5140.08</v>
      </c>
      <c r="N23" s="60">
        <f>N18+N20</f>
        <v>62682.080000000002</v>
      </c>
      <c r="O23" s="3"/>
      <c r="P23" s="3"/>
      <c r="Q23" s="3"/>
      <c r="R23" s="3" t="s">
        <v>28</v>
      </c>
      <c r="S23" s="11">
        <f>N42/1000</f>
        <v>548.24732000000006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268.23131999999998</v>
      </c>
      <c r="T26" s="13">
        <f>M43</f>
        <v>0.48925240528307551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73.757000000000005</v>
      </c>
      <c r="T27" s="14">
        <f>G43</f>
        <v>0.13453234937837907</v>
      </c>
    </row>
    <row r="28" spans="1:20" ht="15">
      <c r="A28" s="4" t="s">
        <v>63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23.106000000000002</v>
      </c>
      <c r="T29" s="13">
        <f>F43</f>
        <v>4.2145212857584054E-2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0</v>
      </c>
      <c r="T30" s="13">
        <f>E43</f>
        <v>0</v>
      </c>
    </row>
    <row r="31" spans="1:20" ht="15">
      <c r="A31" s="5" t="s">
        <v>36</v>
      </c>
      <c r="B31" s="15">
        <v>0</v>
      </c>
      <c r="C31" s="15">
        <v>4652</v>
      </c>
      <c r="D31" s="15">
        <v>0</v>
      </c>
      <c r="E31" s="15">
        <v>0</v>
      </c>
      <c r="F31" s="15">
        <v>445</v>
      </c>
      <c r="G31" s="15">
        <v>0</v>
      </c>
      <c r="H31" s="15">
        <v>0</v>
      </c>
      <c r="I31" s="15"/>
      <c r="J31" s="15"/>
      <c r="K31" s="15"/>
      <c r="L31" s="8"/>
      <c r="M31" s="15">
        <v>7230</v>
      </c>
      <c r="N31" s="15">
        <v>12326</v>
      </c>
      <c r="O31" s="17">
        <f>N31/N$39</f>
        <v>2.3864666227165054E-2</v>
      </c>
      <c r="P31" s="18" t="s">
        <v>37</v>
      </c>
      <c r="Q31" s="3"/>
      <c r="R31" s="3" t="s">
        <v>38</v>
      </c>
      <c r="S31" s="12">
        <f>C42/1000</f>
        <v>183.15299999999999</v>
      </c>
      <c r="T31" s="14">
        <f>C43</f>
        <v>0.33407003248096129</v>
      </c>
    </row>
    <row r="32" spans="1:20" ht="15">
      <c r="A32" s="5" t="s">
        <v>39</v>
      </c>
      <c r="B32" s="59">
        <v>2019</v>
      </c>
      <c r="C32" s="15">
        <v>2461</v>
      </c>
      <c r="D32" s="15">
        <v>0</v>
      </c>
      <c r="E32" s="15">
        <v>0</v>
      </c>
      <c r="F32" s="15">
        <v>105</v>
      </c>
      <c r="G32" s="15">
        <v>0</v>
      </c>
      <c r="H32" s="15">
        <v>0</v>
      </c>
      <c r="I32" s="15"/>
      <c r="J32" s="15"/>
      <c r="K32" s="15"/>
      <c r="L32" s="8"/>
      <c r="M32" s="15">
        <v>22166</v>
      </c>
      <c r="N32" s="59">
        <f>SUM(B32:M32)</f>
        <v>26751</v>
      </c>
      <c r="O32" s="17">
        <f>N32/N$39</f>
        <v>5.1793257037391884E-2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59">
        <v>12853.805249074201</v>
      </c>
      <c r="C33" s="15">
        <v>4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/>
      <c r="J33" s="15"/>
      <c r="K33" s="15"/>
      <c r="L33" s="8"/>
      <c r="M33" s="15">
        <v>24573</v>
      </c>
      <c r="N33" s="59">
        <f>SUM(B33:M33)</f>
        <v>37430.805249074197</v>
      </c>
      <c r="O33" s="17">
        <f>N33/N$39</f>
        <v>7.247068585779437E-2</v>
      </c>
      <c r="P33" s="18" t="s">
        <v>43</v>
      </c>
      <c r="Q33" s="3"/>
      <c r="R33" s="3" t="s">
        <v>8</v>
      </c>
      <c r="S33" s="12">
        <f>H42/1000</f>
        <v>0</v>
      </c>
      <c r="T33" s="13">
        <f>H43</f>
        <v>0</v>
      </c>
    </row>
    <row r="34" spans="1:47" ht="15">
      <c r="A34" s="5" t="s">
        <v>44</v>
      </c>
      <c r="B34" s="59">
        <v>0</v>
      </c>
      <c r="C34" s="15">
        <v>173061</v>
      </c>
      <c r="D34" s="15">
        <v>0</v>
      </c>
      <c r="E34" s="15">
        <v>0</v>
      </c>
      <c r="F34" s="15">
        <v>19732</v>
      </c>
      <c r="G34" s="15">
        <v>0</v>
      </c>
      <c r="H34" s="15">
        <v>0</v>
      </c>
      <c r="I34" s="15"/>
      <c r="J34" s="15"/>
      <c r="K34" s="15"/>
      <c r="L34" s="8"/>
      <c r="M34" s="15">
        <v>3055</v>
      </c>
      <c r="N34" s="63">
        <v>195848</v>
      </c>
      <c r="O34" s="17">
        <f>N34/N$39</f>
        <v>0.37918604180251675</v>
      </c>
      <c r="P34" s="18" t="s">
        <v>45</v>
      </c>
      <c r="Q34" s="3"/>
      <c r="R34" s="3"/>
      <c r="S34" s="12">
        <f>SUM(S26:S33)</f>
        <v>548.24731999999995</v>
      </c>
      <c r="T34" s="13">
        <f>SUM(T26:T33)</f>
        <v>1</v>
      </c>
    </row>
    <row r="35" spans="1:47" ht="15">
      <c r="A35" s="5" t="s">
        <v>46</v>
      </c>
      <c r="B35" s="59">
        <v>6212</v>
      </c>
      <c r="C35" s="15">
        <v>1774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/>
      <c r="J35" s="15"/>
      <c r="K35" s="15"/>
      <c r="L35" s="8"/>
      <c r="M35" s="15">
        <v>47483</v>
      </c>
      <c r="N35" s="59">
        <f>SUM(B35:M35)</f>
        <v>55469</v>
      </c>
      <c r="O35" s="17">
        <f>N35/N$39</f>
        <v>0.10739487027053532</v>
      </c>
      <c r="P35" s="18" t="s">
        <v>47</v>
      </c>
      <c r="Q35" s="18"/>
    </row>
    <row r="36" spans="1:47" ht="15">
      <c r="A36" s="5" t="s">
        <v>48</v>
      </c>
      <c r="B36" s="59">
        <v>4449</v>
      </c>
      <c r="C36" s="15">
        <v>853</v>
      </c>
      <c r="D36" s="15">
        <v>0</v>
      </c>
      <c r="E36" s="15">
        <v>0</v>
      </c>
      <c r="F36" s="15">
        <v>0</v>
      </c>
      <c r="G36" s="15">
        <v>19357</v>
      </c>
      <c r="H36" s="15">
        <v>0</v>
      </c>
      <c r="I36" s="15"/>
      <c r="J36" s="15"/>
      <c r="K36" s="15"/>
      <c r="L36" s="8"/>
      <c r="M36" s="15">
        <v>122645</v>
      </c>
      <c r="N36" s="59">
        <f>SUM(B36:M36)</f>
        <v>147304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59">
        <v>24885</v>
      </c>
      <c r="C37" s="15">
        <v>31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/>
      <c r="J37" s="15"/>
      <c r="K37" s="15"/>
      <c r="L37" s="8"/>
      <c r="M37" s="15">
        <v>8082</v>
      </c>
      <c r="N37" s="59">
        <f>SUM(B37:M37)</f>
        <v>32998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59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/>
      <c r="J38" s="15"/>
      <c r="K38" s="15"/>
      <c r="L38" s="8"/>
      <c r="M38" s="15">
        <v>8369</v>
      </c>
      <c r="N38" s="63">
        <v>8369</v>
      </c>
      <c r="O38" s="18">
        <f>SUM(O31:O35)</f>
        <v>0.63470952119540336</v>
      </c>
      <c r="P38" s="18"/>
      <c r="Q38" s="3"/>
      <c r="R38" s="7" t="s">
        <v>51</v>
      </c>
      <c r="S38" s="19">
        <f>N45/1000</f>
        <v>42.131434750925806</v>
      </c>
      <c r="T38" s="7"/>
    </row>
    <row r="39" spans="1:47" ht="15">
      <c r="A39" s="5" t="s">
        <v>18</v>
      </c>
      <c r="B39" s="59">
        <f>SUM(B31:B38)</f>
        <v>50418.805249074197</v>
      </c>
      <c r="C39" s="15">
        <v>182835</v>
      </c>
      <c r="D39" s="15">
        <v>0</v>
      </c>
      <c r="E39" s="15">
        <v>0</v>
      </c>
      <c r="F39" s="15">
        <f>F34+F32+F31</f>
        <v>20282</v>
      </c>
      <c r="G39" s="15">
        <v>19357</v>
      </c>
      <c r="H39" s="15">
        <v>0</v>
      </c>
      <c r="I39" s="15"/>
      <c r="J39" s="15"/>
      <c r="K39" s="15"/>
      <c r="L39" s="8"/>
      <c r="M39" s="15">
        <v>243603</v>
      </c>
      <c r="N39" s="59">
        <f>SUM(N31:N38)</f>
        <v>516495.80524907418</v>
      </c>
      <c r="O39" s="3"/>
      <c r="P39" s="3"/>
      <c r="Q39" s="3"/>
      <c r="R39" s="7" t="s">
        <v>52</v>
      </c>
      <c r="S39" s="20">
        <f>N41/1000</f>
        <v>188.67099999999999</v>
      </c>
      <c r="T39" s="13">
        <f>O41</f>
        <v>0.36529047880459664</v>
      </c>
    </row>
    <row r="40" spans="1:47">
      <c r="R40" s="7" t="s">
        <v>53</v>
      </c>
      <c r="S40" s="20">
        <f>N35/1000</f>
        <v>55.469000000000001</v>
      </c>
      <c r="T40" s="14">
        <f>O35</f>
        <v>0.10739487027053532</v>
      </c>
    </row>
    <row r="41" spans="1:47" ht="15">
      <c r="A41" s="21" t="s">
        <v>54</v>
      </c>
      <c r="B41" s="22">
        <f>B38+B37+B36</f>
        <v>29334</v>
      </c>
      <c r="C41" s="22">
        <f t="shared" ref="C41:N41" si="0">C38+C37+C36</f>
        <v>884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19357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139096</v>
      </c>
      <c r="N41" s="22">
        <f t="shared" si="0"/>
        <v>188671</v>
      </c>
      <c r="O41" s="17">
        <f>N41/N$39</f>
        <v>0.36529047880459664</v>
      </c>
      <c r="P41" s="17" t="s">
        <v>55</v>
      </c>
      <c r="Q41" s="7"/>
      <c r="R41" s="7" t="s">
        <v>56</v>
      </c>
      <c r="S41" s="20">
        <f>N33/1000</f>
        <v>37.430805249074197</v>
      </c>
      <c r="T41" s="13">
        <f>O33</f>
        <v>7.247068585779437E-2</v>
      </c>
    </row>
    <row r="42" spans="1:47" ht="15">
      <c r="A42" s="23" t="s">
        <v>57</v>
      </c>
      <c r="B42" s="22"/>
      <c r="C42" s="24">
        <f>C39+C23+C10</f>
        <v>183153</v>
      </c>
      <c r="D42" s="24">
        <f t="shared" ref="D42:L42" si="1">D39+D23+D10</f>
        <v>0</v>
      </c>
      <c r="E42" s="24">
        <f t="shared" si="1"/>
        <v>0</v>
      </c>
      <c r="F42" s="24">
        <f t="shared" si="1"/>
        <v>23106</v>
      </c>
      <c r="G42" s="24">
        <f t="shared" si="1"/>
        <v>73757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268231.32</v>
      </c>
      <c r="N42" s="25">
        <f>SUM(C42:M42)</f>
        <v>548247.32000000007</v>
      </c>
      <c r="O42" s="7"/>
      <c r="P42" s="7"/>
      <c r="Q42" s="7"/>
      <c r="R42" s="7" t="s">
        <v>37</v>
      </c>
      <c r="S42" s="20">
        <f>N31/1000</f>
        <v>12.326000000000001</v>
      </c>
      <c r="T42" s="13">
        <f>O31</f>
        <v>2.3864666227165054E-2</v>
      </c>
    </row>
    <row r="43" spans="1:47" ht="15">
      <c r="A43" s="23" t="s">
        <v>58</v>
      </c>
      <c r="B43" s="22"/>
      <c r="C43" s="17">
        <f t="shared" ref="C43:M43" si="2">C42/$N42</f>
        <v>0.33407003248096129</v>
      </c>
      <c r="D43" s="17">
        <f t="shared" si="2"/>
        <v>0</v>
      </c>
      <c r="E43" s="17">
        <f t="shared" si="2"/>
        <v>0</v>
      </c>
      <c r="F43" s="17">
        <f t="shared" si="2"/>
        <v>4.2145212857584054E-2</v>
      </c>
      <c r="G43" s="17">
        <f t="shared" si="2"/>
        <v>0.13453234937837907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0.48925240528307551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26.751000000000001</v>
      </c>
      <c r="T43" s="14">
        <f>O32</f>
        <v>5.1793257037391884E-2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195.84800000000001</v>
      </c>
      <c r="T44" s="14">
        <f>O34</f>
        <v>0.37918604180251675</v>
      </c>
    </row>
    <row r="45" spans="1:47" ht="15">
      <c r="A45" s="6" t="s">
        <v>61</v>
      </c>
      <c r="B45" s="6">
        <f>B23-B39</f>
        <v>22643.194750925803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19488.240000000002</v>
      </c>
      <c r="N45" s="25">
        <f>B45+M45</f>
        <v>42131.434750925808</v>
      </c>
      <c r="O45" s="7"/>
      <c r="P45" s="7"/>
      <c r="Q45" s="7"/>
      <c r="R45" s="7" t="s">
        <v>62</v>
      </c>
      <c r="S45" s="20">
        <f>SUM(S39:S44)</f>
        <v>516.49580524907424</v>
      </c>
      <c r="T45" s="13">
        <f>SUM(T39:T44)</f>
        <v>1</v>
      </c>
    </row>
    <row r="46" spans="1:47" ht="15">
      <c r="A46" s="6" t="s">
        <v>88</v>
      </c>
      <c r="B46" s="83">
        <f>B45/B23</f>
        <v>0.30991753238243963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 ht="15">
      <c r="A47" s="4"/>
      <c r="B47" s="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27"/>
      <c r="N47" s="15"/>
      <c r="O47" s="15"/>
      <c r="P47" s="27"/>
      <c r="Q47" s="4"/>
      <c r="R47" s="4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7"/>
      <c r="AG47" s="4"/>
      <c r="AH47" s="4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</row>
    <row r="48" spans="1:47" ht="15">
      <c r="A48" s="27"/>
      <c r="B48" s="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27"/>
      <c r="N48" s="15"/>
      <c r="O48" s="15"/>
      <c r="P48" s="27"/>
      <c r="Q48" s="27"/>
      <c r="R48" s="4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27"/>
      <c r="AG48" s="27"/>
      <c r="AH48" s="4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</row>
    <row r="49" spans="1:47" ht="15">
      <c r="A49" s="27"/>
      <c r="B49" s="4"/>
      <c r="C49" s="15"/>
      <c r="D49" s="15"/>
      <c r="E49" s="15"/>
      <c r="F49" s="4"/>
      <c r="G49" s="4"/>
      <c r="H49" s="48"/>
      <c r="I49" s="15"/>
      <c r="J49" s="15"/>
      <c r="K49" s="15"/>
      <c r="L49" s="15"/>
      <c r="M49" s="27"/>
      <c r="N49" s="15"/>
      <c r="O49" s="15"/>
      <c r="P49" s="27"/>
      <c r="Q49" s="27"/>
      <c r="R49" s="4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7"/>
      <c r="AG49" s="27"/>
      <c r="AH49" s="4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</row>
    <row r="50" spans="1:47" ht="15">
      <c r="A50" s="27"/>
      <c r="B50" s="4"/>
      <c r="C50" s="15"/>
      <c r="D50" s="15"/>
      <c r="E50" s="15"/>
      <c r="F50" s="27"/>
      <c r="G50" s="4"/>
      <c r="H50" s="48"/>
      <c r="I50" s="15"/>
      <c r="J50" s="15"/>
      <c r="K50" s="15"/>
      <c r="L50" s="15"/>
      <c r="M50" s="27"/>
      <c r="N50" s="15"/>
      <c r="O50" s="15"/>
      <c r="P50" s="27"/>
      <c r="Q50" s="27"/>
      <c r="R50" s="4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27"/>
      <c r="AG50" s="27"/>
      <c r="AH50" s="4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</row>
    <row r="51" spans="1:47" ht="15">
      <c r="A51" s="27"/>
      <c r="B51" s="4"/>
      <c r="C51" s="15"/>
      <c r="D51" s="15"/>
      <c r="E51" s="15"/>
      <c r="F51" s="27"/>
      <c r="G51" s="4"/>
      <c r="H51" s="48"/>
      <c r="I51" s="15"/>
      <c r="J51" s="15"/>
      <c r="K51" s="15"/>
      <c r="L51" s="15"/>
      <c r="M51" s="27"/>
      <c r="N51" s="15"/>
      <c r="O51" s="15"/>
      <c r="P51" s="27"/>
      <c r="Q51" s="27"/>
      <c r="R51" s="4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7"/>
      <c r="AG51" s="27"/>
      <c r="AH51" s="4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</row>
    <row r="52" spans="1:47" ht="15">
      <c r="A52" s="27"/>
      <c r="B52" s="4"/>
      <c r="C52" s="15"/>
      <c r="D52" s="15"/>
      <c r="E52" s="57"/>
      <c r="F52" s="27"/>
      <c r="G52" s="4"/>
      <c r="H52" s="48"/>
      <c r="I52" s="15"/>
      <c r="J52" s="15"/>
      <c r="K52" s="15"/>
      <c r="L52" s="15"/>
      <c r="M52" s="27"/>
      <c r="N52" s="15"/>
      <c r="O52" s="15"/>
      <c r="P52" s="27"/>
      <c r="Q52" s="27"/>
      <c r="R52" s="4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27"/>
      <c r="AG52" s="27"/>
      <c r="AH52" s="4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</row>
    <row r="53" spans="1:47" ht="15">
      <c r="A53" s="27"/>
      <c r="B53" s="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27"/>
      <c r="N53" s="15"/>
      <c r="O53" s="15"/>
      <c r="P53" s="27"/>
      <c r="Q53" s="27"/>
      <c r="R53" s="4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7"/>
      <c r="AG53" s="27"/>
      <c r="AH53" s="4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</row>
    <row r="54" spans="1:47" ht="15">
      <c r="A54" s="27"/>
      <c r="B54" s="4"/>
      <c r="C54" s="15"/>
      <c r="D54" s="15"/>
      <c r="E54" s="57"/>
      <c r="F54" s="15"/>
      <c r="G54" s="15"/>
      <c r="H54" s="15"/>
      <c r="I54" s="15"/>
      <c r="J54" s="15"/>
      <c r="K54" s="15"/>
      <c r="L54" s="15"/>
      <c r="M54" s="27"/>
      <c r="N54" s="15"/>
      <c r="O54" s="15"/>
      <c r="P54" s="27"/>
      <c r="Q54" s="27"/>
      <c r="R54" s="4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27"/>
      <c r="AG54" s="27"/>
      <c r="AH54" s="4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</row>
    <row r="55" spans="1:47" ht="15">
      <c r="A55" s="27"/>
      <c r="B55" s="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27"/>
      <c r="N55" s="15"/>
      <c r="O55" s="15"/>
      <c r="P55" s="27"/>
      <c r="Q55" s="27"/>
      <c r="R55" s="4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7"/>
      <c r="AG55" s="27"/>
      <c r="AH55" s="4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</row>
    <row r="56" spans="1:47" ht="15">
      <c r="A56" s="27"/>
      <c r="B56" s="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27"/>
      <c r="N56" s="15"/>
      <c r="O56" s="15"/>
      <c r="P56" s="27"/>
      <c r="Q56" s="27"/>
      <c r="R56" s="4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27"/>
      <c r="AG56" s="27"/>
      <c r="AH56" s="4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 enableFormatConditionsCalculation="0"/>
  <dimension ref="A1:AU70"/>
  <sheetViews>
    <sheetView topLeftCell="A11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80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38">
        <v>0</v>
      </c>
      <c r="C6" s="6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38">
        <v>0</v>
      </c>
      <c r="C10" s="6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54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53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80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>
        <v>0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38">
        <v>26862</v>
      </c>
      <c r="C18" s="38">
        <v>0</v>
      </c>
      <c r="D18" s="38">
        <v>0</v>
      </c>
      <c r="E18" s="38">
        <v>0</v>
      </c>
      <c r="F18" s="38">
        <v>5209</v>
      </c>
      <c r="G18" s="38">
        <v>22809</v>
      </c>
      <c r="H18" s="38">
        <v>0</v>
      </c>
      <c r="I18" s="38"/>
      <c r="J18" s="38"/>
      <c r="K18" s="38"/>
      <c r="L18" s="38"/>
      <c r="M18" s="38"/>
      <c r="N18" s="38">
        <v>28019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55">
        <v>0</v>
      </c>
      <c r="N19" s="38"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55">
        <v>0</v>
      </c>
      <c r="N20" s="38">
        <v>0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38"/>
      <c r="N21" s="38">
        <v>0</v>
      </c>
      <c r="O21" s="3"/>
      <c r="P21" s="3"/>
      <c r="Q21" s="3"/>
      <c r="R21" s="3"/>
      <c r="S21" s="3"/>
      <c r="T21" s="3"/>
    </row>
    <row r="22" spans="1:20" ht="15">
      <c r="A22" s="4" t="s">
        <v>95</v>
      </c>
      <c r="B22" s="53">
        <v>240000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38"/>
      <c r="N22" s="38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68">
        <f>B22+B18</f>
        <v>266862</v>
      </c>
      <c r="C23" s="38">
        <v>0</v>
      </c>
      <c r="D23" s="38">
        <v>0</v>
      </c>
      <c r="E23" s="38">
        <v>0</v>
      </c>
      <c r="F23" s="38">
        <v>5209</v>
      </c>
      <c r="G23" s="38">
        <v>22809</v>
      </c>
      <c r="H23" s="38">
        <v>0</v>
      </c>
      <c r="I23" s="38"/>
      <c r="J23" s="38"/>
      <c r="K23" s="38"/>
      <c r="L23" s="38"/>
      <c r="M23" s="38"/>
      <c r="N23" s="38">
        <v>28019</v>
      </c>
      <c r="O23" s="3"/>
      <c r="P23" s="3"/>
      <c r="Q23" s="3"/>
      <c r="R23" s="3" t="s">
        <v>28</v>
      </c>
      <c r="S23" s="11">
        <f>N42/1000</f>
        <v>1524.31772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785.97971999999993</v>
      </c>
      <c r="T26" s="13">
        <f>M43</f>
        <v>0.51562722763598123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55.438000000000002</v>
      </c>
      <c r="T27" s="14">
        <f>G43</f>
        <v>3.6369058282678758E-2</v>
      </c>
    </row>
    <row r="28" spans="1:20" ht="15">
      <c r="A28" s="37" t="s">
        <v>80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65.432000000000002</v>
      </c>
      <c r="T29" s="13">
        <f>F43</f>
        <v>4.292543420672168E-2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0.03</v>
      </c>
      <c r="T30" s="13">
        <f>E43</f>
        <v>1.9680936333929124E-5</v>
      </c>
    </row>
    <row r="31" spans="1:20" ht="15">
      <c r="A31" s="5" t="s">
        <v>36</v>
      </c>
      <c r="B31" s="38">
        <v>0</v>
      </c>
      <c r="C31" s="38">
        <v>222</v>
      </c>
      <c r="D31" s="38">
        <v>0</v>
      </c>
      <c r="E31" s="38">
        <v>0</v>
      </c>
      <c r="F31" s="38">
        <v>13</v>
      </c>
      <c r="G31" s="38">
        <v>0</v>
      </c>
      <c r="H31" s="38">
        <v>0</v>
      </c>
      <c r="I31" s="38"/>
      <c r="J31" s="38"/>
      <c r="K31" s="38"/>
      <c r="L31" s="38"/>
      <c r="M31" s="38">
        <v>13</v>
      </c>
      <c r="N31" s="38">
        <v>248</v>
      </c>
      <c r="O31" s="17">
        <f>N31/N$39</f>
        <v>1.4662938653930407E-4</v>
      </c>
      <c r="P31" s="18" t="s">
        <v>37</v>
      </c>
      <c r="Q31" s="3"/>
      <c r="R31" s="3" t="s">
        <v>38</v>
      </c>
      <c r="S31" s="12">
        <f>C42/1000</f>
        <v>617.43799999999999</v>
      </c>
      <c r="T31" s="14">
        <f>C43</f>
        <v>0.40505859893828433</v>
      </c>
    </row>
    <row r="32" spans="1:20" ht="15">
      <c r="A32" s="5" t="s">
        <v>39</v>
      </c>
      <c r="B32" s="38">
        <v>7941</v>
      </c>
      <c r="C32" s="67">
        <f>1200</f>
        <v>1200</v>
      </c>
      <c r="D32" s="38">
        <v>0</v>
      </c>
      <c r="E32" s="67">
        <v>30</v>
      </c>
      <c r="F32" s="38">
        <v>126</v>
      </c>
      <c r="G32" s="67">
        <f>N32-F32-E32-C32-B32-M32</f>
        <v>1529</v>
      </c>
      <c r="H32" s="38">
        <v>0</v>
      </c>
      <c r="I32" s="38"/>
      <c r="J32" s="38"/>
      <c r="K32" s="38"/>
      <c r="L32" s="38"/>
      <c r="M32" s="38">
        <v>21639</v>
      </c>
      <c r="N32" s="38">
        <v>32465</v>
      </c>
      <c r="O32" s="17">
        <f>N32/N$39</f>
        <v>1.9194850943542365E-2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38">
        <v>25331</v>
      </c>
      <c r="C33" s="38">
        <v>617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8">
        <v>99416</v>
      </c>
      <c r="N33" s="38">
        <v>125364</v>
      </c>
      <c r="O33" s="17">
        <f>N33/N$39</f>
        <v>7.4121154895618199E-2</v>
      </c>
      <c r="P33" s="18" t="s">
        <v>43</v>
      </c>
      <c r="Q33" s="3"/>
      <c r="R33" s="3" t="s">
        <v>8</v>
      </c>
      <c r="S33" s="12">
        <f>H42/1000</f>
        <v>0</v>
      </c>
      <c r="T33" s="13">
        <f>H43</f>
        <v>0</v>
      </c>
    </row>
    <row r="34" spans="1:47" ht="15">
      <c r="A34" s="5" t="s">
        <v>44</v>
      </c>
      <c r="B34" s="38">
        <v>0</v>
      </c>
      <c r="C34" s="38">
        <v>498395</v>
      </c>
      <c r="D34" s="38">
        <v>0</v>
      </c>
      <c r="E34" s="38">
        <v>0</v>
      </c>
      <c r="F34" s="38">
        <v>60084</v>
      </c>
      <c r="G34" s="38">
        <v>0</v>
      </c>
      <c r="H34" s="38">
        <v>0</v>
      </c>
      <c r="I34" s="38"/>
      <c r="J34" s="38"/>
      <c r="K34" s="38"/>
      <c r="L34" s="38"/>
      <c r="M34" s="38">
        <v>2324</v>
      </c>
      <c r="N34" s="38">
        <v>560803</v>
      </c>
      <c r="O34" s="17">
        <f>N34/N$39</f>
        <v>0.33157338652984408</v>
      </c>
      <c r="P34" s="18" t="s">
        <v>45</v>
      </c>
      <c r="Q34" s="3"/>
      <c r="R34" s="3"/>
      <c r="S34" s="12">
        <f>SUM(S26:S33)</f>
        <v>1524.31772</v>
      </c>
      <c r="T34" s="13">
        <f>SUM(T26:T33)</f>
        <v>1</v>
      </c>
    </row>
    <row r="35" spans="1:47" ht="15">
      <c r="A35" s="5" t="s">
        <v>46</v>
      </c>
      <c r="B35" s="38">
        <v>52434</v>
      </c>
      <c r="C35" s="38">
        <v>112782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>
        <v>244125</v>
      </c>
      <c r="N35" s="38">
        <v>409341</v>
      </c>
      <c r="O35" s="17">
        <f>N35/N$39</f>
        <v>0.24202185369106963</v>
      </c>
      <c r="P35" s="18" t="s">
        <v>47</v>
      </c>
      <c r="Q35" s="18"/>
    </row>
    <row r="36" spans="1:47" ht="15">
      <c r="A36" s="5" t="s">
        <v>48</v>
      </c>
      <c r="B36" s="38">
        <v>1237</v>
      </c>
      <c r="C36" s="67">
        <f>N36-B36-M36-G36</f>
        <v>3025</v>
      </c>
      <c r="D36" s="38">
        <v>0</v>
      </c>
      <c r="E36" s="38">
        <v>0</v>
      </c>
      <c r="F36" s="38">
        <v>0</v>
      </c>
      <c r="G36" s="67">
        <v>31100</v>
      </c>
      <c r="H36" s="38">
        <v>0</v>
      </c>
      <c r="I36" s="38"/>
      <c r="J36" s="38"/>
      <c r="K36" s="38"/>
      <c r="L36" s="38"/>
      <c r="M36" s="38">
        <v>291456</v>
      </c>
      <c r="N36" s="38">
        <v>326818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38">
        <v>166317</v>
      </c>
      <c r="C37" s="38">
        <v>1197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>
        <v>58240</v>
      </c>
      <c r="N37" s="38">
        <v>225754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>
        <v>10546</v>
      </c>
      <c r="N38" s="38">
        <v>10546</v>
      </c>
      <c r="O38" s="18">
        <f>SUM(O31:O35)</f>
        <v>0.66705787544661355</v>
      </c>
      <c r="P38" s="18"/>
      <c r="Q38" s="3"/>
      <c r="R38" s="7" t="s">
        <v>51</v>
      </c>
      <c r="S38" s="19">
        <f>N45/1000</f>
        <v>71.822720000000004</v>
      </c>
      <c r="T38" s="7"/>
    </row>
    <row r="39" spans="1:47" ht="15">
      <c r="A39" s="5" t="s">
        <v>18</v>
      </c>
      <c r="B39" s="38">
        <v>253260</v>
      </c>
      <c r="C39" s="39">
        <f>C32+C31+C33+C34+C35+C36+C37</f>
        <v>617438</v>
      </c>
      <c r="D39" s="38">
        <v>0</v>
      </c>
      <c r="E39" s="67">
        <f>E32</f>
        <v>30</v>
      </c>
      <c r="F39" s="38">
        <f>F34+F32+F31</f>
        <v>60223</v>
      </c>
      <c r="G39" s="67">
        <f>G32+G36</f>
        <v>32629</v>
      </c>
      <c r="H39" s="38">
        <v>0</v>
      </c>
      <c r="I39" s="38"/>
      <c r="J39" s="38"/>
      <c r="K39" s="38"/>
      <c r="L39" s="38"/>
      <c r="M39" s="38">
        <v>727759</v>
      </c>
      <c r="N39" s="38">
        <f>SUM(N31:N38)</f>
        <v>1691339</v>
      </c>
      <c r="O39" s="3"/>
      <c r="P39" s="3"/>
      <c r="Q39" s="3"/>
      <c r="R39" s="7" t="s">
        <v>52</v>
      </c>
      <c r="S39" s="20">
        <f>N41/1000</f>
        <v>563.11800000000005</v>
      </c>
      <c r="T39" s="13">
        <f>O41</f>
        <v>0.3329421245533864</v>
      </c>
    </row>
    <row r="40" spans="1:47">
      <c r="R40" s="7" t="s">
        <v>53</v>
      </c>
      <c r="S40" s="20">
        <f>N35/1000</f>
        <v>409.34100000000001</v>
      </c>
      <c r="T40" s="14">
        <f>O35</f>
        <v>0.24202185369106963</v>
      </c>
    </row>
    <row r="41" spans="1:47" ht="15">
      <c r="A41" s="21" t="s">
        <v>54</v>
      </c>
      <c r="B41" s="22">
        <f>B38+B37+B36</f>
        <v>167554</v>
      </c>
      <c r="C41" s="22">
        <f t="shared" ref="C41:N41" si="0">C38+C37+C36</f>
        <v>4222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31100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360242</v>
      </c>
      <c r="N41" s="22">
        <f t="shared" si="0"/>
        <v>563118</v>
      </c>
      <c r="O41" s="17">
        <f>N41/N$39</f>
        <v>0.3329421245533864</v>
      </c>
      <c r="P41" s="17" t="s">
        <v>55</v>
      </c>
      <c r="Q41" s="7"/>
      <c r="R41" s="7" t="s">
        <v>56</v>
      </c>
      <c r="S41" s="20">
        <f>N33/1000</f>
        <v>125.364</v>
      </c>
      <c r="T41" s="13">
        <f>O33</f>
        <v>7.4121154895618199E-2</v>
      </c>
    </row>
    <row r="42" spans="1:47" ht="15">
      <c r="A42" s="23" t="s">
        <v>57</v>
      </c>
      <c r="B42" s="22"/>
      <c r="C42" s="24">
        <f>C39+C23+C10</f>
        <v>617438</v>
      </c>
      <c r="D42" s="24">
        <f t="shared" ref="D42:L42" si="1">D39+D23+D10</f>
        <v>0</v>
      </c>
      <c r="E42" s="24">
        <f t="shared" si="1"/>
        <v>30</v>
      </c>
      <c r="F42" s="24">
        <f t="shared" si="1"/>
        <v>65432</v>
      </c>
      <c r="G42" s="24">
        <f t="shared" si="1"/>
        <v>55438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785979.72</v>
      </c>
      <c r="N42" s="25">
        <f>SUM(C42:M42)</f>
        <v>1524317.72</v>
      </c>
      <c r="O42" s="7"/>
      <c r="P42" s="7"/>
      <c r="Q42" s="7"/>
      <c r="R42" s="7" t="s">
        <v>37</v>
      </c>
      <c r="S42" s="20">
        <f>N31/1000</f>
        <v>0.248</v>
      </c>
      <c r="T42" s="13">
        <f>O31</f>
        <v>1.4662938653930407E-4</v>
      </c>
    </row>
    <row r="43" spans="1:47" ht="15">
      <c r="A43" s="23" t="s">
        <v>58</v>
      </c>
      <c r="B43" s="22"/>
      <c r="C43" s="17">
        <f t="shared" ref="C43:M43" si="2">C42/$N42</f>
        <v>0.40505859893828433</v>
      </c>
      <c r="D43" s="17">
        <f t="shared" si="2"/>
        <v>0</v>
      </c>
      <c r="E43" s="17">
        <f t="shared" si="2"/>
        <v>1.9680936333929124E-5</v>
      </c>
      <c r="F43" s="17">
        <f t="shared" si="2"/>
        <v>4.292543420672168E-2</v>
      </c>
      <c r="G43" s="17">
        <f t="shared" si="2"/>
        <v>3.6369058282678758E-2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0.51562722763598123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32.465000000000003</v>
      </c>
      <c r="T43" s="14">
        <f>O32</f>
        <v>1.9194850943542365E-2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560.803</v>
      </c>
      <c r="T44" s="14">
        <f>O34</f>
        <v>0.33157338652984408</v>
      </c>
    </row>
    <row r="45" spans="1:47" ht="15">
      <c r="A45" s="6" t="s">
        <v>61</v>
      </c>
      <c r="B45" s="6">
        <f>B23-B39</f>
        <v>13602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58220.72</v>
      </c>
      <c r="N45" s="25">
        <f>B45+M45</f>
        <v>71822.720000000001</v>
      </c>
      <c r="O45" s="7"/>
      <c r="P45" s="7"/>
      <c r="Q45" s="7"/>
      <c r="R45" s="7" t="s">
        <v>62</v>
      </c>
      <c r="S45" s="20">
        <f>SUM(S39:S44)</f>
        <v>1691.3389999999999</v>
      </c>
      <c r="T45" s="13">
        <f>SUM(T39:T44)</f>
        <v>1</v>
      </c>
    </row>
    <row r="46" spans="1:47" ht="15">
      <c r="A46" s="38" t="s">
        <v>88</v>
      </c>
      <c r="B46" s="82">
        <f>B45/(B23)</f>
        <v>5.0970164354610249E-2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40"/>
      <c r="B48" s="37"/>
      <c r="C48" s="40"/>
      <c r="D48" s="41"/>
      <c r="E48" s="40"/>
      <c r="F48" s="41"/>
      <c r="G48" s="40"/>
      <c r="H48" s="41"/>
      <c r="I48" s="40"/>
      <c r="J48" s="40"/>
      <c r="K48" s="40"/>
      <c r="L48" s="40"/>
      <c r="M48" s="40"/>
      <c r="N48" s="40"/>
      <c r="O48" s="40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40"/>
      <c r="B52" s="37"/>
      <c r="C52" s="40"/>
      <c r="D52" s="41"/>
      <c r="E52" s="40"/>
      <c r="F52" s="40"/>
      <c r="G52" s="40"/>
      <c r="H52" s="41"/>
      <c r="I52" s="40"/>
      <c r="J52" s="40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40"/>
      <c r="B55" s="37"/>
      <c r="C55" s="40"/>
      <c r="D55" s="41"/>
      <c r="E55" s="40"/>
      <c r="F55" s="41"/>
      <c r="G55" s="40"/>
      <c r="H55" s="41"/>
      <c r="I55" s="40"/>
      <c r="J55" s="4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1"/>
      <c r="E56" s="40"/>
      <c r="F56" s="41"/>
      <c r="G56" s="40"/>
      <c r="H56" s="41"/>
      <c r="I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 enableFormatConditionsCalculation="0"/>
  <dimension ref="A1:AU70"/>
  <sheetViews>
    <sheetView topLeftCell="A10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81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81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>
        <v>0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68">
        <v>19204</v>
      </c>
      <c r="C18" s="68">
        <v>1134</v>
      </c>
      <c r="D18" s="55">
        <v>0</v>
      </c>
      <c r="E18" s="55">
        <v>0</v>
      </c>
      <c r="F18" s="68">
        <v>22230</v>
      </c>
      <c r="G18" s="55">
        <v>0</v>
      </c>
      <c r="H18" s="55">
        <v>0</v>
      </c>
      <c r="I18" s="55"/>
      <c r="J18" s="55"/>
      <c r="K18" s="55"/>
      <c r="L18" s="55"/>
      <c r="M18" s="55"/>
      <c r="N18" s="68">
        <f>F18+C18</f>
        <v>23364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38">
        <v>0</v>
      </c>
      <c r="C19" s="38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/>
      <c r="J19" s="55"/>
      <c r="K19" s="55"/>
      <c r="L19" s="55"/>
      <c r="M19" s="55">
        <v>0</v>
      </c>
      <c r="N19" s="38"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68">
        <v>0</v>
      </c>
      <c r="C20" s="38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/>
      <c r="J20" s="55"/>
      <c r="K20" s="55"/>
      <c r="L20" s="55"/>
      <c r="M20" s="55">
        <f>0.33*B20</f>
        <v>0</v>
      </c>
      <c r="N20" s="38">
        <v>0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38">
        <v>0</v>
      </c>
      <c r="C21" s="38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/>
      <c r="J21" s="55"/>
      <c r="K21" s="55"/>
      <c r="L21" s="55"/>
      <c r="M21" s="55"/>
      <c r="N21" s="38">
        <v>0</v>
      </c>
      <c r="O21" s="3"/>
      <c r="P21" s="3"/>
      <c r="Q21" s="3"/>
      <c r="R21" s="3"/>
      <c r="S21" s="3"/>
      <c r="T21" s="3"/>
    </row>
    <row r="22" spans="1:20" ht="15">
      <c r="A22" s="4" t="s">
        <v>95</v>
      </c>
      <c r="B22" s="53">
        <v>287000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38"/>
      <c r="N22" s="38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68">
        <f>B22+B18</f>
        <v>306204</v>
      </c>
      <c r="C23" s="68">
        <f>C18</f>
        <v>1134</v>
      </c>
      <c r="D23" s="38">
        <v>0</v>
      </c>
      <c r="E23" s="38">
        <v>0</v>
      </c>
      <c r="F23" s="68">
        <f>F18</f>
        <v>22230</v>
      </c>
      <c r="G23" s="38">
        <v>0</v>
      </c>
      <c r="H23" s="38">
        <v>0</v>
      </c>
      <c r="I23" s="38"/>
      <c r="J23" s="38"/>
      <c r="K23" s="38"/>
      <c r="L23" s="38"/>
      <c r="M23" s="38"/>
      <c r="N23" s="54">
        <f>N18</f>
        <v>23364</v>
      </c>
      <c r="O23" s="3"/>
      <c r="P23" s="3"/>
      <c r="Q23" s="3"/>
      <c r="R23" s="3" t="s">
        <v>28</v>
      </c>
      <c r="S23" s="11">
        <f>N42/1000</f>
        <v>603.7421599999999</v>
      </c>
      <c r="T23" s="3"/>
    </row>
    <row r="24" spans="1:20" ht="15">
      <c r="B24" s="53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415.88315999999998</v>
      </c>
      <c r="T26" s="13">
        <f>M43</f>
        <v>0.68884233627149716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1.9690000000000001</v>
      </c>
      <c r="T27" s="14">
        <f>G43</f>
        <v>3.2613259938646662E-3</v>
      </c>
    </row>
    <row r="28" spans="1:20" ht="15">
      <c r="A28" s="37" t="s">
        <v>81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56.758000000000003</v>
      </c>
      <c r="T29" s="13">
        <f>F43</f>
        <v>9.4010330502676848E-2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0</v>
      </c>
      <c r="T30" s="13">
        <f>E43</f>
        <v>0</v>
      </c>
    </row>
    <row r="31" spans="1:20" ht="15">
      <c r="A31" s="5" t="s">
        <v>36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/>
      <c r="J31" s="38"/>
      <c r="K31" s="38"/>
      <c r="L31" s="38"/>
      <c r="M31" s="38">
        <v>0</v>
      </c>
      <c r="N31" s="38">
        <v>0</v>
      </c>
      <c r="O31" s="17">
        <f>N31/N$39</f>
        <v>0</v>
      </c>
      <c r="P31" s="18" t="s">
        <v>37</v>
      </c>
      <c r="Q31" s="3"/>
      <c r="R31" s="3" t="s">
        <v>38</v>
      </c>
      <c r="S31" s="12">
        <f>C42/1000</f>
        <v>129.13200000000001</v>
      </c>
      <c r="T31" s="14">
        <f>C43</f>
        <v>0.21388600723196144</v>
      </c>
    </row>
    <row r="32" spans="1:20" ht="15">
      <c r="A32" s="5" t="s">
        <v>39</v>
      </c>
      <c r="B32" s="38">
        <v>988</v>
      </c>
      <c r="C32" s="38">
        <v>480</v>
      </c>
      <c r="D32" s="38">
        <v>0</v>
      </c>
      <c r="E32" s="38">
        <v>0</v>
      </c>
      <c r="F32" s="38">
        <v>43</v>
      </c>
      <c r="G32" s="38">
        <v>0</v>
      </c>
      <c r="H32" s="38">
        <v>0</v>
      </c>
      <c r="I32" s="38"/>
      <c r="J32" s="38"/>
      <c r="K32" s="38"/>
      <c r="L32" s="38"/>
      <c r="M32" s="38">
        <v>5876</v>
      </c>
      <c r="N32" s="38">
        <v>7387</v>
      </c>
      <c r="O32" s="17">
        <f>N32/N$39</f>
        <v>8.7782363433482318E-3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38">
        <v>17289</v>
      </c>
      <c r="C33" s="38">
        <v>36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8">
        <v>16397</v>
      </c>
      <c r="N33" s="38">
        <v>33722</v>
      </c>
      <c r="O33" s="17">
        <f>N33/N$39</f>
        <v>4.0073058883225807E-2</v>
      </c>
      <c r="P33" s="18" t="s">
        <v>43</v>
      </c>
      <c r="Q33" s="3"/>
      <c r="R33" s="3" t="s">
        <v>8</v>
      </c>
      <c r="S33" s="12">
        <f>H42/1000</f>
        <v>0</v>
      </c>
      <c r="T33" s="13">
        <f>H43</f>
        <v>0</v>
      </c>
    </row>
    <row r="34" spans="1:47" ht="15">
      <c r="A34" s="5" t="s">
        <v>44</v>
      </c>
      <c r="B34" s="38">
        <v>0</v>
      </c>
      <c r="C34" s="38">
        <v>124782</v>
      </c>
      <c r="D34" s="38">
        <v>0</v>
      </c>
      <c r="E34" s="38">
        <v>0</v>
      </c>
      <c r="F34" s="38">
        <v>34485</v>
      </c>
      <c r="G34" s="38">
        <v>0</v>
      </c>
      <c r="H34" s="38">
        <v>0</v>
      </c>
      <c r="I34" s="38"/>
      <c r="J34" s="38"/>
      <c r="K34" s="38"/>
      <c r="L34" s="38"/>
      <c r="M34" s="38">
        <v>2796</v>
      </c>
      <c r="N34" s="38">
        <v>162062</v>
      </c>
      <c r="O34" s="17">
        <f>N34/N$39</f>
        <v>0.19258407178498727</v>
      </c>
      <c r="P34" s="18" t="s">
        <v>45</v>
      </c>
      <c r="Q34" s="3"/>
      <c r="R34" s="3"/>
      <c r="S34" s="12">
        <f>SUM(S26:S33)</f>
        <v>603.74216000000001</v>
      </c>
      <c r="T34" s="13">
        <f>SUM(T26:T33)</f>
        <v>1</v>
      </c>
    </row>
    <row r="35" spans="1:47" ht="15">
      <c r="A35" s="5" t="s">
        <v>46</v>
      </c>
      <c r="B35" s="38">
        <v>45720</v>
      </c>
      <c r="C35" s="38">
        <v>2411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>
        <v>302865</v>
      </c>
      <c r="N35" s="38">
        <v>350997</v>
      </c>
      <c r="O35" s="17">
        <f>N35/N$39</f>
        <v>0.41710229075486654</v>
      </c>
      <c r="P35" s="18" t="s">
        <v>47</v>
      </c>
      <c r="Q35" s="18"/>
    </row>
    <row r="36" spans="1:47" ht="15">
      <c r="A36" s="5" t="s">
        <v>48</v>
      </c>
      <c r="B36" s="38">
        <v>2562</v>
      </c>
      <c r="C36" s="38">
        <v>289</v>
      </c>
      <c r="D36" s="38">
        <v>0</v>
      </c>
      <c r="E36" s="38">
        <v>0</v>
      </c>
      <c r="F36" s="38">
        <v>0</v>
      </c>
      <c r="G36" s="38">
        <v>1969</v>
      </c>
      <c r="H36" s="38">
        <v>0</v>
      </c>
      <c r="I36" s="38"/>
      <c r="J36" s="38"/>
      <c r="K36" s="38"/>
      <c r="L36" s="38"/>
      <c r="M36" s="38">
        <v>20601</v>
      </c>
      <c r="N36" s="38">
        <v>25421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38">
        <v>225382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>
        <v>36536</v>
      </c>
      <c r="N37" s="38">
        <v>261918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>
        <v>6</v>
      </c>
      <c r="N38" s="38">
        <v>6</v>
      </c>
      <c r="O38" s="18">
        <f>SUM(O31:O35)</f>
        <v>0.65853765776642792</v>
      </c>
      <c r="P38" s="18"/>
      <c r="Q38" s="3"/>
      <c r="R38" s="7" t="s">
        <v>51</v>
      </c>
      <c r="S38" s="19">
        <f>N45/1000</f>
        <v>45.069160000000004</v>
      </c>
      <c r="T38" s="7"/>
    </row>
    <row r="39" spans="1:47" ht="15">
      <c r="A39" s="5" t="s">
        <v>18</v>
      </c>
      <c r="B39" s="38">
        <v>291941</v>
      </c>
      <c r="C39" s="38">
        <v>127998</v>
      </c>
      <c r="D39" s="38">
        <v>0</v>
      </c>
      <c r="E39" s="38">
        <v>0</v>
      </c>
      <c r="F39" s="38">
        <v>34528</v>
      </c>
      <c r="G39" s="38">
        <v>1969</v>
      </c>
      <c r="H39" s="38">
        <v>0</v>
      </c>
      <c r="I39" s="38"/>
      <c r="J39" s="38"/>
      <c r="K39" s="38"/>
      <c r="L39" s="38"/>
      <c r="M39" s="38">
        <v>385077</v>
      </c>
      <c r="N39" s="38">
        <v>841513</v>
      </c>
      <c r="O39" s="3"/>
      <c r="P39" s="3"/>
      <c r="Q39" s="3"/>
      <c r="R39" s="7" t="s">
        <v>52</v>
      </c>
      <c r="S39" s="20">
        <f>N41/1000</f>
        <v>287.34500000000003</v>
      </c>
      <c r="T39" s="13">
        <f>O41</f>
        <v>0.34146234223357214</v>
      </c>
    </row>
    <row r="40" spans="1:47">
      <c r="R40" s="7" t="s">
        <v>53</v>
      </c>
      <c r="S40" s="20">
        <f>N35/1000</f>
        <v>350.99700000000001</v>
      </c>
      <c r="T40" s="14">
        <f>O35</f>
        <v>0.41710229075486654</v>
      </c>
    </row>
    <row r="41" spans="1:47" ht="15">
      <c r="A41" s="21" t="s">
        <v>54</v>
      </c>
      <c r="B41" s="22">
        <f>B38+B37+B36</f>
        <v>227944</v>
      </c>
      <c r="C41" s="22">
        <f t="shared" ref="C41:N41" si="0">C38+C37+C36</f>
        <v>289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1969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57143</v>
      </c>
      <c r="N41" s="22">
        <f t="shared" si="0"/>
        <v>287345</v>
      </c>
      <c r="O41" s="17">
        <f>N41/N$39</f>
        <v>0.34146234223357214</v>
      </c>
      <c r="P41" s="17" t="s">
        <v>55</v>
      </c>
      <c r="Q41" s="7"/>
      <c r="R41" s="7" t="s">
        <v>56</v>
      </c>
      <c r="S41" s="20">
        <f>N33/1000</f>
        <v>33.722000000000001</v>
      </c>
      <c r="T41" s="13">
        <f>O33</f>
        <v>4.0073058883225807E-2</v>
      </c>
    </row>
    <row r="42" spans="1:47" ht="15">
      <c r="A42" s="23" t="s">
        <v>57</v>
      </c>
      <c r="B42" s="22"/>
      <c r="C42" s="24">
        <f>C39+C23+C10</f>
        <v>129132</v>
      </c>
      <c r="D42" s="24">
        <f t="shared" ref="D42:L42" si="1">D39+D23+D10</f>
        <v>0</v>
      </c>
      <c r="E42" s="24">
        <f t="shared" si="1"/>
        <v>0</v>
      </c>
      <c r="F42" s="24">
        <f t="shared" si="1"/>
        <v>56758</v>
      </c>
      <c r="G42" s="24">
        <f t="shared" si="1"/>
        <v>1969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415883.16</v>
      </c>
      <c r="N42" s="25">
        <f>SUM(C42:M42)</f>
        <v>603742.15999999992</v>
      </c>
      <c r="O42" s="7"/>
      <c r="P42" s="7"/>
      <c r="Q42" s="7"/>
      <c r="R42" s="7" t="s">
        <v>37</v>
      </c>
      <c r="S42" s="20">
        <f>N31/1000</f>
        <v>0</v>
      </c>
      <c r="T42" s="13">
        <f>O31</f>
        <v>0</v>
      </c>
    </row>
    <row r="43" spans="1:47" ht="15">
      <c r="A43" s="23" t="s">
        <v>58</v>
      </c>
      <c r="B43" s="22"/>
      <c r="C43" s="17">
        <f t="shared" ref="C43:M43" si="2">C42/$N42</f>
        <v>0.21388600723196144</v>
      </c>
      <c r="D43" s="17">
        <f t="shared" si="2"/>
        <v>0</v>
      </c>
      <c r="E43" s="17">
        <f t="shared" si="2"/>
        <v>0</v>
      </c>
      <c r="F43" s="17">
        <f t="shared" si="2"/>
        <v>9.4010330502676848E-2</v>
      </c>
      <c r="G43" s="17">
        <f t="shared" si="2"/>
        <v>3.2613259938646662E-3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0.68884233627149716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7.3869999999999996</v>
      </c>
      <c r="T43" s="14">
        <f>O32</f>
        <v>8.7782363433482318E-3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162.06200000000001</v>
      </c>
      <c r="T44" s="14">
        <f>O34</f>
        <v>0.19258407178498727</v>
      </c>
    </row>
    <row r="45" spans="1:47" ht="15">
      <c r="A45" s="6" t="s">
        <v>61</v>
      </c>
      <c r="B45" s="6">
        <f>B23-B39</f>
        <v>14263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30806.16</v>
      </c>
      <c r="N45" s="25">
        <f>B45+M45</f>
        <v>45069.16</v>
      </c>
      <c r="O45" s="7"/>
      <c r="P45" s="7"/>
      <c r="Q45" s="7"/>
      <c r="R45" s="7" t="s">
        <v>62</v>
      </c>
      <c r="S45" s="20">
        <f>SUM(S39:S44)</f>
        <v>841.51300000000003</v>
      </c>
      <c r="T45" s="13">
        <f>SUM(T39:T44)</f>
        <v>0.99999999999999989</v>
      </c>
    </row>
    <row r="46" spans="1:47" ht="15">
      <c r="A46" s="38" t="s">
        <v>88</v>
      </c>
      <c r="B46" s="82">
        <f>B45/(B23)</f>
        <v>4.6580057739284919E-2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40"/>
      <c r="B48" s="37"/>
      <c r="C48" s="40"/>
      <c r="D48" s="38"/>
      <c r="E48" s="38"/>
      <c r="F48" s="38"/>
      <c r="G48" s="38"/>
      <c r="H48" s="38"/>
      <c r="I48" s="38"/>
      <c r="J48" s="40"/>
      <c r="K48" s="40"/>
      <c r="L48" s="40"/>
      <c r="M48" s="40"/>
      <c r="N48" s="40"/>
      <c r="O48" s="40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40"/>
      <c r="B55" s="37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 enableFormatConditionsCalculation="0"/>
  <dimension ref="A1:AU70"/>
  <sheetViews>
    <sheetView topLeftCell="A16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82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82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>
        <v>0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68">
        <v>446625</v>
      </c>
      <c r="C18" s="68">
        <v>15930</v>
      </c>
      <c r="D18" s="55">
        <v>0</v>
      </c>
      <c r="E18" s="55">
        <v>0</v>
      </c>
      <c r="F18" s="68">
        <v>156267</v>
      </c>
      <c r="G18" s="68">
        <v>337820</v>
      </c>
      <c r="H18" s="55">
        <v>0</v>
      </c>
      <c r="I18" s="55"/>
      <c r="J18" s="55"/>
      <c r="K18" s="55"/>
      <c r="L18" s="55"/>
      <c r="M18" s="55"/>
      <c r="N18" s="68">
        <f>SUM(C18:L18)</f>
        <v>510017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38">
        <v>0</v>
      </c>
      <c r="C19" s="38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/>
      <c r="J19" s="55"/>
      <c r="K19" s="55"/>
      <c r="L19" s="55"/>
      <c r="M19" s="55">
        <v>0</v>
      </c>
      <c r="N19" s="38"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68">
        <v>527482</v>
      </c>
      <c r="C20" s="38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/>
      <c r="J20" s="55"/>
      <c r="K20" s="55"/>
      <c r="L20" s="55"/>
      <c r="M20" s="68">
        <f>B20*0.33</f>
        <v>174069.06</v>
      </c>
      <c r="N20" s="68">
        <f>M20</f>
        <v>174069.06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38"/>
      <c r="N21" s="38">
        <v>0</v>
      </c>
      <c r="O21" s="3"/>
      <c r="P21" s="3"/>
      <c r="Q21" s="3"/>
      <c r="R21" s="3"/>
      <c r="S21" s="3"/>
      <c r="T21" s="3"/>
    </row>
    <row r="22" spans="1:20" ht="15">
      <c r="A22" s="4" t="s">
        <v>27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38"/>
      <c r="N22" s="38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54">
        <f>B20+B18</f>
        <v>974107</v>
      </c>
      <c r="C23" s="68">
        <f>C18</f>
        <v>15930</v>
      </c>
      <c r="D23" s="38">
        <v>0</v>
      </c>
      <c r="E23" s="38">
        <v>0</v>
      </c>
      <c r="F23" s="68">
        <f>F18</f>
        <v>156267</v>
      </c>
      <c r="G23" s="68">
        <f>G18</f>
        <v>337820</v>
      </c>
      <c r="H23" s="38">
        <v>0</v>
      </c>
      <c r="I23" s="38"/>
      <c r="J23" s="38"/>
      <c r="K23" s="38"/>
      <c r="L23" s="38"/>
      <c r="M23" s="68">
        <f>M20</f>
        <v>174069.06</v>
      </c>
      <c r="N23" s="68">
        <f>N20+N18</f>
        <v>684086.06</v>
      </c>
      <c r="O23" s="3"/>
      <c r="P23" s="3"/>
      <c r="Q23" s="3"/>
      <c r="R23" s="3" t="s">
        <v>28</v>
      </c>
      <c r="S23" s="11">
        <f>N42/1000</f>
        <v>2103.5823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53"/>
      <c r="O24" s="3"/>
      <c r="P24" s="3"/>
      <c r="Q24" s="3"/>
      <c r="R24" s="3"/>
      <c r="S24" s="3"/>
      <c r="T24" s="3"/>
    </row>
    <row r="25" spans="1:20" ht="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771.58230000000003</v>
      </c>
      <c r="T26" s="13">
        <f>M43</f>
        <v>0.36679444393499611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338.85700000000003</v>
      </c>
      <c r="T27" s="14">
        <f>G43</f>
        <v>0.16108568702065995</v>
      </c>
    </row>
    <row r="28" spans="1:20" ht="15">
      <c r="A28" s="37" t="s">
        <v>82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229.899</v>
      </c>
      <c r="T29" s="13">
        <f>F43</f>
        <v>0.10928928238272399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5.42</v>
      </c>
      <c r="T30" s="13">
        <f>E43</f>
        <v>2.5765571425467883E-3</v>
      </c>
    </row>
    <row r="31" spans="1:20" ht="15">
      <c r="A31" s="5" t="s">
        <v>36</v>
      </c>
      <c r="B31" s="38">
        <v>0</v>
      </c>
      <c r="C31" s="38">
        <v>3319</v>
      </c>
      <c r="D31" s="38">
        <v>0</v>
      </c>
      <c r="E31" s="38">
        <v>0</v>
      </c>
      <c r="F31" s="38">
        <v>94</v>
      </c>
      <c r="G31" s="38">
        <v>0</v>
      </c>
      <c r="H31" s="38">
        <v>0</v>
      </c>
      <c r="I31" s="38"/>
      <c r="J31" s="38"/>
      <c r="K31" s="38"/>
      <c r="L31" s="38"/>
      <c r="M31" s="38">
        <v>1604</v>
      </c>
      <c r="N31" s="38">
        <f>SUM(B31:M31)</f>
        <v>5017</v>
      </c>
      <c r="O31" s="17">
        <f>N31/N$39</f>
        <v>2.448076574000519E-3</v>
      </c>
      <c r="P31" s="18" t="s">
        <v>37</v>
      </c>
      <c r="Q31" s="3"/>
      <c r="R31" s="3" t="s">
        <v>38</v>
      </c>
      <c r="S31" s="12">
        <f>C42/1000</f>
        <v>757.82399999999996</v>
      </c>
      <c r="T31" s="14">
        <f>C43</f>
        <v>0.36025402951907326</v>
      </c>
    </row>
    <row r="32" spans="1:20" ht="15">
      <c r="A32" s="5" t="s">
        <v>39</v>
      </c>
      <c r="B32" s="38">
        <v>11710</v>
      </c>
      <c r="C32" s="67">
        <v>2458</v>
      </c>
      <c r="D32" s="38">
        <v>0</v>
      </c>
      <c r="E32" s="67">
        <v>5420</v>
      </c>
      <c r="F32" s="38">
        <v>171</v>
      </c>
      <c r="G32" s="38">
        <v>0</v>
      </c>
      <c r="H32" s="38">
        <v>0</v>
      </c>
      <c r="I32" s="38"/>
      <c r="J32" s="38"/>
      <c r="K32" s="38"/>
      <c r="L32" s="38"/>
      <c r="M32" s="38">
        <v>21918</v>
      </c>
      <c r="N32" s="38">
        <f t="shared" ref="N32:N38" si="0">SUM(B32:M32)</f>
        <v>41677</v>
      </c>
      <c r="O32" s="17">
        <f>N32/N$39</f>
        <v>2.0336553194064109E-2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38">
        <v>87304</v>
      </c>
      <c r="C33" s="38">
        <v>5088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8">
        <v>100792</v>
      </c>
      <c r="N33" s="38">
        <f t="shared" si="0"/>
        <v>193184</v>
      </c>
      <c r="O33" s="17">
        <f>N33/N$39</f>
        <v>9.4265342808793368E-2</v>
      </c>
      <c r="P33" s="18" t="s">
        <v>43</v>
      </c>
      <c r="Q33" s="3"/>
      <c r="R33" s="3" t="s">
        <v>8</v>
      </c>
      <c r="S33" s="12">
        <f>H42/1000</f>
        <v>0</v>
      </c>
      <c r="T33" s="13">
        <f>H43</f>
        <v>0</v>
      </c>
    </row>
    <row r="34" spans="1:47" ht="15">
      <c r="A34" s="5" t="s">
        <v>44</v>
      </c>
      <c r="B34" s="38">
        <v>0</v>
      </c>
      <c r="C34" s="38">
        <v>728316</v>
      </c>
      <c r="D34" s="38">
        <v>0</v>
      </c>
      <c r="E34" s="38">
        <v>0</v>
      </c>
      <c r="F34" s="38">
        <v>73367</v>
      </c>
      <c r="G34" s="38">
        <v>0</v>
      </c>
      <c r="H34" s="38">
        <v>0</v>
      </c>
      <c r="I34" s="38"/>
      <c r="J34" s="38"/>
      <c r="K34" s="38"/>
      <c r="L34" s="38"/>
      <c r="M34" s="38">
        <v>36107</v>
      </c>
      <c r="N34" s="38">
        <f t="shared" si="0"/>
        <v>837790</v>
      </c>
      <c r="O34" s="17">
        <f>N34/N$39</f>
        <v>0.40880487800117499</v>
      </c>
      <c r="P34" s="18" t="s">
        <v>45</v>
      </c>
      <c r="Q34" s="3"/>
      <c r="R34" s="3"/>
      <c r="S34" s="12">
        <f>SUM(S26:S33)</f>
        <v>2103.5823</v>
      </c>
      <c r="T34" s="13">
        <f>SUM(T26:T33)</f>
        <v>1</v>
      </c>
    </row>
    <row r="35" spans="1:47" ht="15">
      <c r="A35" s="5" t="s">
        <v>46</v>
      </c>
      <c r="B35" s="38">
        <v>184828</v>
      </c>
      <c r="C35" s="38">
        <v>2404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>
        <v>308435</v>
      </c>
      <c r="N35" s="38">
        <f t="shared" si="0"/>
        <v>495667</v>
      </c>
      <c r="O35" s="17">
        <f>N35/N$39</f>
        <v>0.24186381726233114</v>
      </c>
      <c r="P35" s="18" t="s">
        <v>47</v>
      </c>
      <c r="Q35" s="18"/>
    </row>
    <row r="36" spans="1:47" ht="15">
      <c r="A36" s="5" t="s">
        <v>48</v>
      </c>
      <c r="B36" s="38">
        <v>6875</v>
      </c>
      <c r="C36" s="38">
        <v>181</v>
      </c>
      <c r="D36" s="38">
        <v>0</v>
      </c>
      <c r="E36" s="38">
        <v>0</v>
      </c>
      <c r="F36" s="38">
        <v>0</v>
      </c>
      <c r="G36" s="38">
        <v>1037</v>
      </c>
      <c r="H36" s="38">
        <v>0</v>
      </c>
      <c r="I36" s="38"/>
      <c r="J36" s="38"/>
      <c r="K36" s="38"/>
      <c r="L36" s="38"/>
      <c r="M36" s="38">
        <v>12870</v>
      </c>
      <c r="N36" s="38">
        <f t="shared" si="0"/>
        <v>20963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38">
        <v>383411</v>
      </c>
      <c r="C37" s="38">
        <v>128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>
        <v>71298</v>
      </c>
      <c r="N37" s="38">
        <f t="shared" si="0"/>
        <v>454837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>
        <v>229</v>
      </c>
      <c r="N38" s="38">
        <f t="shared" si="0"/>
        <v>229</v>
      </c>
      <c r="O38" s="18">
        <f>SUM(O31:O35)</f>
        <v>0.76771866784036402</v>
      </c>
      <c r="P38" s="18"/>
      <c r="Q38" s="3"/>
      <c r="R38" s="7" t="s">
        <v>51</v>
      </c>
      <c r="S38" s="19">
        <f>N45/1000</f>
        <v>94.239239999999995</v>
      </c>
      <c r="T38" s="7"/>
    </row>
    <row r="39" spans="1:47" ht="15">
      <c r="A39" s="5" t="s">
        <v>18</v>
      </c>
      <c r="B39" s="38">
        <f>SUM(B31:B38)</f>
        <v>674128</v>
      </c>
      <c r="C39" s="38">
        <f t="shared" ref="C39:H39" si="1">SUM(C31:C38)</f>
        <v>741894</v>
      </c>
      <c r="D39" s="38">
        <f t="shared" si="1"/>
        <v>0</v>
      </c>
      <c r="E39" s="38">
        <f t="shared" si="1"/>
        <v>5420</v>
      </c>
      <c r="F39" s="38">
        <f t="shared" si="1"/>
        <v>73632</v>
      </c>
      <c r="G39" s="38">
        <f t="shared" si="1"/>
        <v>1037</v>
      </c>
      <c r="H39" s="38">
        <f t="shared" si="1"/>
        <v>0</v>
      </c>
      <c r="I39" s="38"/>
      <c r="J39" s="38"/>
      <c r="K39" s="38"/>
      <c r="L39" s="38"/>
      <c r="M39" s="38">
        <f t="shared" ref="M39" si="2">SUM(M31:M38)</f>
        <v>553253</v>
      </c>
      <c r="N39" s="38">
        <v>2049364</v>
      </c>
      <c r="O39" s="3"/>
      <c r="P39" s="3"/>
      <c r="Q39" s="3"/>
      <c r="R39" s="7" t="s">
        <v>52</v>
      </c>
      <c r="S39" s="20">
        <f>N41/1000</f>
        <v>476.029</v>
      </c>
      <c r="T39" s="13">
        <f>O41</f>
        <v>0.23228133215963587</v>
      </c>
    </row>
    <row r="40" spans="1:47">
      <c r="R40" s="7" t="s">
        <v>53</v>
      </c>
      <c r="S40" s="20">
        <f>N35/1000</f>
        <v>495.66699999999997</v>
      </c>
      <c r="T40" s="14">
        <f>O35</f>
        <v>0.24186381726233114</v>
      </c>
    </row>
    <row r="41" spans="1:47" ht="15">
      <c r="A41" s="21" t="s">
        <v>54</v>
      </c>
      <c r="B41" s="22">
        <f>B38+B37+B36</f>
        <v>390286</v>
      </c>
      <c r="C41" s="22">
        <f t="shared" ref="C41:N41" si="3">C38+C37+C36</f>
        <v>309</v>
      </c>
      <c r="D41" s="22">
        <f t="shared" si="3"/>
        <v>0</v>
      </c>
      <c r="E41" s="22">
        <f t="shared" si="3"/>
        <v>0</v>
      </c>
      <c r="F41" s="22">
        <f t="shared" si="3"/>
        <v>0</v>
      </c>
      <c r="G41" s="22">
        <f t="shared" si="3"/>
        <v>1037</v>
      </c>
      <c r="H41" s="22">
        <f t="shared" si="3"/>
        <v>0</v>
      </c>
      <c r="I41" s="22">
        <f t="shared" si="3"/>
        <v>0</v>
      </c>
      <c r="J41" s="22">
        <f t="shared" si="3"/>
        <v>0</v>
      </c>
      <c r="K41" s="22">
        <f t="shared" si="3"/>
        <v>0</v>
      </c>
      <c r="L41" s="22">
        <f t="shared" si="3"/>
        <v>0</v>
      </c>
      <c r="M41" s="22">
        <f t="shared" si="3"/>
        <v>84397</v>
      </c>
      <c r="N41" s="22">
        <f t="shared" si="3"/>
        <v>476029</v>
      </c>
      <c r="O41" s="17">
        <f>N41/N$39</f>
        <v>0.23228133215963587</v>
      </c>
      <c r="P41" s="17" t="s">
        <v>55</v>
      </c>
      <c r="Q41" s="7"/>
      <c r="R41" s="7" t="s">
        <v>56</v>
      </c>
      <c r="S41" s="20">
        <f>N33/1000</f>
        <v>193.184</v>
      </c>
      <c r="T41" s="13">
        <f>O33</f>
        <v>9.4265342808793368E-2</v>
      </c>
    </row>
    <row r="42" spans="1:47" ht="15">
      <c r="A42" s="23" t="s">
        <v>57</v>
      </c>
      <c r="B42" s="22"/>
      <c r="C42" s="24">
        <f>C39+C23+C10</f>
        <v>757824</v>
      </c>
      <c r="D42" s="24">
        <f t="shared" ref="D42:L42" si="4">D39+D23+D10</f>
        <v>0</v>
      </c>
      <c r="E42" s="24">
        <f t="shared" si="4"/>
        <v>5420</v>
      </c>
      <c r="F42" s="24">
        <f t="shared" si="4"/>
        <v>229899</v>
      </c>
      <c r="G42" s="24">
        <f t="shared" si="4"/>
        <v>338857</v>
      </c>
      <c r="H42" s="24">
        <f t="shared" si="4"/>
        <v>0</v>
      </c>
      <c r="I42" s="24">
        <f t="shared" si="4"/>
        <v>0</v>
      </c>
      <c r="J42" s="24">
        <f t="shared" si="4"/>
        <v>0</v>
      </c>
      <c r="K42" s="24">
        <f t="shared" si="4"/>
        <v>0</v>
      </c>
      <c r="L42" s="24">
        <f t="shared" si="4"/>
        <v>0</v>
      </c>
      <c r="M42" s="24">
        <f>M39+M23-B6+M45</f>
        <v>771582.3</v>
      </c>
      <c r="N42" s="25">
        <f>SUM(C42:M42)</f>
        <v>2103582.2999999998</v>
      </c>
      <c r="O42" s="7"/>
      <c r="P42" s="7"/>
      <c r="Q42" s="7"/>
      <c r="R42" s="7" t="s">
        <v>37</v>
      </c>
      <c r="S42" s="20">
        <f>N31/1000</f>
        <v>5.0170000000000003</v>
      </c>
      <c r="T42" s="13">
        <f>O31</f>
        <v>2.448076574000519E-3</v>
      </c>
    </row>
    <row r="43" spans="1:47" ht="15">
      <c r="A43" s="23" t="s">
        <v>58</v>
      </c>
      <c r="B43" s="22"/>
      <c r="C43" s="17">
        <f t="shared" ref="C43:M43" si="5">C42/$N42</f>
        <v>0.36025402951907326</v>
      </c>
      <c r="D43" s="17">
        <f t="shared" si="5"/>
        <v>0</v>
      </c>
      <c r="E43" s="17">
        <f t="shared" si="5"/>
        <v>2.5765571425467883E-3</v>
      </c>
      <c r="F43" s="17">
        <f t="shared" si="5"/>
        <v>0.10928928238272399</v>
      </c>
      <c r="G43" s="17">
        <f t="shared" si="5"/>
        <v>0.16108568702065995</v>
      </c>
      <c r="H43" s="17">
        <f t="shared" si="5"/>
        <v>0</v>
      </c>
      <c r="I43" s="17">
        <f t="shared" si="5"/>
        <v>0</v>
      </c>
      <c r="J43" s="17">
        <f t="shared" si="5"/>
        <v>0</v>
      </c>
      <c r="K43" s="17">
        <f t="shared" si="5"/>
        <v>0</v>
      </c>
      <c r="L43" s="17">
        <f t="shared" si="5"/>
        <v>0</v>
      </c>
      <c r="M43" s="17">
        <f t="shared" si="5"/>
        <v>0.36679444393499611</v>
      </c>
      <c r="N43" s="17">
        <f>SUM(C43:M43)</f>
        <v>1.0000000000000002</v>
      </c>
      <c r="O43" s="7"/>
      <c r="P43" s="7"/>
      <c r="Q43" s="7"/>
      <c r="R43" s="7" t="s">
        <v>59</v>
      </c>
      <c r="S43" s="20">
        <f>N32/1000</f>
        <v>41.677</v>
      </c>
      <c r="T43" s="14">
        <f>O32</f>
        <v>2.0336553194064109E-2</v>
      </c>
    </row>
    <row r="44" spans="1:47">
      <c r="A44" s="6" t="s">
        <v>94</v>
      </c>
      <c r="B44" s="70">
        <v>250000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837.79</v>
      </c>
      <c r="T44" s="14">
        <f>O34</f>
        <v>0.40880487800117499</v>
      </c>
    </row>
    <row r="45" spans="1:47" ht="15">
      <c r="A45" s="6" t="s">
        <v>61</v>
      </c>
      <c r="B45" s="70">
        <f>B23-B39-B44</f>
        <v>49979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44260.24</v>
      </c>
      <c r="N45" s="25">
        <f>B45+M45</f>
        <v>94239.239999999991</v>
      </c>
      <c r="O45" s="7"/>
      <c r="P45" s="7"/>
      <c r="Q45" s="7"/>
      <c r="R45" s="7" t="s">
        <v>62</v>
      </c>
      <c r="S45" s="20">
        <f>SUM(S39:S44)</f>
        <v>2049.3639999999996</v>
      </c>
      <c r="T45" s="13">
        <f>SUM(T39:T44)</f>
        <v>1</v>
      </c>
    </row>
    <row r="46" spans="1:47" ht="15">
      <c r="A46" s="38" t="s">
        <v>88</v>
      </c>
      <c r="B46" s="82">
        <f>B45/B23</f>
        <v>5.130750523299802E-2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/>
      <c r="B47" s="37"/>
      <c r="C47" s="38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40"/>
      <c r="B48" s="37"/>
      <c r="C48" s="40"/>
      <c r="D48" s="41"/>
      <c r="E48" s="40"/>
      <c r="F48" s="41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40"/>
      <c r="B55" s="37"/>
      <c r="C55" s="40"/>
      <c r="D55" s="41"/>
      <c r="E55" s="40"/>
      <c r="F55" s="41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1"/>
      <c r="E56" s="40"/>
      <c r="F56" s="41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 enableFormatConditionsCalculation="0"/>
  <dimension ref="A1:AU70"/>
  <sheetViews>
    <sheetView topLeftCell="A14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83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83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>
        <v>0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38">
        <v>23164</v>
      </c>
      <c r="C18" s="38">
        <v>25582</v>
      </c>
      <c r="D18" s="38">
        <v>0</v>
      </c>
      <c r="E18" s="38">
        <v>0</v>
      </c>
      <c r="F18" s="38">
        <v>0</v>
      </c>
      <c r="G18" s="38">
        <v>1915</v>
      </c>
      <c r="H18" s="38">
        <v>0</v>
      </c>
      <c r="I18" s="38"/>
      <c r="J18" s="38"/>
      <c r="K18" s="38"/>
      <c r="L18" s="38"/>
      <c r="M18" s="38"/>
      <c r="N18" s="38">
        <v>27497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55">
        <v>0</v>
      </c>
      <c r="N19" s="38"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38">
        <v>5469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68">
        <f>0.33*B20</f>
        <v>1804.77</v>
      </c>
      <c r="N20" s="54">
        <v>1805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38"/>
      <c r="N21" s="38">
        <v>0</v>
      </c>
      <c r="O21" s="3"/>
      <c r="P21" s="3"/>
      <c r="Q21" s="3"/>
      <c r="R21" s="3"/>
      <c r="S21" s="3"/>
      <c r="T21" s="3"/>
    </row>
    <row r="22" spans="1:20" ht="15">
      <c r="A22" s="4" t="s">
        <v>95</v>
      </c>
      <c r="B22" s="53">
        <v>187000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38"/>
      <c r="N22" s="38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54">
        <f>B22+B20+B18</f>
        <v>215633</v>
      </c>
      <c r="C23" s="38">
        <v>25582</v>
      </c>
      <c r="D23" s="38">
        <v>0</v>
      </c>
      <c r="E23" s="38">
        <v>0</v>
      </c>
      <c r="F23" s="38">
        <v>0</v>
      </c>
      <c r="G23" s="38">
        <v>1915</v>
      </c>
      <c r="H23" s="38">
        <v>0</v>
      </c>
      <c r="I23" s="38"/>
      <c r="J23" s="38"/>
      <c r="K23" s="38"/>
      <c r="L23" s="38"/>
      <c r="M23" s="54">
        <v>1805</v>
      </c>
      <c r="N23" s="54">
        <f>N20+N18</f>
        <v>29302</v>
      </c>
      <c r="O23" s="3"/>
      <c r="P23" s="3"/>
      <c r="Q23" s="3"/>
      <c r="R23" s="3" t="s">
        <v>28</v>
      </c>
      <c r="S23" s="11">
        <f>N42/1000</f>
        <v>590.28643999999997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A25" s="2" t="s">
        <v>95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395.97044</v>
      </c>
      <c r="T26" s="13">
        <f>M43</f>
        <v>0.67081066608950057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8.0050000000000008</v>
      </c>
      <c r="T27" s="14">
        <f>G43</f>
        <v>1.356121275630184E-2</v>
      </c>
    </row>
    <row r="28" spans="1:20" ht="15">
      <c r="A28" s="37" t="s">
        <v>83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12.747999999999999</v>
      </c>
      <c r="T29" s="13">
        <f>F43</f>
        <v>2.1596294842890176E-2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0</v>
      </c>
      <c r="T30" s="13">
        <f>E43</f>
        <v>0</v>
      </c>
    </row>
    <row r="31" spans="1:20" ht="15">
      <c r="A31" s="5" t="s">
        <v>36</v>
      </c>
      <c r="B31" s="38">
        <v>0</v>
      </c>
      <c r="C31" s="67">
        <f>0.91*(N31-M31)</f>
        <v>162.89000000000001</v>
      </c>
      <c r="D31" s="38">
        <v>0</v>
      </c>
      <c r="E31" s="38">
        <v>0</v>
      </c>
      <c r="F31" s="67">
        <f>0.09*(N31-M31)</f>
        <v>16.11</v>
      </c>
      <c r="G31" s="38">
        <v>0</v>
      </c>
      <c r="H31" s="38">
        <v>0</v>
      </c>
      <c r="I31" s="38"/>
      <c r="J31" s="38"/>
      <c r="K31" s="38"/>
      <c r="L31" s="38"/>
      <c r="M31" s="38">
        <v>508</v>
      </c>
      <c r="N31" s="38">
        <v>687</v>
      </c>
      <c r="O31" s="17">
        <f>N31/N$39</f>
        <v>9.3172377034839962E-4</v>
      </c>
      <c r="P31" s="18" t="s">
        <v>37</v>
      </c>
      <c r="Q31" s="3"/>
      <c r="R31" s="3" t="s">
        <v>38</v>
      </c>
      <c r="S31" s="12">
        <f>C42/1000</f>
        <v>173.56299999999999</v>
      </c>
      <c r="T31" s="14">
        <f>C43</f>
        <v>0.29403182631130748</v>
      </c>
    </row>
    <row r="32" spans="1:20" ht="15">
      <c r="A32" s="5" t="s">
        <v>39</v>
      </c>
      <c r="B32" s="38">
        <v>2182</v>
      </c>
      <c r="C32" s="67">
        <f>C39-C37-C36-C35-C34-C33-C31</f>
        <v>244.10999999999999</v>
      </c>
      <c r="D32" s="38">
        <v>0</v>
      </c>
      <c r="E32" s="38">
        <v>0</v>
      </c>
      <c r="F32" s="67">
        <f>F39-F34-F31</f>
        <v>119.89</v>
      </c>
      <c r="G32" s="38">
        <v>0</v>
      </c>
      <c r="H32" s="38">
        <v>0</v>
      </c>
      <c r="I32" s="38"/>
      <c r="J32" s="38"/>
      <c r="K32" s="38"/>
      <c r="L32" s="38"/>
      <c r="M32" s="38">
        <v>16472</v>
      </c>
      <c r="N32" s="54">
        <f>SUM(B32:M32)</f>
        <v>19018</v>
      </c>
      <c r="O32" s="17">
        <f>N32/N$39</f>
        <v>2.5792609409731972E-2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38">
        <v>26767</v>
      </c>
      <c r="C33" s="38">
        <v>57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8">
        <v>61782</v>
      </c>
      <c r="N33" s="38">
        <v>88606</v>
      </c>
      <c r="O33" s="17">
        <f>N33/N$39</f>
        <v>0.12016931061934541</v>
      </c>
      <c r="P33" s="18" t="s">
        <v>43</v>
      </c>
      <c r="Q33" s="3"/>
      <c r="R33" s="3" t="s">
        <v>8</v>
      </c>
      <c r="S33" s="12">
        <f>H42/1000</f>
        <v>0</v>
      </c>
      <c r="T33" s="13">
        <f>H43</f>
        <v>0</v>
      </c>
    </row>
    <row r="34" spans="1:47" ht="15">
      <c r="A34" s="5" t="s">
        <v>44</v>
      </c>
      <c r="B34" s="38">
        <v>0</v>
      </c>
      <c r="C34" s="38">
        <v>142162</v>
      </c>
      <c r="D34" s="38">
        <v>0</v>
      </c>
      <c r="E34" s="38">
        <v>0</v>
      </c>
      <c r="F34" s="38">
        <v>12612</v>
      </c>
      <c r="G34" s="38">
        <v>0</v>
      </c>
      <c r="H34" s="38">
        <v>0</v>
      </c>
      <c r="I34" s="38"/>
      <c r="J34" s="38"/>
      <c r="K34" s="38"/>
      <c r="L34" s="38"/>
      <c r="M34" s="38">
        <v>1855</v>
      </c>
      <c r="N34" s="38">
        <v>156629</v>
      </c>
      <c r="O34" s="17">
        <f>N34/N$39</f>
        <v>0.21242352609301235</v>
      </c>
      <c r="P34" s="18" t="s">
        <v>45</v>
      </c>
      <c r="Q34" s="3"/>
      <c r="R34" s="3"/>
      <c r="S34" s="12">
        <f>SUM(S26:S33)</f>
        <v>590.28643999999997</v>
      </c>
      <c r="T34" s="13">
        <f>SUM(T26:T33)</f>
        <v>1</v>
      </c>
    </row>
    <row r="35" spans="1:47" ht="15">
      <c r="A35" s="5" t="s">
        <v>46</v>
      </c>
      <c r="B35" s="38">
        <v>27521</v>
      </c>
      <c r="C35" s="38">
        <v>3098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>
        <v>94825</v>
      </c>
      <c r="N35" s="38">
        <v>125444</v>
      </c>
      <c r="O35" s="17">
        <f>N35/N$39</f>
        <v>0.17012977677959917</v>
      </c>
      <c r="P35" s="18" t="s">
        <v>47</v>
      </c>
      <c r="Q35" s="18"/>
    </row>
    <row r="36" spans="1:47" ht="15">
      <c r="A36" s="5" t="s">
        <v>48</v>
      </c>
      <c r="B36" s="38">
        <v>14707</v>
      </c>
      <c r="C36" s="38">
        <v>2116</v>
      </c>
      <c r="D36" s="38">
        <v>0</v>
      </c>
      <c r="E36" s="38">
        <v>0</v>
      </c>
      <c r="F36" s="38">
        <v>0</v>
      </c>
      <c r="G36" s="38">
        <v>6090</v>
      </c>
      <c r="H36" s="38">
        <v>0</v>
      </c>
      <c r="I36" s="38"/>
      <c r="J36" s="38"/>
      <c r="K36" s="38"/>
      <c r="L36" s="38"/>
      <c r="M36" s="38">
        <v>150829</v>
      </c>
      <c r="N36" s="38">
        <v>173742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38">
        <v>134378</v>
      </c>
      <c r="C37" s="38">
        <v>141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>
        <v>34046</v>
      </c>
      <c r="N37" s="38">
        <v>168566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>
        <v>4651</v>
      </c>
      <c r="N38" s="38">
        <v>4651</v>
      </c>
      <c r="O38" s="18">
        <f>SUM(O31:O35)</f>
        <v>0.52944694667203729</v>
      </c>
      <c r="P38" s="18"/>
      <c r="Q38" s="3"/>
      <c r="R38" s="7" t="s">
        <v>51</v>
      </c>
      <c r="S38" s="19">
        <f>N45/1000</f>
        <v>39.274440000000006</v>
      </c>
      <c r="T38" s="7"/>
    </row>
    <row r="39" spans="1:47" ht="15">
      <c r="A39" s="5" t="s">
        <v>18</v>
      </c>
      <c r="B39" s="38">
        <v>205556</v>
      </c>
      <c r="C39" s="38">
        <v>147981</v>
      </c>
      <c r="D39" s="38">
        <v>0</v>
      </c>
      <c r="E39" s="38">
        <v>0</v>
      </c>
      <c r="F39" s="38">
        <v>12748</v>
      </c>
      <c r="G39" s="38">
        <v>6090</v>
      </c>
      <c r="H39" s="38">
        <v>0</v>
      </c>
      <c r="I39" s="38"/>
      <c r="J39" s="38"/>
      <c r="K39" s="38"/>
      <c r="L39" s="38"/>
      <c r="M39" s="38">
        <v>364968</v>
      </c>
      <c r="N39" s="38">
        <f>SUM(N31:N38)</f>
        <v>737343</v>
      </c>
      <c r="O39" s="3"/>
      <c r="P39" s="3"/>
      <c r="Q39" s="3"/>
      <c r="R39" s="7" t="s">
        <v>52</v>
      </c>
      <c r="S39" s="20">
        <f>N41/1000</f>
        <v>346.959</v>
      </c>
      <c r="T39" s="13">
        <f>O41</f>
        <v>0.47055305332796271</v>
      </c>
    </row>
    <row r="40" spans="1:47">
      <c r="R40" s="7" t="s">
        <v>53</v>
      </c>
      <c r="S40" s="20">
        <f>N35/1000</f>
        <v>125.444</v>
      </c>
      <c r="T40" s="14">
        <f>O35</f>
        <v>0.17012977677959917</v>
      </c>
    </row>
    <row r="41" spans="1:47" ht="15">
      <c r="A41" s="21" t="s">
        <v>54</v>
      </c>
      <c r="B41" s="22">
        <f>B38+B37+B36</f>
        <v>149085</v>
      </c>
      <c r="C41" s="22">
        <f t="shared" ref="C41:N41" si="0">C38+C37+C36</f>
        <v>2257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6090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189526</v>
      </c>
      <c r="N41" s="22">
        <f t="shared" si="0"/>
        <v>346959</v>
      </c>
      <c r="O41" s="17">
        <f>N41/N$39</f>
        <v>0.47055305332796271</v>
      </c>
      <c r="P41" s="17" t="s">
        <v>55</v>
      </c>
      <c r="Q41" s="7"/>
      <c r="R41" s="7" t="s">
        <v>56</v>
      </c>
      <c r="S41" s="20">
        <f>N33/1000</f>
        <v>88.605999999999995</v>
      </c>
      <c r="T41" s="13">
        <f>O33</f>
        <v>0.12016931061934541</v>
      </c>
    </row>
    <row r="42" spans="1:47" ht="15">
      <c r="A42" s="23" t="s">
        <v>57</v>
      </c>
      <c r="B42" s="22"/>
      <c r="C42" s="24">
        <f>C39+C23+C10</f>
        <v>173563</v>
      </c>
      <c r="D42" s="24">
        <f t="shared" ref="D42:L42" si="1">D39+D23+D10</f>
        <v>0</v>
      </c>
      <c r="E42" s="24">
        <f t="shared" si="1"/>
        <v>0</v>
      </c>
      <c r="F42" s="24">
        <f t="shared" si="1"/>
        <v>12748</v>
      </c>
      <c r="G42" s="24">
        <f t="shared" si="1"/>
        <v>8005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395970.44</v>
      </c>
      <c r="N42" s="25">
        <f>SUM(C42:M42)</f>
        <v>590286.43999999994</v>
      </c>
      <c r="O42" s="7"/>
      <c r="P42" s="7"/>
      <c r="Q42" s="7"/>
      <c r="R42" s="7" t="s">
        <v>37</v>
      </c>
      <c r="S42" s="20">
        <f>N31/1000</f>
        <v>0.68700000000000006</v>
      </c>
      <c r="T42" s="13">
        <f>O31</f>
        <v>9.3172377034839962E-4</v>
      </c>
    </row>
    <row r="43" spans="1:47" ht="15">
      <c r="A43" s="23" t="s">
        <v>58</v>
      </c>
      <c r="B43" s="22"/>
      <c r="C43" s="17">
        <f t="shared" ref="C43:M43" si="2">C42/$N42</f>
        <v>0.29403182631130748</v>
      </c>
      <c r="D43" s="17">
        <f t="shared" si="2"/>
        <v>0</v>
      </c>
      <c r="E43" s="17">
        <f t="shared" si="2"/>
        <v>0</v>
      </c>
      <c r="F43" s="17">
        <f t="shared" si="2"/>
        <v>2.1596294842890176E-2</v>
      </c>
      <c r="G43" s="17">
        <f t="shared" si="2"/>
        <v>1.356121275630184E-2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0.67081066608950057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19.018000000000001</v>
      </c>
      <c r="T43" s="14">
        <f>O32</f>
        <v>2.5792609409731972E-2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156.62899999999999</v>
      </c>
      <c r="T44" s="14">
        <f>O34</f>
        <v>0.21242352609301235</v>
      </c>
    </row>
    <row r="45" spans="1:47" ht="15">
      <c r="A45" s="6" t="s">
        <v>61</v>
      </c>
      <c r="B45" s="6">
        <f>B23-B39</f>
        <v>10077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29197.440000000002</v>
      </c>
      <c r="N45" s="25">
        <f>B45+M45</f>
        <v>39274.44</v>
      </c>
      <c r="O45" s="7"/>
      <c r="P45" s="7"/>
      <c r="Q45" s="7"/>
      <c r="R45" s="7" t="s">
        <v>62</v>
      </c>
      <c r="S45" s="20">
        <f>SUM(S39:S44)</f>
        <v>737.34300000000007</v>
      </c>
      <c r="T45" s="13">
        <f>SUM(T39:T44)</f>
        <v>1</v>
      </c>
    </row>
    <row r="46" spans="1:47" ht="15">
      <c r="A46" s="38" t="s">
        <v>88</v>
      </c>
      <c r="B46" s="82">
        <f>B45/(B23)</f>
        <v>4.6732179211901703E-2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/>
      <c r="B47" s="37"/>
      <c r="C47" s="40"/>
      <c r="D47" s="41"/>
      <c r="E47" s="40"/>
      <c r="F47" s="40"/>
      <c r="G47" s="41"/>
      <c r="H47" s="40"/>
      <c r="I47" s="40"/>
      <c r="J47" s="40"/>
      <c r="K47" s="40"/>
      <c r="L47" s="40"/>
      <c r="M47" s="40"/>
      <c r="N47" s="40"/>
      <c r="O47" s="40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40"/>
      <c r="B48" s="37"/>
      <c r="C48" s="40"/>
      <c r="D48" s="41"/>
      <c r="E48" s="40"/>
      <c r="F48" s="40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40"/>
      <c r="B55" s="37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 enableFormatConditionsCalculation="0"/>
  <dimension ref="A1:AU70"/>
  <sheetViews>
    <sheetView topLeftCell="A16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84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67">
        <v>73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67">
        <v>73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84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>
        <v>0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38">
        <v>26113</v>
      </c>
      <c r="C18" s="38">
        <v>1114</v>
      </c>
      <c r="D18" s="38">
        <v>0</v>
      </c>
      <c r="E18" s="38">
        <v>0</v>
      </c>
      <c r="F18" s="38">
        <v>12971</v>
      </c>
      <c r="G18" s="38">
        <v>24996</v>
      </c>
      <c r="H18" s="38">
        <v>0</v>
      </c>
      <c r="I18" s="38"/>
      <c r="J18" s="38"/>
      <c r="K18" s="38"/>
      <c r="L18" s="38"/>
      <c r="M18" s="38"/>
      <c r="N18" s="38">
        <v>39081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55">
        <v>0</v>
      </c>
      <c r="N19" s="38"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55">
        <v>0</v>
      </c>
      <c r="N20" s="38">
        <v>0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38"/>
      <c r="N21" s="38">
        <v>0</v>
      </c>
      <c r="O21" s="3"/>
      <c r="P21" s="3"/>
      <c r="Q21" s="3"/>
      <c r="R21" s="3"/>
      <c r="S21" s="3"/>
      <c r="T21" s="3"/>
    </row>
    <row r="22" spans="1:20" ht="15">
      <c r="A22" s="4" t="s">
        <v>27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38"/>
      <c r="N22" s="38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38">
        <v>26113</v>
      </c>
      <c r="C23" s="38">
        <v>1114</v>
      </c>
      <c r="D23" s="38">
        <v>0</v>
      </c>
      <c r="E23" s="38">
        <v>0</v>
      </c>
      <c r="F23" s="38">
        <v>12971</v>
      </c>
      <c r="G23" s="38">
        <v>24996</v>
      </c>
      <c r="H23" s="38">
        <v>0</v>
      </c>
      <c r="I23" s="38"/>
      <c r="J23" s="38"/>
      <c r="K23" s="38"/>
      <c r="L23" s="38"/>
      <c r="M23" s="38"/>
      <c r="N23" s="38">
        <v>39081</v>
      </c>
      <c r="O23" s="3"/>
      <c r="P23" s="3"/>
      <c r="Q23" s="3"/>
      <c r="R23" s="3" t="s">
        <v>28</v>
      </c>
      <c r="S23" s="11">
        <f>N42/1000</f>
        <v>199.55416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108.62316</v>
      </c>
      <c r="T26" s="13">
        <f>M43</f>
        <v>0.54432921869431339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31.143000000000001</v>
      </c>
      <c r="T27" s="14">
        <f>G43</f>
        <v>0.15606289540644003</v>
      </c>
    </row>
    <row r="28" spans="1:20" ht="15">
      <c r="A28" s="37" t="s">
        <v>84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15.891999999999999</v>
      </c>
      <c r="T29" s="13">
        <f>F43</f>
        <v>7.9637527977367145E-2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0</v>
      </c>
      <c r="T30" s="13">
        <f>E43</f>
        <v>0</v>
      </c>
    </row>
    <row r="31" spans="1:20" ht="15">
      <c r="A31" s="5" t="s">
        <v>36</v>
      </c>
      <c r="B31" s="38">
        <v>0</v>
      </c>
      <c r="C31" s="67">
        <f>0.91*(N31-M31)</f>
        <v>280.28000000000003</v>
      </c>
      <c r="D31" s="38">
        <v>0</v>
      </c>
      <c r="E31" s="38">
        <v>0</v>
      </c>
      <c r="F31" s="67">
        <f>0.09*(N31-M31)</f>
        <v>27.72</v>
      </c>
      <c r="G31" s="38">
        <v>0</v>
      </c>
      <c r="H31" s="38">
        <v>0</v>
      </c>
      <c r="I31" s="38"/>
      <c r="J31" s="38"/>
      <c r="K31" s="38"/>
      <c r="L31" s="38"/>
      <c r="M31" s="38">
        <v>506</v>
      </c>
      <c r="N31" s="38">
        <v>814</v>
      </c>
      <c r="O31" s="17">
        <f>N31/N$39</f>
        <v>4.7756780700158995E-3</v>
      </c>
      <c r="P31" s="18" t="s">
        <v>37</v>
      </c>
      <c r="Q31" s="3"/>
      <c r="R31" s="3" t="s">
        <v>38</v>
      </c>
      <c r="S31" s="12">
        <f>C42/1000</f>
        <v>43.896000000000001</v>
      </c>
      <c r="T31" s="14">
        <f>C43</f>
        <v>0.21997035792187944</v>
      </c>
    </row>
    <row r="32" spans="1:20" ht="15">
      <c r="A32" s="5" t="s">
        <v>39</v>
      </c>
      <c r="B32" s="68">
        <v>722</v>
      </c>
      <c r="C32" s="67">
        <v>2314</v>
      </c>
      <c r="D32" s="38">
        <v>0</v>
      </c>
      <c r="E32" s="38">
        <v>0</v>
      </c>
      <c r="F32" s="67">
        <v>109</v>
      </c>
      <c r="G32" s="38">
        <v>0</v>
      </c>
      <c r="H32" s="38">
        <v>0</v>
      </c>
      <c r="I32" s="38"/>
      <c r="J32" s="38"/>
      <c r="K32" s="38"/>
      <c r="L32" s="38"/>
      <c r="M32" s="38">
        <v>785</v>
      </c>
      <c r="N32" s="54">
        <f>SUM(B32:M32)</f>
        <v>3930</v>
      </c>
      <c r="O32" s="17">
        <f>N32/N$39</f>
        <v>2.3057020657447771E-2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68">
        <v>3407</v>
      </c>
      <c r="C33" s="38">
        <v>8027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8">
        <v>9529</v>
      </c>
      <c r="N33" s="54">
        <f t="shared" ref="N33:N37" si="0">SUM(B33:M33)</f>
        <v>20963</v>
      </c>
      <c r="O33" s="17">
        <f>N33/N$39</f>
        <v>0.12298837761884926</v>
      </c>
      <c r="P33" s="18" t="s">
        <v>43</v>
      </c>
      <c r="Q33" s="3"/>
      <c r="R33" s="3" t="s">
        <v>8</v>
      </c>
      <c r="S33" s="12">
        <f>H42/1000</f>
        <v>0</v>
      </c>
      <c r="T33" s="13">
        <f>H43</f>
        <v>0</v>
      </c>
    </row>
    <row r="34" spans="1:47" ht="15">
      <c r="A34" s="5" t="s">
        <v>44</v>
      </c>
      <c r="B34" s="68">
        <v>0</v>
      </c>
      <c r="C34" s="38">
        <v>31436</v>
      </c>
      <c r="D34" s="38">
        <v>0</v>
      </c>
      <c r="E34" s="38">
        <v>0</v>
      </c>
      <c r="F34" s="38">
        <v>2784</v>
      </c>
      <c r="G34" s="38">
        <v>0</v>
      </c>
      <c r="H34" s="38">
        <v>0</v>
      </c>
      <c r="I34" s="38"/>
      <c r="J34" s="38"/>
      <c r="K34" s="38"/>
      <c r="L34" s="38"/>
      <c r="M34" s="38">
        <v>31</v>
      </c>
      <c r="N34" s="38">
        <f t="shared" si="0"/>
        <v>34251</v>
      </c>
      <c r="O34" s="17">
        <f>N34/N$39</f>
        <v>0.20094809530235205</v>
      </c>
      <c r="P34" s="18" t="s">
        <v>45</v>
      </c>
      <c r="Q34" s="3"/>
      <c r="R34" s="3"/>
      <c r="S34" s="12">
        <f>SUM(S26:S33)</f>
        <v>199.55416000000002</v>
      </c>
      <c r="T34" s="13">
        <f>SUM(T26:T33)</f>
        <v>1</v>
      </c>
    </row>
    <row r="35" spans="1:47" ht="15">
      <c r="A35" s="5" t="s">
        <v>46</v>
      </c>
      <c r="B35" s="68">
        <v>3407</v>
      </c>
      <c r="C35" s="38">
        <v>452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>
        <v>22806</v>
      </c>
      <c r="N35" s="54">
        <f t="shared" si="0"/>
        <v>26665</v>
      </c>
      <c r="O35" s="17">
        <f>N35/N$39</f>
        <v>0.15644159181446432</v>
      </c>
      <c r="P35" s="18" t="s">
        <v>47</v>
      </c>
      <c r="Q35" s="18"/>
    </row>
    <row r="36" spans="1:47" ht="15">
      <c r="A36" s="5" t="s">
        <v>48</v>
      </c>
      <c r="B36" s="68">
        <v>1590</v>
      </c>
      <c r="C36" s="38">
        <v>223</v>
      </c>
      <c r="D36" s="38">
        <v>0</v>
      </c>
      <c r="E36" s="38">
        <v>0</v>
      </c>
      <c r="F36" s="38">
        <v>0</v>
      </c>
      <c r="G36" s="38">
        <v>6147</v>
      </c>
      <c r="H36" s="38">
        <v>0</v>
      </c>
      <c r="I36" s="38"/>
      <c r="J36" s="38"/>
      <c r="K36" s="38"/>
      <c r="L36" s="38"/>
      <c r="M36" s="38">
        <v>42659</v>
      </c>
      <c r="N36" s="54">
        <f t="shared" si="0"/>
        <v>50619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68">
        <v>8894</v>
      </c>
      <c r="C37" s="38">
        <v>50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>
        <v>6232</v>
      </c>
      <c r="N37" s="54">
        <f t="shared" si="0"/>
        <v>15176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6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>
        <v>18029</v>
      </c>
      <c r="N38" s="38">
        <v>18029</v>
      </c>
      <c r="O38" s="18">
        <f>SUM(O31:O35)</f>
        <v>0.50821076346312921</v>
      </c>
      <c r="P38" s="18"/>
      <c r="Q38" s="3"/>
      <c r="R38" s="7" t="s">
        <v>51</v>
      </c>
      <c r="S38" s="19">
        <f>N45/1000</f>
        <v>16.13916</v>
      </c>
      <c r="T38" s="7"/>
    </row>
    <row r="39" spans="1:47" ht="15">
      <c r="A39" s="5" t="s">
        <v>18</v>
      </c>
      <c r="B39" s="68">
        <v>18020</v>
      </c>
      <c r="C39" s="38">
        <v>42782</v>
      </c>
      <c r="D39" s="38">
        <v>0</v>
      </c>
      <c r="E39" s="38">
        <v>0</v>
      </c>
      <c r="F39" s="38">
        <v>2921</v>
      </c>
      <c r="G39" s="38">
        <v>6147</v>
      </c>
      <c r="H39" s="38">
        <v>0</v>
      </c>
      <c r="I39" s="38"/>
      <c r="J39" s="38"/>
      <c r="K39" s="38"/>
      <c r="L39" s="38"/>
      <c r="M39" s="38">
        <v>100577</v>
      </c>
      <c r="N39" s="54">
        <f>SUM(N31:N38)</f>
        <v>170447</v>
      </c>
      <c r="O39" s="3"/>
      <c r="P39" s="3"/>
      <c r="Q39" s="3"/>
      <c r="R39" s="7" t="s">
        <v>52</v>
      </c>
      <c r="S39" s="20">
        <f>N41/1000</f>
        <v>83.823999999999998</v>
      </c>
      <c r="T39" s="13">
        <f>O41</f>
        <v>0.49178923653687068</v>
      </c>
    </row>
    <row r="40" spans="1:47">
      <c r="R40" s="7" t="s">
        <v>53</v>
      </c>
      <c r="S40" s="20">
        <f>N35/1000</f>
        <v>26.664999999999999</v>
      </c>
      <c r="T40" s="14">
        <f>O35</f>
        <v>0.15644159181446432</v>
      </c>
    </row>
    <row r="41" spans="1:47" ht="15">
      <c r="A41" s="21" t="s">
        <v>54</v>
      </c>
      <c r="B41" s="22">
        <f>B38+B37+B36</f>
        <v>10484</v>
      </c>
      <c r="C41" s="22">
        <f t="shared" ref="C41:N41" si="1">C38+C37+C36</f>
        <v>273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6147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66920</v>
      </c>
      <c r="N41" s="22">
        <f t="shared" si="1"/>
        <v>83824</v>
      </c>
      <c r="O41" s="17">
        <f>N41/N$39</f>
        <v>0.49178923653687068</v>
      </c>
      <c r="P41" s="17" t="s">
        <v>55</v>
      </c>
      <c r="Q41" s="7"/>
      <c r="R41" s="7" t="s">
        <v>56</v>
      </c>
      <c r="S41" s="20">
        <f>N33/1000</f>
        <v>20.963000000000001</v>
      </c>
      <c r="T41" s="13">
        <f>O33</f>
        <v>0.12298837761884926</v>
      </c>
    </row>
    <row r="42" spans="1:47" ht="15">
      <c r="A42" s="23" t="s">
        <v>57</v>
      </c>
      <c r="B42" s="22"/>
      <c r="C42" s="24">
        <f>C39+C23+C10</f>
        <v>43896</v>
      </c>
      <c r="D42" s="24">
        <f t="shared" ref="D42:L42" si="2">D39+D23+D10</f>
        <v>0</v>
      </c>
      <c r="E42" s="24">
        <f t="shared" si="2"/>
        <v>0</v>
      </c>
      <c r="F42" s="24">
        <f t="shared" si="2"/>
        <v>15892</v>
      </c>
      <c r="G42" s="24">
        <f t="shared" si="2"/>
        <v>31143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>M39+M23-B6+M45</f>
        <v>108623.16</v>
      </c>
      <c r="N42" s="25">
        <f>SUM(C42:M42)</f>
        <v>199554.16</v>
      </c>
      <c r="O42" s="7"/>
      <c r="P42" s="7"/>
      <c r="Q42" s="7"/>
      <c r="R42" s="7" t="s">
        <v>37</v>
      </c>
      <c r="S42" s="20">
        <f>N31/1000</f>
        <v>0.81399999999999995</v>
      </c>
      <c r="T42" s="13">
        <f>O31</f>
        <v>4.7756780700158995E-3</v>
      </c>
    </row>
    <row r="43" spans="1:47" ht="15">
      <c r="A43" s="23" t="s">
        <v>58</v>
      </c>
      <c r="B43" s="22"/>
      <c r="C43" s="17">
        <f t="shared" ref="C43:M43" si="3">C42/$N42</f>
        <v>0.21997035792187944</v>
      </c>
      <c r="D43" s="17">
        <f t="shared" si="3"/>
        <v>0</v>
      </c>
      <c r="E43" s="17">
        <f t="shared" si="3"/>
        <v>0</v>
      </c>
      <c r="F43" s="17">
        <f t="shared" si="3"/>
        <v>7.9637527977367145E-2</v>
      </c>
      <c r="G43" s="17">
        <f t="shared" si="3"/>
        <v>0.15606289540644003</v>
      </c>
      <c r="H43" s="17">
        <f t="shared" si="3"/>
        <v>0</v>
      </c>
      <c r="I43" s="17">
        <f t="shared" si="3"/>
        <v>0</v>
      </c>
      <c r="J43" s="17">
        <f t="shared" si="3"/>
        <v>0</v>
      </c>
      <c r="K43" s="17">
        <f t="shared" si="3"/>
        <v>0</v>
      </c>
      <c r="L43" s="17">
        <f t="shared" si="3"/>
        <v>0</v>
      </c>
      <c r="M43" s="17">
        <f t="shared" si="3"/>
        <v>0.54432921869431339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3.93</v>
      </c>
      <c r="T43" s="14">
        <f>O32</f>
        <v>2.3057020657447771E-2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34.250999999999998</v>
      </c>
      <c r="T44" s="14">
        <f>O34</f>
        <v>0.20094809530235205</v>
      </c>
    </row>
    <row r="45" spans="1:47" ht="15">
      <c r="A45" s="6" t="s">
        <v>61</v>
      </c>
      <c r="B45" s="6">
        <f>B23-B39</f>
        <v>8093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8046.16</v>
      </c>
      <c r="N45" s="25">
        <f>B45+M45</f>
        <v>16139.16</v>
      </c>
      <c r="O45" s="7"/>
      <c r="P45" s="7"/>
      <c r="Q45" s="7"/>
      <c r="R45" s="7" t="s">
        <v>62</v>
      </c>
      <c r="S45" s="20">
        <f>SUM(S39:S44)</f>
        <v>170.447</v>
      </c>
      <c r="T45" s="13">
        <f>SUM(T39:T44)</f>
        <v>0.99999999999999989</v>
      </c>
    </row>
    <row r="46" spans="1:47" ht="15">
      <c r="A46" s="38" t="s">
        <v>88</v>
      </c>
      <c r="B46" s="82">
        <f>B45/B23</f>
        <v>0.30992226094282543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 ht="15">
      <c r="A47" s="37"/>
      <c r="B47" s="37"/>
      <c r="C47" s="40"/>
      <c r="D47" s="4"/>
      <c r="E47" s="4"/>
      <c r="F47" s="48"/>
      <c r="G47" s="41"/>
      <c r="H47" s="40"/>
      <c r="I47" s="40"/>
      <c r="J47" s="40"/>
      <c r="K47" s="40"/>
      <c r="L47" s="40"/>
      <c r="M47" s="40"/>
      <c r="N47" s="40"/>
      <c r="O47" s="40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 ht="15">
      <c r="A48" s="40"/>
      <c r="B48" s="37"/>
      <c r="C48" s="40"/>
      <c r="D48" s="27"/>
      <c r="E48" s="4"/>
      <c r="F48" s="48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 ht="15">
      <c r="A49" s="40"/>
      <c r="B49" s="37"/>
      <c r="C49" s="40"/>
      <c r="D49" s="27"/>
      <c r="E49" s="4"/>
      <c r="F49" s="4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 ht="15">
      <c r="A50" s="40"/>
      <c r="B50" s="37"/>
      <c r="C50" s="40"/>
      <c r="D50" s="27"/>
      <c r="E50" s="4"/>
      <c r="F50" s="4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1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1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1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1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1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40"/>
      <c r="B55" s="37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1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1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 enableFormatConditionsCalculation="0"/>
  <dimension ref="A1:AU70"/>
  <sheetViews>
    <sheetView topLeftCell="A10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85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68">
        <f>22782</f>
        <v>22782</v>
      </c>
      <c r="C6" s="68">
        <v>0</v>
      </c>
      <c r="D6" s="68">
        <v>0</v>
      </c>
      <c r="E6" s="68">
        <v>0</v>
      </c>
      <c r="F6" s="68">
        <v>0</v>
      </c>
      <c r="G6" s="68">
        <v>0</v>
      </c>
      <c r="H6" s="3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857</v>
      </c>
      <c r="C7" s="38">
        <v>3942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3942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67">
        <v>9294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39">
        <f>B6+B7+B9</f>
        <v>32933</v>
      </c>
      <c r="C10" s="38">
        <f>C7</f>
        <v>3942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>
        <f>N7</f>
        <v>3942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85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68">
        <v>137511</v>
      </c>
      <c r="C17" s="68">
        <v>249</v>
      </c>
      <c r="D17" s="55">
        <v>0</v>
      </c>
      <c r="E17" s="55">
        <v>0</v>
      </c>
      <c r="F17" s="55">
        <v>0</v>
      </c>
      <c r="G17" s="68">
        <f>141373+57288</f>
        <v>198661</v>
      </c>
      <c r="H17" s="55">
        <v>0</v>
      </c>
      <c r="I17" s="55"/>
      <c r="J17" s="55"/>
      <c r="K17" s="55"/>
      <c r="L17" s="55"/>
      <c r="M17" s="55"/>
      <c r="N17" s="68">
        <f>G17+C17</f>
        <v>198910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38">
        <v>19521</v>
      </c>
      <c r="C18" s="38">
        <v>1662</v>
      </c>
      <c r="D18" s="55">
        <v>0</v>
      </c>
      <c r="E18" s="55">
        <v>0</v>
      </c>
      <c r="F18" s="55">
        <v>0</v>
      </c>
      <c r="G18" s="55">
        <v>22264</v>
      </c>
      <c r="H18" s="55">
        <v>0</v>
      </c>
      <c r="I18" s="55"/>
      <c r="J18" s="55"/>
      <c r="K18" s="55"/>
      <c r="L18" s="55"/>
      <c r="M18" s="55"/>
      <c r="N18" s="38">
        <v>23926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38">
        <v>1376</v>
      </c>
      <c r="C19" s="38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/>
      <c r="J19" s="55"/>
      <c r="K19" s="55"/>
      <c r="L19" s="55"/>
      <c r="M19" s="68">
        <f>1.015*B19</f>
        <v>1396.6399999999999</v>
      </c>
      <c r="N19" s="68">
        <v>1397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38">
        <v>0</v>
      </c>
      <c r="C20" s="38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/>
      <c r="J20" s="55"/>
      <c r="K20" s="55"/>
      <c r="L20" s="55"/>
      <c r="M20" s="55">
        <v>0</v>
      </c>
      <c r="N20" s="38">
        <v>0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38">
        <v>18204</v>
      </c>
      <c r="C21" s="38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/>
      <c r="J21" s="55"/>
      <c r="K21" s="55"/>
      <c r="L21" s="55"/>
      <c r="M21" s="55"/>
      <c r="N21" s="38">
        <v>0</v>
      </c>
      <c r="O21" s="3"/>
      <c r="P21" s="3"/>
      <c r="Q21" s="3"/>
      <c r="R21" s="3"/>
      <c r="S21" s="3"/>
      <c r="T21" s="3"/>
    </row>
    <row r="22" spans="1:20" ht="15">
      <c r="A22" s="4" t="s">
        <v>27</v>
      </c>
      <c r="B22" s="6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38"/>
      <c r="N22" s="38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38">
        <v>176612</v>
      </c>
      <c r="C23" s="38">
        <f>C18+C17</f>
        <v>1911</v>
      </c>
      <c r="D23" s="38">
        <v>0</v>
      </c>
      <c r="E23" s="38">
        <v>0</v>
      </c>
      <c r="F23" s="38">
        <v>0</v>
      </c>
      <c r="G23" s="38">
        <f>G18+G17</f>
        <v>220925</v>
      </c>
      <c r="H23" s="38">
        <v>0</v>
      </c>
      <c r="I23" s="38"/>
      <c r="J23" s="38"/>
      <c r="K23" s="38"/>
      <c r="L23" s="38"/>
      <c r="M23" s="68">
        <v>1397</v>
      </c>
      <c r="N23" s="68">
        <f>N19+N18+N17</f>
        <v>224233</v>
      </c>
      <c r="O23" s="3"/>
      <c r="P23" s="3"/>
      <c r="Q23" s="3"/>
      <c r="R23" s="3" t="s">
        <v>28</v>
      </c>
      <c r="S23" s="11">
        <f>N42/1000</f>
        <v>3896.1914400000001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2544.1744399999998</v>
      </c>
      <c r="T26" s="13">
        <f>M43</f>
        <v>0.65299010050697093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691.20899999999995</v>
      </c>
      <c r="T27" s="14">
        <f>G43</f>
        <v>0.17740632375086784</v>
      </c>
    </row>
    <row r="28" spans="1:20" ht="15">
      <c r="A28" s="37" t="s">
        <v>85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51.899000000000001</v>
      </c>
      <c r="T29" s="13">
        <f>F43</f>
        <v>1.3320444028284195E-2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0.21</v>
      </c>
      <c r="T30" s="13">
        <f>E43</f>
        <v>5.3898788915772578E-5</v>
      </c>
    </row>
    <row r="31" spans="1:20" ht="15">
      <c r="A31" s="5" t="s">
        <v>36</v>
      </c>
      <c r="B31" s="38">
        <v>0</v>
      </c>
      <c r="C31" s="38">
        <v>17186</v>
      </c>
      <c r="D31" s="38">
        <v>0</v>
      </c>
      <c r="E31" s="38">
        <v>0</v>
      </c>
      <c r="F31" s="38">
        <v>1780</v>
      </c>
      <c r="G31" s="38">
        <v>0</v>
      </c>
      <c r="H31" s="38">
        <v>0</v>
      </c>
      <c r="I31" s="38"/>
      <c r="J31" s="38"/>
      <c r="K31" s="38"/>
      <c r="L31" s="38"/>
      <c r="M31" s="38">
        <v>28132</v>
      </c>
      <c r="N31" s="38">
        <f>SUM(B31:M31)</f>
        <v>47098</v>
      </c>
      <c r="O31" s="17">
        <f>N31/N$39</f>
        <v>1.2874349216380804E-2</v>
      </c>
      <c r="P31" s="18" t="s">
        <v>37</v>
      </c>
      <c r="Q31" s="3"/>
      <c r="R31" s="3" t="s">
        <v>38</v>
      </c>
      <c r="S31" s="12">
        <f>C42/1000</f>
        <v>608.69899999999996</v>
      </c>
      <c r="T31" s="14">
        <f>C43</f>
        <v>0.15622923292496121</v>
      </c>
    </row>
    <row r="32" spans="1:20" ht="15">
      <c r="A32" s="5" t="s">
        <v>39</v>
      </c>
      <c r="B32" s="38">
        <v>4410</v>
      </c>
      <c r="C32" s="38">
        <f>30143+300</f>
        <v>30443</v>
      </c>
      <c r="D32" s="38">
        <v>0</v>
      </c>
      <c r="E32" s="67">
        <v>210</v>
      </c>
      <c r="F32" s="38">
        <v>661</v>
      </c>
      <c r="G32" s="67">
        <f>387100</f>
        <v>387100</v>
      </c>
      <c r="H32" s="38">
        <v>0</v>
      </c>
      <c r="I32" s="38"/>
      <c r="J32" s="38"/>
      <c r="K32" s="38"/>
      <c r="L32" s="38"/>
      <c r="M32" s="9">
        <f>(1809401)-12291</f>
        <v>1797110</v>
      </c>
      <c r="N32" s="38">
        <f t="shared" ref="N32:N38" si="0">SUM(B32:M32)</f>
        <v>2219934</v>
      </c>
      <c r="O32" s="17">
        <f>N32/N$39</f>
        <v>0.60682418687241713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38">
        <v>43004</v>
      </c>
      <c r="C33" s="38">
        <v>5672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8">
        <v>55827</v>
      </c>
      <c r="N33" s="38">
        <f t="shared" si="0"/>
        <v>104503</v>
      </c>
      <c r="O33" s="17">
        <f>N33/N$39</f>
        <v>2.8566141155875899E-2</v>
      </c>
      <c r="P33" s="18" t="s">
        <v>43</v>
      </c>
      <c r="Q33" s="3"/>
      <c r="R33" s="3" t="s">
        <v>8</v>
      </c>
      <c r="S33" s="12">
        <f>H42/1000</f>
        <v>0</v>
      </c>
      <c r="T33" s="13">
        <f>H43</f>
        <v>0</v>
      </c>
    </row>
    <row r="34" spans="1:47" ht="15">
      <c r="A34" s="5" t="s">
        <v>44</v>
      </c>
      <c r="B34" s="38">
        <v>0</v>
      </c>
      <c r="C34" s="38">
        <v>538850</v>
      </c>
      <c r="D34" s="38">
        <v>0</v>
      </c>
      <c r="E34" s="38">
        <v>0</v>
      </c>
      <c r="F34" s="38">
        <v>49458</v>
      </c>
      <c r="G34" s="38">
        <v>0</v>
      </c>
      <c r="H34" s="38">
        <v>0</v>
      </c>
      <c r="I34" s="38"/>
      <c r="J34" s="38"/>
      <c r="K34" s="38"/>
      <c r="L34" s="38"/>
      <c r="M34" s="38">
        <v>1490</v>
      </c>
      <c r="N34" s="38">
        <f t="shared" si="0"/>
        <v>589798</v>
      </c>
      <c r="O34" s="17">
        <f>N34/N$39</f>
        <v>0.16122267228168852</v>
      </c>
      <c r="P34" s="18" t="s">
        <v>45</v>
      </c>
      <c r="Q34" s="3"/>
      <c r="R34" s="3"/>
      <c r="S34" s="12">
        <f>SUM(S26:S33)</f>
        <v>3896.1914399999996</v>
      </c>
      <c r="T34" s="13">
        <f>SUM(T26:T33)</f>
        <v>1</v>
      </c>
    </row>
    <row r="35" spans="1:47" ht="15">
      <c r="A35" s="5" t="s">
        <v>46</v>
      </c>
      <c r="B35" s="38">
        <v>20795</v>
      </c>
      <c r="C35" s="38">
        <v>7498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>
        <v>117871</v>
      </c>
      <c r="N35" s="38">
        <f t="shared" si="0"/>
        <v>146164</v>
      </c>
      <c r="O35" s="17">
        <f>N35/N$39</f>
        <v>3.9954273618053503E-2</v>
      </c>
      <c r="P35" s="18" t="s">
        <v>47</v>
      </c>
      <c r="Q35" s="18"/>
    </row>
    <row r="36" spans="1:47" ht="15">
      <c r="A36" s="5" t="s">
        <v>48</v>
      </c>
      <c r="B36" s="38">
        <v>5671</v>
      </c>
      <c r="C36" s="38">
        <v>3098</v>
      </c>
      <c r="D36" s="38">
        <v>0</v>
      </c>
      <c r="E36" s="38">
        <v>0</v>
      </c>
      <c r="F36" s="38">
        <v>0</v>
      </c>
      <c r="G36" s="38">
        <v>83184</v>
      </c>
      <c r="H36" s="38">
        <v>0</v>
      </c>
      <c r="I36" s="38"/>
      <c r="J36" s="38"/>
      <c r="K36" s="38"/>
      <c r="L36" s="38"/>
      <c r="M36" s="38">
        <v>199162</v>
      </c>
      <c r="N36" s="38">
        <f t="shared" si="0"/>
        <v>291115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38">
        <v>83645</v>
      </c>
      <c r="C37" s="38">
        <v>99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>
        <v>25713</v>
      </c>
      <c r="N37" s="38">
        <f t="shared" si="0"/>
        <v>109457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>
        <v>150213</v>
      </c>
      <c r="N38" s="38">
        <f t="shared" si="0"/>
        <v>150213</v>
      </c>
      <c r="O38" s="18">
        <f>SUM(O31:O35)</f>
        <v>0.84944162314441574</v>
      </c>
      <c r="P38" s="18"/>
      <c r="Q38" s="3"/>
      <c r="R38" s="7" t="s">
        <v>51</v>
      </c>
      <c r="S38" s="19">
        <f>N45/1000</f>
        <v>209.12844000000001</v>
      </c>
      <c r="T38" s="7"/>
    </row>
    <row r="39" spans="1:47" ht="15">
      <c r="A39" s="5" t="s">
        <v>18</v>
      </c>
      <c r="B39" s="38">
        <f>SUM(B31:B38)</f>
        <v>157525</v>
      </c>
      <c r="C39" s="38">
        <f t="shared" ref="C39:M39" si="1">SUM(C31:C38)</f>
        <v>602846</v>
      </c>
      <c r="D39" s="38">
        <f t="shared" si="1"/>
        <v>0</v>
      </c>
      <c r="E39" s="38">
        <f t="shared" si="1"/>
        <v>210</v>
      </c>
      <c r="F39" s="38">
        <f t="shared" si="1"/>
        <v>51899</v>
      </c>
      <c r="G39" s="38">
        <f t="shared" si="1"/>
        <v>470284</v>
      </c>
      <c r="H39" s="38">
        <f t="shared" si="1"/>
        <v>0</v>
      </c>
      <c r="I39" s="38"/>
      <c r="J39" s="38"/>
      <c r="K39" s="38"/>
      <c r="L39" s="38"/>
      <c r="M39" s="38">
        <f t="shared" si="1"/>
        <v>2375518</v>
      </c>
      <c r="N39" s="67">
        <f>SUM(N31:N38)</f>
        <v>3658282</v>
      </c>
      <c r="O39" s="3"/>
      <c r="P39" s="3"/>
      <c r="Q39" s="3"/>
      <c r="R39" s="7" t="s">
        <v>52</v>
      </c>
      <c r="S39" s="20">
        <f>N41/1000</f>
        <v>550.78499999999997</v>
      </c>
      <c r="T39" s="13">
        <f>O41</f>
        <v>0.15055837685558413</v>
      </c>
    </row>
    <row r="40" spans="1:47">
      <c r="R40" s="7" t="s">
        <v>53</v>
      </c>
      <c r="S40" s="20">
        <f>N35/1000</f>
        <v>146.16399999999999</v>
      </c>
      <c r="T40" s="14">
        <f>O35</f>
        <v>3.9954273618053503E-2</v>
      </c>
    </row>
    <row r="41" spans="1:47" ht="15">
      <c r="A41" s="21" t="s">
        <v>54</v>
      </c>
      <c r="B41" s="22">
        <f>B38+B37+B36</f>
        <v>89316</v>
      </c>
      <c r="C41" s="22">
        <f t="shared" ref="C41:N41" si="2">C38+C37+C36</f>
        <v>3197</v>
      </c>
      <c r="D41" s="22">
        <f t="shared" si="2"/>
        <v>0</v>
      </c>
      <c r="E41" s="22">
        <f t="shared" si="2"/>
        <v>0</v>
      </c>
      <c r="F41" s="22">
        <f t="shared" si="2"/>
        <v>0</v>
      </c>
      <c r="G41" s="22">
        <f t="shared" si="2"/>
        <v>83184</v>
      </c>
      <c r="H41" s="22">
        <f t="shared" si="2"/>
        <v>0</v>
      </c>
      <c r="I41" s="22">
        <f t="shared" si="2"/>
        <v>0</v>
      </c>
      <c r="J41" s="22">
        <f t="shared" si="2"/>
        <v>0</v>
      </c>
      <c r="K41" s="22">
        <f t="shared" si="2"/>
        <v>0</v>
      </c>
      <c r="L41" s="22">
        <f t="shared" si="2"/>
        <v>0</v>
      </c>
      <c r="M41" s="22">
        <f t="shared" si="2"/>
        <v>375088</v>
      </c>
      <c r="N41" s="22">
        <f t="shared" si="2"/>
        <v>550785</v>
      </c>
      <c r="O41" s="17">
        <f>N41/N$39</f>
        <v>0.15055837685558413</v>
      </c>
      <c r="P41" s="17" t="s">
        <v>55</v>
      </c>
      <c r="Q41" s="7"/>
      <c r="R41" s="7" t="s">
        <v>56</v>
      </c>
      <c r="S41" s="20">
        <f>N33/1000</f>
        <v>104.503</v>
      </c>
      <c r="T41" s="13">
        <f>O33</f>
        <v>2.8566141155875899E-2</v>
      </c>
    </row>
    <row r="42" spans="1:47" ht="15">
      <c r="A42" s="23" t="s">
        <v>57</v>
      </c>
      <c r="B42" s="22"/>
      <c r="C42" s="24">
        <f>C39+C23+C10</f>
        <v>608699</v>
      </c>
      <c r="D42" s="24">
        <f t="shared" ref="D42:L42" si="3">D39+D23+D10</f>
        <v>0</v>
      </c>
      <c r="E42" s="24">
        <f t="shared" si="3"/>
        <v>210</v>
      </c>
      <c r="F42" s="24">
        <f t="shared" si="3"/>
        <v>51899</v>
      </c>
      <c r="G42" s="24">
        <f t="shared" si="3"/>
        <v>691209</v>
      </c>
      <c r="H42" s="24">
        <f t="shared" si="3"/>
        <v>0</v>
      </c>
      <c r="I42" s="24">
        <f t="shared" si="3"/>
        <v>0</v>
      </c>
      <c r="J42" s="24">
        <f t="shared" si="3"/>
        <v>0</v>
      </c>
      <c r="K42" s="24">
        <f t="shared" si="3"/>
        <v>0</v>
      </c>
      <c r="L42" s="24">
        <f t="shared" si="3"/>
        <v>0</v>
      </c>
      <c r="M42" s="24">
        <f>M39+M23-B6+M45</f>
        <v>2544174.44</v>
      </c>
      <c r="N42" s="25">
        <f>SUM(C42:M42)</f>
        <v>3896191.44</v>
      </c>
      <c r="O42" s="7"/>
      <c r="P42" s="7"/>
      <c r="Q42" s="7"/>
      <c r="R42" s="7" t="s">
        <v>37</v>
      </c>
      <c r="S42" s="20">
        <f>N31/1000</f>
        <v>47.097999999999999</v>
      </c>
      <c r="T42" s="13">
        <f>O31</f>
        <v>1.2874349216380804E-2</v>
      </c>
    </row>
    <row r="43" spans="1:47" ht="15">
      <c r="A43" s="23" t="s">
        <v>58</v>
      </c>
      <c r="B43" s="22"/>
      <c r="C43" s="17">
        <f t="shared" ref="C43:M43" si="4">C42/$N42</f>
        <v>0.15622923292496121</v>
      </c>
      <c r="D43" s="17">
        <f t="shared" si="4"/>
        <v>0</v>
      </c>
      <c r="E43" s="17">
        <f t="shared" si="4"/>
        <v>5.3898788915772578E-5</v>
      </c>
      <c r="F43" s="17">
        <f t="shared" si="4"/>
        <v>1.3320444028284195E-2</v>
      </c>
      <c r="G43" s="17">
        <f t="shared" si="4"/>
        <v>0.17740632375086784</v>
      </c>
      <c r="H43" s="17">
        <f t="shared" si="4"/>
        <v>0</v>
      </c>
      <c r="I43" s="17">
        <f t="shared" si="4"/>
        <v>0</v>
      </c>
      <c r="J43" s="17">
        <f t="shared" si="4"/>
        <v>0</v>
      </c>
      <c r="K43" s="17">
        <f t="shared" si="4"/>
        <v>0</v>
      </c>
      <c r="L43" s="17">
        <f t="shared" si="4"/>
        <v>0</v>
      </c>
      <c r="M43" s="17">
        <f t="shared" si="4"/>
        <v>0.65299010050697093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2219.9340000000002</v>
      </c>
      <c r="T43" s="14">
        <f>O32</f>
        <v>0.60682418687241713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589.798</v>
      </c>
      <c r="T44" s="14">
        <f>O34</f>
        <v>0.16122267228168852</v>
      </c>
    </row>
    <row r="45" spans="1:47" ht="15">
      <c r="A45" s="6" t="s">
        <v>61</v>
      </c>
      <c r="B45" s="6">
        <f>B23-B39</f>
        <v>19087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190041.44</v>
      </c>
      <c r="N45" s="25">
        <f>B45+M45</f>
        <v>209128.44</v>
      </c>
      <c r="O45" s="7"/>
      <c r="P45" s="7"/>
      <c r="Q45" s="7"/>
      <c r="R45" s="7" t="s">
        <v>62</v>
      </c>
      <c r="S45" s="20">
        <f>SUM(S39:S44)</f>
        <v>3658.2820000000002</v>
      </c>
      <c r="T45" s="13">
        <f>SUM(T39:T44)</f>
        <v>1</v>
      </c>
    </row>
    <row r="46" spans="1:47" ht="15">
      <c r="A46" s="38" t="s">
        <v>88</v>
      </c>
      <c r="B46" s="82">
        <f>B45/B23</f>
        <v>0.10807306411795348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40"/>
      <c r="B48" s="37"/>
      <c r="C48" s="40"/>
      <c r="D48" s="40"/>
      <c r="E48" s="40"/>
      <c r="F48" s="41"/>
      <c r="G48" s="40"/>
      <c r="H48" s="41"/>
      <c r="I48" s="40"/>
      <c r="J48" s="40"/>
      <c r="K48" s="40"/>
      <c r="L48" s="40"/>
      <c r="M48" s="40"/>
      <c r="N48" s="40"/>
      <c r="O48" s="41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1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1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1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1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1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40"/>
      <c r="B55" s="37"/>
      <c r="C55" s="40"/>
      <c r="D55" s="40"/>
      <c r="E55" s="40"/>
      <c r="F55" s="41"/>
      <c r="G55" s="40"/>
      <c r="H55" s="41"/>
      <c r="I55" s="40"/>
      <c r="J55" s="40"/>
      <c r="K55" s="40"/>
      <c r="L55" s="40"/>
      <c r="M55" s="40"/>
      <c r="N55" s="40"/>
      <c r="O55" s="41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1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0"/>
      <c r="E56" s="40"/>
      <c r="F56" s="41"/>
      <c r="G56" s="40"/>
      <c r="H56" s="41"/>
      <c r="I56" s="40"/>
      <c r="J56" s="40"/>
      <c r="K56" s="40"/>
      <c r="L56" s="40"/>
      <c r="M56" s="40"/>
      <c r="N56" s="40"/>
      <c r="O56" s="41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1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 enableFormatConditionsCalculation="0"/>
  <dimension ref="A1:AU70"/>
  <sheetViews>
    <sheetView topLeftCell="A15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86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38">
        <v>150097</v>
      </c>
      <c r="C6" s="68">
        <v>0</v>
      </c>
      <c r="D6" s="44">
        <v>0</v>
      </c>
      <c r="E6" s="44">
        <v>0</v>
      </c>
      <c r="F6" s="44">
        <v>0</v>
      </c>
      <c r="G6" s="68">
        <v>0</v>
      </c>
      <c r="H6" s="3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38">
        <v>150097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86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38">
        <v>561809</v>
      </c>
      <c r="C17" s="68">
        <v>1763</v>
      </c>
      <c r="D17" s="55">
        <v>0</v>
      </c>
      <c r="E17" s="55">
        <v>0</v>
      </c>
      <c r="F17" s="55">
        <v>0</v>
      </c>
      <c r="G17" s="68">
        <v>639022</v>
      </c>
      <c r="H17" s="38">
        <v>0</v>
      </c>
      <c r="I17" s="38"/>
      <c r="J17" s="38"/>
      <c r="K17" s="38"/>
      <c r="L17" s="38"/>
      <c r="M17" s="38"/>
      <c r="N17" s="38">
        <f>G17+C17</f>
        <v>640785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38">
        <v>4646</v>
      </c>
      <c r="C18" s="38">
        <v>4985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/>
      <c r="J18" s="38"/>
      <c r="K18" s="38"/>
      <c r="L18" s="38"/>
      <c r="M18" s="55"/>
      <c r="N18" s="38">
        <v>4985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55">
        <v>0</v>
      </c>
      <c r="N19" s="38"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55">
        <v>0</v>
      </c>
      <c r="N20" s="38">
        <v>0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55"/>
      <c r="N21" s="38">
        <v>0</v>
      </c>
      <c r="O21" s="3"/>
      <c r="P21" s="3"/>
      <c r="Q21" s="3"/>
      <c r="R21" s="3"/>
      <c r="S21" s="3"/>
      <c r="T21" s="3"/>
    </row>
    <row r="22" spans="1:20" ht="15">
      <c r="A22" s="4" t="s">
        <v>27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55"/>
      <c r="N22" s="38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38">
        <f>B18+B17</f>
        <v>566455</v>
      </c>
      <c r="C23" s="68">
        <f>C18+C17</f>
        <v>6748</v>
      </c>
      <c r="D23" s="38">
        <v>0</v>
      </c>
      <c r="E23" s="38">
        <v>0</v>
      </c>
      <c r="F23" s="38">
        <v>0</v>
      </c>
      <c r="G23" s="68">
        <f>G17</f>
        <v>639022</v>
      </c>
      <c r="H23" s="38">
        <v>0</v>
      </c>
      <c r="I23" s="38"/>
      <c r="J23" s="38"/>
      <c r="K23" s="38"/>
      <c r="L23" s="38"/>
      <c r="M23" s="38"/>
      <c r="N23" s="38">
        <f>N18+N17</f>
        <v>645770</v>
      </c>
      <c r="O23" s="3"/>
      <c r="P23" s="3"/>
      <c r="Q23" s="3"/>
      <c r="R23" s="3" t="s">
        <v>28</v>
      </c>
      <c r="S23" s="11">
        <f>N42/1000</f>
        <v>1572.28144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345.26443999999998</v>
      </c>
      <c r="T26" s="13">
        <f>M43</f>
        <v>0.21959455299555022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654.72299999999996</v>
      </c>
      <c r="T27" s="14">
        <f>G43</f>
        <v>0.41641590579355819</v>
      </c>
    </row>
    <row r="28" spans="1:20" ht="15">
      <c r="A28" s="37" t="s">
        <v>86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76.441999999999993</v>
      </c>
      <c r="T29" s="13">
        <f>F43</f>
        <v>4.8618522139395097E-2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2.1000000000000001E-2</v>
      </c>
      <c r="T30" s="13">
        <f>E43</f>
        <v>1.3356387390796905E-5</v>
      </c>
    </row>
    <row r="31" spans="1:20" ht="15">
      <c r="A31" s="5" t="s">
        <v>36</v>
      </c>
      <c r="B31" s="38">
        <v>0</v>
      </c>
      <c r="C31" s="38">
        <v>9985</v>
      </c>
      <c r="D31" s="38">
        <v>0</v>
      </c>
      <c r="E31" s="38">
        <v>0</v>
      </c>
      <c r="F31" s="38">
        <v>1033</v>
      </c>
      <c r="G31" s="38">
        <v>0</v>
      </c>
      <c r="H31" s="38">
        <v>0</v>
      </c>
      <c r="I31" s="38"/>
      <c r="J31" s="38"/>
      <c r="K31" s="38"/>
      <c r="L31" s="38"/>
      <c r="M31" s="38">
        <v>7816</v>
      </c>
      <c r="N31" s="38">
        <f>SUM(B31:M31)</f>
        <v>18834</v>
      </c>
      <c r="O31" s="17">
        <f>N31/N$39</f>
        <v>1.454431444261081E-2</v>
      </c>
      <c r="P31" s="18" t="s">
        <v>37</v>
      </c>
      <c r="Q31" s="3"/>
      <c r="R31" s="3" t="s">
        <v>38</v>
      </c>
      <c r="S31" s="12">
        <f>C42/1000</f>
        <v>495.83100000000002</v>
      </c>
      <c r="T31" s="14">
        <f>C43</f>
        <v>0.3153576626841057</v>
      </c>
    </row>
    <row r="32" spans="1:20" ht="15">
      <c r="A32" s="5" t="s">
        <v>39</v>
      </c>
      <c r="B32" s="38">
        <v>38798</v>
      </c>
      <c r="C32" s="67">
        <v>11390</v>
      </c>
      <c r="D32" s="38">
        <v>0</v>
      </c>
      <c r="E32" s="67">
        <v>21</v>
      </c>
      <c r="F32" s="38">
        <v>826</v>
      </c>
      <c r="G32" s="67">
        <v>1</v>
      </c>
      <c r="H32" s="38">
        <v>0</v>
      </c>
      <c r="I32" s="38"/>
      <c r="J32" s="38"/>
      <c r="K32" s="38"/>
      <c r="L32" s="38"/>
      <c r="M32" s="38">
        <v>20907</v>
      </c>
      <c r="N32" s="38">
        <f t="shared" ref="N32:N38" si="0">SUM(B32:M32)</f>
        <v>71943</v>
      </c>
      <c r="O32" s="17">
        <f>N32/N$39</f>
        <v>5.5557057127787489E-2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38">
        <v>17493</v>
      </c>
      <c r="C33" s="38">
        <v>302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8">
        <v>27753</v>
      </c>
      <c r="N33" s="38">
        <f t="shared" si="0"/>
        <v>45548</v>
      </c>
      <c r="O33" s="17">
        <f>N33/N$39</f>
        <v>3.5173857610281259E-2</v>
      </c>
      <c r="P33" s="18" t="s">
        <v>43</v>
      </c>
      <c r="Q33" s="3"/>
      <c r="R33" s="3" t="s">
        <v>8</v>
      </c>
      <c r="S33" s="12">
        <f>H42/1000</f>
        <v>0</v>
      </c>
      <c r="T33" s="13">
        <f>H43</f>
        <v>0</v>
      </c>
    </row>
    <row r="34" spans="1:47" ht="15">
      <c r="A34" s="5" t="s">
        <v>44</v>
      </c>
      <c r="B34" s="38">
        <v>0</v>
      </c>
      <c r="C34" s="38">
        <v>451731</v>
      </c>
      <c r="D34" s="38">
        <v>0</v>
      </c>
      <c r="E34" s="38">
        <v>0</v>
      </c>
      <c r="F34" s="38">
        <v>74583</v>
      </c>
      <c r="G34" s="38">
        <v>0</v>
      </c>
      <c r="H34" s="38">
        <v>0</v>
      </c>
      <c r="I34" s="38"/>
      <c r="J34" s="38"/>
      <c r="K34" s="38"/>
      <c r="L34" s="38"/>
      <c r="M34" s="38">
        <v>1897</v>
      </c>
      <c r="N34" s="38">
        <f t="shared" si="0"/>
        <v>528211</v>
      </c>
      <c r="O34" s="17">
        <f>N34/N$39</f>
        <v>0.40790415610310604</v>
      </c>
      <c r="P34" s="18" t="s">
        <v>45</v>
      </c>
      <c r="Q34" s="3"/>
      <c r="R34" s="3"/>
      <c r="S34" s="12">
        <f>SUM(S26:S33)</f>
        <v>1572.2814399999997</v>
      </c>
      <c r="T34" s="13">
        <f>SUM(T26:T33)</f>
        <v>1</v>
      </c>
    </row>
    <row r="35" spans="1:47" ht="15">
      <c r="A35" s="5" t="s">
        <v>46</v>
      </c>
      <c r="B35" s="38">
        <v>98323</v>
      </c>
      <c r="C35" s="38">
        <v>14742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>
        <v>263408</v>
      </c>
      <c r="N35" s="38">
        <f t="shared" si="0"/>
        <v>376473</v>
      </c>
      <c r="O35" s="17">
        <f>N35/N$39</f>
        <v>0.2907264357626112</v>
      </c>
      <c r="P35" s="18" t="s">
        <v>47</v>
      </c>
      <c r="Q35" s="18"/>
    </row>
    <row r="36" spans="1:47" ht="15">
      <c r="A36" s="5" t="s">
        <v>48</v>
      </c>
      <c r="B36" s="38">
        <v>2416</v>
      </c>
      <c r="C36" s="67">
        <v>831</v>
      </c>
      <c r="D36" s="38">
        <v>0</v>
      </c>
      <c r="E36" s="38">
        <v>0</v>
      </c>
      <c r="F36" s="38">
        <v>0</v>
      </c>
      <c r="G36" s="67">
        <v>15700</v>
      </c>
      <c r="H36" s="38">
        <v>0</v>
      </c>
      <c r="I36" s="38"/>
      <c r="J36" s="38"/>
      <c r="K36" s="38"/>
      <c r="L36" s="38"/>
      <c r="M36" s="38">
        <v>100742</v>
      </c>
      <c r="N36" s="38">
        <f t="shared" si="0"/>
        <v>119689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38">
        <v>97994</v>
      </c>
      <c r="C37" s="38">
        <v>102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>
        <v>30281</v>
      </c>
      <c r="N37" s="38">
        <f t="shared" si="0"/>
        <v>128377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>
        <v>5864</v>
      </c>
      <c r="N38" s="38">
        <f t="shared" si="0"/>
        <v>5864</v>
      </c>
      <c r="O38" s="18">
        <f>SUM(O31:O35)</f>
        <v>0.80390582104639674</v>
      </c>
      <c r="P38" s="18"/>
      <c r="Q38" s="3"/>
      <c r="R38" s="7" t="s">
        <v>51</v>
      </c>
      <c r="S38" s="19">
        <f>N45/1000</f>
        <v>63.12444</v>
      </c>
      <c r="T38" s="7"/>
    </row>
    <row r="39" spans="1:47" ht="15">
      <c r="A39" s="5" t="s">
        <v>18</v>
      </c>
      <c r="B39" s="38">
        <v>255024</v>
      </c>
      <c r="C39" s="65">
        <f>C31+C32+C33+C34+C35+C36+C37</f>
        <v>489083</v>
      </c>
      <c r="D39" s="38">
        <v>0</v>
      </c>
      <c r="E39" s="67">
        <f>E32</f>
        <v>21</v>
      </c>
      <c r="F39" s="38">
        <f>F34+F32+F31</f>
        <v>76442</v>
      </c>
      <c r="G39" s="67">
        <f>G36+G32</f>
        <v>15701</v>
      </c>
      <c r="H39" s="38">
        <v>0</v>
      </c>
      <c r="I39" s="38"/>
      <c r="J39" s="38"/>
      <c r="K39" s="38"/>
      <c r="L39" s="38"/>
      <c r="M39" s="38">
        <v>458668</v>
      </c>
      <c r="N39" s="38">
        <v>1294939</v>
      </c>
      <c r="O39" s="3"/>
      <c r="P39" s="3"/>
      <c r="Q39" s="3"/>
      <c r="R39" s="7" t="s">
        <v>52</v>
      </c>
      <c r="S39" s="20">
        <f>N41/1000</f>
        <v>253.93</v>
      </c>
      <c r="T39" s="13">
        <f>O41</f>
        <v>0.19609417895360323</v>
      </c>
    </row>
    <row r="40" spans="1:47">
      <c r="R40" s="7" t="s">
        <v>53</v>
      </c>
      <c r="S40" s="20">
        <f>N35/1000</f>
        <v>376.47300000000001</v>
      </c>
      <c r="T40" s="14">
        <f>O35</f>
        <v>0.2907264357626112</v>
      </c>
    </row>
    <row r="41" spans="1:47" ht="15">
      <c r="A41" s="21" t="s">
        <v>54</v>
      </c>
      <c r="B41" s="22">
        <f>B38+B37+B36</f>
        <v>100410</v>
      </c>
      <c r="C41" s="22">
        <f t="shared" ref="C41:N41" si="1">C38+C37+C36</f>
        <v>933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>G38+G37+G36</f>
        <v>15700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136887</v>
      </c>
      <c r="N41" s="22">
        <f t="shared" si="1"/>
        <v>253930</v>
      </c>
      <c r="O41" s="17">
        <f>N41/N$39</f>
        <v>0.19609417895360323</v>
      </c>
      <c r="P41" s="17" t="s">
        <v>55</v>
      </c>
      <c r="Q41" s="7"/>
      <c r="R41" s="7" t="s">
        <v>56</v>
      </c>
      <c r="S41" s="20">
        <f>N33/1000</f>
        <v>45.548000000000002</v>
      </c>
      <c r="T41" s="13">
        <f>O33</f>
        <v>3.5173857610281259E-2</v>
      </c>
    </row>
    <row r="42" spans="1:47" ht="15">
      <c r="A42" s="23" t="s">
        <v>57</v>
      </c>
      <c r="B42" s="22"/>
      <c r="C42" s="24">
        <f>C39+C23+C10</f>
        <v>495831</v>
      </c>
      <c r="D42" s="24">
        <f t="shared" ref="D42:L42" si="2">D39+D23+D10</f>
        <v>0</v>
      </c>
      <c r="E42" s="24">
        <f t="shared" si="2"/>
        <v>21</v>
      </c>
      <c r="F42" s="24">
        <f t="shared" si="2"/>
        <v>76442</v>
      </c>
      <c r="G42" s="24">
        <f t="shared" si="2"/>
        <v>654723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>M39+M23-B6+M45</f>
        <v>345264.44</v>
      </c>
      <c r="N42" s="25">
        <f>SUM(C42:M42)</f>
        <v>1572281.44</v>
      </c>
      <c r="O42" s="7"/>
      <c r="P42" s="7"/>
      <c r="Q42" s="7"/>
      <c r="R42" s="7" t="s">
        <v>37</v>
      </c>
      <c r="S42" s="20">
        <f>N31/1000</f>
        <v>18.834</v>
      </c>
      <c r="T42" s="13">
        <f>O31</f>
        <v>1.454431444261081E-2</v>
      </c>
    </row>
    <row r="43" spans="1:47" ht="15">
      <c r="A43" s="23" t="s">
        <v>58</v>
      </c>
      <c r="B43" s="22"/>
      <c r="C43" s="17">
        <f t="shared" ref="C43:M43" si="3">C42/$N42</f>
        <v>0.3153576626841057</v>
      </c>
      <c r="D43" s="17">
        <f t="shared" si="3"/>
        <v>0</v>
      </c>
      <c r="E43" s="17">
        <f t="shared" si="3"/>
        <v>1.3356387390796905E-5</v>
      </c>
      <c r="F43" s="17">
        <f t="shared" si="3"/>
        <v>4.8618522139395097E-2</v>
      </c>
      <c r="G43" s="17">
        <f t="shared" si="3"/>
        <v>0.41641590579355819</v>
      </c>
      <c r="H43" s="17">
        <f t="shared" si="3"/>
        <v>0</v>
      </c>
      <c r="I43" s="17">
        <f t="shared" si="3"/>
        <v>0</v>
      </c>
      <c r="J43" s="17">
        <f t="shared" si="3"/>
        <v>0</v>
      </c>
      <c r="K43" s="17">
        <f t="shared" si="3"/>
        <v>0</v>
      </c>
      <c r="L43" s="17">
        <f t="shared" si="3"/>
        <v>0</v>
      </c>
      <c r="M43" s="17">
        <f t="shared" si="3"/>
        <v>0.21959455299555022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71.942999999999998</v>
      </c>
      <c r="T43" s="14">
        <f>O32</f>
        <v>5.5557057127787489E-2</v>
      </c>
    </row>
    <row r="44" spans="1:47">
      <c r="A44" s="6" t="s">
        <v>94</v>
      </c>
      <c r="B44" s="51">
        <v>285000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528.21100000000001</v>
      </c>
      <c r="T44" s="14">
        <f>O34</f>
        <v>0.40790415610310604</v>
      </c>
    </row>
    <row r="45" spans="1:47" ht="15">
      <c r="A45" s="6" t="s">
        <v>61</v>
      </c>
      <c r="B45" s="6">
        <f>B23-B44-B39</f>
        <v>26431</v>
      </c>
      <c r="E45" s="70"/>
      <c r="F45" s="70"/>
      <c r="G45" s="6"/>
      <c r="H45" s="6"/>
      <c r="I45" s="6"/>
      <c r="J45" s="6"/>
      <c r="K45" s="6"/>
      <c r="L45" s="6"/>
      <c r="M45" s="26">
        <f>M39*0.08</f>
        <v>36693.440000000002</v>
      </c>
      <c r="N45" s="25">
        <f>B45+M45</f>
        <v>63124.44</v>
      </c>
      <c r="O45" s="7"/>
      <c r="P45" s="7"/>
      <c r="Q45" s="7"/>
      <c r="R45" s="7" t="s">
        <v>62</v>
      </c>
      <c r="S45" s="20">
        <f>SUM(S39:S44)</f>
        <v>1294.9389999999999</v>
      </c>
      <c r="T45" s="13">
        <f>SUM(T39:T44)</f>
        <v>1</v>
      </c>
    </row>
    <row r="46" spans="1:47" ht="15">
      <c r="A46" s="38" t="s">
        <v>88</v>
      </c>
      <c r="B46" s="82">
        <f>B45/B23</f>
        <v>4.6660370197103035E-2</v>
      </c>
      <c r="D46" s="70"/>
      <c r="E46" s="70"/>
      <c r="F46" s="70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/>
      <c r="B47" s="37"/>
      <c r="D47" s="70"/>
      <c r="E47" s="70"/>
      <c r="F47" s="71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40"/>
      <c r="B48" s="37"/>
      <c r="C48" s="71"/>
      <c r="D48" s="71"/>
      <c r="E48" s="71"/>
      <c r="F48" s="72"/>
      <c r="G48" s="40"/>
      <c r="H48" s="41"/>
      <c r="I48" s="40"/>
      <c r="J48" s="40"/>
      <c r="K48" s="40"/>
      <c r="L48" s="40"/>
      <c r="M48" s="40"/>
      <c r="N48" s="40"/>
      <c r="O48" s="40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40"/>
      <c r="B52" s="37"/>
      <c r="C52" s="40"/>
      <c r="D52" s="41"/>
      <c r="E52" s="40"/>
      <c r="F52" s="40"/>
      <c r="G52" s="40"/>
      <c r="H52" s="41"/>
      <c r="I52" s="40"/>
      <c r="J52" s="40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40"/>
      <c r="B55" s="37"/>
      <c r="C55" s="40"/>
      <c r="D55" s="41"/>
      <c r="E55" s="40"/>
      <c r="F55" s="41"/>
      <c r="G55" s="40"/>
      <c r="H55" s="41"/>
      <c r="I55" s="40"/>
      <c r="J55" s="4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1"/>
      <c r="E56" s="40"/>
      <c r="F56" s="41"/>
      <c r="G56" s="40"/>
      <c r="H56" s="41"/>
      <c r="I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 enableFormatConditionsCalculation="0"/>
  <dimension ref="A1:AU70"/>
  <sheetViews>
    <sheetView topLeftCell="A16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87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68">
        <v>5138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6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68">
        <v>5138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87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70" t="s">
        <v>20</v>
      </c>
      <c r="C15" s="70" t="s">
        <v>3</v>
      </c>
      <c r="D15" s="70" t="s">
        <v>4</v>
      </c>
      <c r="E15" s="70" t="s">
        <v>5</v>
      </c>
      <c r="F15" s="70" t="s">
        <v>21</v>
      </c>
      <c r="G15" s="70" t="s">
        <v>7</v>
      </c>
      <c r="H15" s="70" t="s">
        <v>8</v>
      </c>
      <c r="I15" s="70" t="s">
        <v>6</v>
      </c>
      <c r="J15" s="70" t="s">
        <v>9</v>
      </c>
      <c r="K15" s="70" t="s">
        <v>10</v>
      </c>
      <c r="L15" s="70" t="s">
        <v>11</v>
      </c>
      <c r="M15" s="70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68">
        <f>174000+(19633*0.83)</f>
        <v>190295.39</v>
      </c>
      <c r="C17" s="68">
        <v>19200</v>
      </c>
      <c r="D17" s="55">
        <v>0</v>
      </c>
      <c r="E17" s="55">
        <v>0</v>
      </c>
      <c r="F17" s="55">
        <v>0</v>
      </c>
      <c r="G17" s="68">
        <v>10200</v>
      </c>
      <c r="H17" s="55">
        <v>0</v>
      </c>
      <c r="I17" s="55"/>
      <c r="J17" s="55"/>
      <c r="K17" s="68">
        <v>157500</v>
      </c>
      <c r="L17" s="55"/>
      <c r="M17" s="55"/>
      <c r="N17" s="38">
        <f>K17+G17+C17</f>
        <v>186900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55">
        <f>34559+(19633*0.17)</f>
        <v>37896.61</v>
      </c>
      <c r="C18" s="55">
        <v>2119</v>
      </c>
      <c r="D18" s="55">
        <v>0</v>
      </c>
      <c r="E18" s="55">
        <v>0</v>
      </c>
      <c r="F18" s="55">
        <v>0</v>
      </c>
      <c r="G18" s="55">
        <v>36255</v>
      </c>
      <c r="H18" s="55">
        <v>0</v>
      </c>
      <c r="I18" s="55"/>
      <c r="J18" s="55"/>
      <c r="K18" s="55"/>
      <c r="L18" s="55"/>
      <c r="M18" s="55"/>
      <c r="N18" s="38">
        <v>38374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81">
        <v>26600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/>
      <c r="J19" s="55"/>
      <c r="K19" s="55"/>
      <c r="L19" s="55"/>
      <c r="M19" s="68">
        <f>B19*1.015</f>
        <v>26998.999999999996</v>
      </c>
      <c r="N19" s="38">
        <f>M19</f>
        <v>26998.999999999996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/>
      <c r="J20" s="55"/>
      <c r="K20" s="55"/>
      <c r="L20" s="55"/>
      <c r="M20" s="55">
        <v>0</v>
      </c>
      <c r="N20" s="38">
        <v>0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55">
        <v>27791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/>
      <c r="J21" s="55"/>
      <c r="K21" s="55"/>
      <c r="L21" s="55"/>
      <c r="M21" s="55"/>
      <c r="N21" s="38">
        <v>0</v>
      </c>
      <c r="O21" s="3"/>
      <c r="P21" s="3"/>
      <c r="Q21" s="3"/>
      <c r="R21" s="3"/>
      <c r="S21" s="3"/>
      <c r="T21" s="3"/>
    </row>
    <row r="22" spans="1:20" ht="15">
      <c r="A22" s="4" t="s">
        <v>27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/>
      <c r="J22" s="55"/>
      <c r="K22" s="55"/>
      <c r="L22" s="55"/>
      <c r="M22" s="55"/>
      <c r="N22" s="38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53">
        <f>B22+B21+B18+B17+B19</f>
        <v>282583</v>
      </c>
      <c r="C23" s="38">
        <f>C18+C17</f>
        <v>21319</v>
      </c>
      <c r="D23" s="38">
        <v>0</v>
      </c>
      <c r="E23" s="38">
        <v>0</v>
      </c>
      <c r="F23" s="38">
        <v>0</v>
      </c>
      <c r="G23" s="38">
        <f>G18+G17</f>
        <v>46455</v>
      </c>
      <c r="H23" s="38">
        <v>0</v>
      </c>
      <c r="I23" s="38"/>
      <c r="J23" s="38"/>
      <c r="K23" s="38">
        <f>K17</f>
        <v>157500</v>
      </c>
      <c r="L23" s="38"/>
      <c r="M23" s="38">
        <f>M19</f>
        <v>26998.999999999996</v>
      </c>
      <c r="N23" s="38">
        <f>N19+N18+N17</f>
        <v>252273</v>
      </c>
      <c r="O23" s="3"/>
      <c r="P23" s="3"/>
      <c r="Q23" s="3"/>
      <c r="R23" s="3" t="s">
        <v>28</v>
      </c>
      <c r="S23" s="11">
        <f>N42/1000</f>
        <v>1549.7023999999999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C25" s="43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398.59740000000005</v>
      </c>
      <c r="T26" s="13">
        <f>M43</f>
        <v>0.25720899703065575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67.656000000000006</v>
      </c>
      <c r="T27" s="14">
        <f>G43</f>
        <v>4.3657414481644993E-2</v>
      </c>
    </row>
    <row r="28" spans="1:20" ht="15">
      <c r="A28" s="37" t="s">
        <v>87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10.941000000000001</v>
      </c>
      <c r="T29" s="13">
        <f>F43</f>
        <v>7.0600652099396637E-3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557.76599999999996</v>
      </c>
      <c r="T30" s="13">
        <f>E43</f>
        <v>0.35991813654028026</v>
      </c>
    </row>
    <row r="31" spans="1:20" ht="15">
      <c r="A31" s="5" t="s">
        <v>36</v>
      </c>
      <c r="B31" s="38">
        <v>0</v>
      </c>
      <c r="C31" s="38">
        <v>4289</v>
      </c>
      <c r="D31" s="38">
        <v>0</v>
      </c>
      <c r="E31" s="38">
        <v>0</v>
      </c>
      <c r="F31" s="38">
        <v>441</v>
      </c>
      <c r="G31" s="38">
        <v>0</v>
      </c>
      <c r="H31" s="38">
        <v>0</v>
      </c>
      <c r="I31" s="38"/>
      <c r="J31" s="38"/>
      <c r="K31" s="38"/>
      <c r="L31" s="38"/>
      <c r="M31" s="38">
        <v>89</v>
      </c>
      <c r="N31" s="38">
        <v>4819</v>
      </c>
      <c r="O31" s="17">
        <f>N31/N$39</f>
        <v>3.1628268413014388E-3</v>
      </c>
      <c r="P31" s="18" t="s">
        <v>37</v>
      </c>
      <c r="Q31" s="3"/>
      <c r="R31" s="3" t="s">
        <v>38</v>
      </c>
      <c r="S31" s="12">
        <f>C42/1000</f>
        <v>357.24200000000002</v>
      </c>
      <c r="T31" s="14">
        <f>C43</f>
        <v>0.23052297008767619</v>
      </c>
    </row>
    <row r="32" spans="1:20" ht="15">
      <c r="A32" s="5" t="s">
        <v>39</v>
      </c>
      <c r="B32" s="68">
        <v>177600</v>
      </c>
      <c r="C32" s="67">
        <v>198606</v>
      </c>
      <c r="D32" s="38">
        <v>0</v>
      </c>
      <c r="E32" s="67">
        <v>557766</v>
      </c>
      <c r="F32" s="38">
        <v>27</v>
      </c>
      <c r="G32" s="67">
        <v>1</v>
      </c>
      <c r="H32" s="38">
        <v>0</v>
      </c>
      <c r="I32" s="38"/>
      <c r="J32" s="38"/>
      <c r="K32" s="38"/>
      <c r="L32" s="38"/>
      <c r="M32" s="38">
        <v>109944</v>
      </c>
      <c r="N32" s="68">
        <f>SUM(B32:M32)</f>
        <v>1043944</v>
      </c>
      <c r="O32" s="17">
        <f>N32/N$39</f>
        <v>0.68516582361809275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38">
        <v>12970</v>
      </c>
      <c r="C33" s="38">
        <v>2555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8">
        <v>37109</v>
      </c>
      <c r="N33" s="38">
        <v>52634</v>
      </c>
      <c r="O33" s="17">
        <f>N33/N$39</f>
        <v>3.4544973638734162E-2</v>
      </c>
      <c r="P33" s="18" t="s">
        <v>43</v>
      </c>
      <c r="Q33" s="3"/>
      <c r="R33" s="3" t="s">
        <v>8</v>
      </c>
      <c r="S33" s="12">
        <f>H42/1000</f>
        <v>0</v>
      </c>
      <c r="T33" s="13">
        <f>H43</f>
        <v>0</v>
      </c>
    </row>
    <row r="34" spans="1:47" ht="15">
      <c r="A34" s="5" t="s">
        <v>44</v>
      </c>
      <c r="B34" s="38">
        <v>0</v>
      </c>
      <c r="C34" s="38">
        <v>126919</v>
      </c>
      <c r="D34" s="38">
        <v>0</v>
      </c>
      <c r="E34" s="38">
        <v>0</v>
      </c>
      <c r="F34" s="38">
        <v>10473</v>
      </c>
      <c r="G34" s="38">
        <v>0</v>
      </c>
      <c r="H34" s="38">
        <v>0</v>
      </c>
      <c r="I34" s="38"/>
      <c r="J34" s="38"/>
      <c r="K34" s="38"/>
      <c r="L34" s="38"/>
      <c r="M34" s="38">
        <v>31282</v>
      </c>
      <c r="N34" s="38">
        <v>168674</v>
      </c>
      <c r="O34" s="17">
        <f>N34/N$39</f>
        <v>0.11070484636432432</v>
      </c>
      <c r="P34" s="18" t="s">
        <v>45</v>
      </c>
      <c r="Q34" s="3"/>
      <c r="R34" s="3"/>
      <c r="S34" s="12">
        <f>SUM(S26:S33)</f>
        <v>1392.2023999999999</v>
      </c>
      <c r="T34" s="13">
        <f>SUM(T26:T33)</f>
        <v>0.89836758335019684</v>
      </c>
    </row>
    <row r="35" spans="1:47" ht="15">
      <c r="A35" s="5" t="s">
        <v>46</v>
      </c>
      <c r="B35" s="38">
        <v>4782</v>
      </c>
      <c r="C35" s="38">
        <v>2455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>
        <v>50008</v>
      </c>
      <c r="N35" s="38">
        <v>57245</v>
      </c>
      <c r="O35" s="17">
        <f>N35/N$39</f>
        <v>3.7571285023926301E-2</v>
      </c>
      <c r="P35" s="18" t="s">
        <v>47</v>
      </c>
      <c r="Q35" s="18"/>
    </row>
    <row r="36" spans="1:47" ht="15">
      <c r="A36" s="5" t="s">
        <v>48</v>
      </c>
      <c r="B36" s="38">
        <v>188</v>
      </c>
      <c r="C36" s="67">
        <f>N36-M36-B36-G36</f>
        <v>1059</v>
      </c>
      <c r="D36" s="38">
        <v>0</v>
      </c>
      <c r="E36" s="38">
        <v>0</v>
      </c>
      <c r="F36" s="38">
        <v>0</v>
      </c>
      <c r="G36" s="67">
        <v>21200</v>
      </c>
      <c r="H36" s="38">
        <v>0</v>
      </c>
      <c r="I36" s="38"/>
      <c r="J36" s="38"/>
      <c r="K36" s="38"/>
      <c r="L36" s="38"/>
      <c r="M36" s="38">
        <v>81463</v>
      </c>
      <c r="N36" s="38">
        <v>103910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38">
        <v>53436</v>
      </c>
      <c r="C37" s="38">
        <v>40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>
        <v>13577</v>
      </c>
      <c r="N37" s="38">
        <v>67053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>
        <v>25358</v>
      </c>
      <c r="N38" s="38">
        <v>25358</v>
      </c>
      <c r="O38" s="18">
        <f>SUM(O31:O35)</f>
        <v>0.87114975548637896</v>
      </c>
      <c r="P38" s="18"/>
      <c r="Q38" s="3"/>
      <c r="R38" s="7" t="s">
        <v>51</v>
      </c>
      <c r="S38" s="19">
        <f>N45/1000</f>
        <v>61.513400000000004</v>
      </c>
      <c r="T38" s="7"/>
    </row>
    <row r="39" spans="1:47" ht="15">
      <c r="A39" s="5" t="s">
        <v>18</v>
      </c>
      <c r="B39" s="68">
        <f>B32+B33+B35+B36+B37</f>
        <v>248976</v>
      </c>
      <c r="C39" s="67">
        <f>SUM(C31:C38)</f>
        <v>335923</v>
      </c>
      <c r="D39" s="38">
        <v>0</v>
      </c>
      <c r="E39" s="67">
        <f>SUM(E31:E38)</f>
        <v>557766</v>
      </c>
      <c r="F39" s="38">
        <v>10941</v>
      </c>
      <c r="G39" s="67">
        <f>SUM(G31:G38)</f>
        <v>21201</v>
      </c>
      <c r="H39" s="38">
        <v>0</v>
      </c>
      <c r="I39" s="38"/>
      <c r="J39" s="38"/>
      <c r="K39" s="38"/>
      <c r="L39" s="38"/>
      <c r="M39" s="38">
        <v>348830</v>
      </c>
      <c r="N39" s="68">
        <f>SUM(B39:M39)</f>
        <v>1523637</v>
      </c>
      <c r="O39" s="3"/>
      <c r="P39" s="3"/>
      <c r="Q39" s="3"/>
      <c r="R39" s="7" t="s">
        <v>52</v>
      </c>
      <c r="S39" s="20">
        <f>N41/1000</f>
        <v>196.321</v>
      </c>
      <c r="T39" s="13">
        <f>O41</f>
        <v>0.12885024451362104</v>
      </c>
    </row>
    <row r="40" spans="1:47">
      <c r="R40" s="7" t="s">
        <v>53</v>
      </c>
      <c r="S40" s="20">
        <f>N35/1000</f>
        <v>57.244999999999997</v>
      </c>
      <c r="T40" s="14">
        <f>O35</f>
        <v>3.7571285023926301E-2</v>
      </c>
    </row>
    <row r="41" spans="1:47" ht="15">
      <c r="A41" s="21" t="s">
        <v>54</v>
      </c>
      <c r="B41" s="22">
        <f>B38+B37+B36</f>
        <v>53624</v>
      </c>
      <c r="C41" s="22">
        <f t="shared" ref="C41:N41" si="0">C38+C37+C36</f>
        <v>1099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21200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120398</v>
      </c>
      <c r="N41" s="22">
        <f t="shared" si="0"/>
        <v>196321</v>
      </c>
      <c r="O41" s="17">
        <f>N41/N$39</f>
        <v>0.12885024451362104</v>
      </c>
      <c r="P41" s="17" t="s">
        <v>55</v>
      </c>
      <c r="Q41" s="7"/>
      <c r="R41" s="7" t="s">
        <v>56</v>
      </c>
      <c r="S41" s="20">
        <f>N33/1000</f>
        <v>52.634</v>
      </c>
      <c r="T41" s="13">
        <f>O33</f>
        <v>3.4544973638734162E-2</v>
      </c>
    </row>
    <row r="42" spans="1:47" ht="15">
      <c r="A42" s="23" t="s">
        <v>57</v>
      </c>
      <c r="B42" s="22"/>
      <c r="C42" s="24">
        <f>C39+C23+C10</f>
        <v>357242</v>
      </c>
      <c r="D42" s="24">
        <f t="shared" ref="D42:L42" si="1">D39+D23+D10</f>
        <v>0</v>
      </c>
      <c r="E42" s="24">
        <f t="shared" si="1"/>
        <v>557766</v>
      </c>
      <c r="F42" s="24">
        <f t="shared" si="1"/>
        <v>10941</v>
      </c>
      <c r="G42" s="24">
        <f t="shared" si="1"/>
        <v>67656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157500</v>
      </c>
      <c r="L42" s="24">
        <f t="shared" si="1"/>
        <v>0</v>
      </c>
      <c r="M42" s="24">
        <f>M39+M23-B6+M45</f>
        <v>398597.4</v>
      </c>
      <c r="N42" s="25">
        <f>SUM(C42:M42)</f>
        <v>1549702.4</v>
      </c>
      <c r="O42" s="7"/>
      <c r="P42" s="7"/>
      <c r="Q42" s="7"/>
      <c r="R42" s="7" t="s">
        <v>37</v>
      </c>
      <c r="S42" s="20">
        <f>N31/1000</f>
        <v>4.819</v>
      </c>
      <c r="T42" s="13">
        <f>O31</f>
        <v>3.1628268413014388E-3</v>
      </c>
    </row>
    <row r="43" spans="1:47" ht="15">
      <c r="A43" s="23" t="s">
        <v>58</v>
      </c>
      <c r="B43" s="22"/>
      <c r="C43" s="17">
        <f t="shared" ref="C43:M43" si="2">C42/$N42</f>
        <v>0.23052297008767619</v>
      </c>
      <c r="D43" s="17">
        <f t="shared" si="2"/>
        <v>0</v>
      </c>
      <c r="E43" s="17">
        <f t="shared" si="2"/>
        <v>0.35991813654028026</v>
      </c>
      <c r="F43" s="17">
        <f t="shared" si="2"/>
        <v>7.0600652099396637E-3</v>
      </c>
      <c r="G43" s="17">
        <f t="shared" si="2"/>
        <v>4.3657414481644993E-2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0.10163241664980321</v>
      </c>
      <c r="L43" s="17">
        <f t="shared" si="2"/>
        <v>0</v>
      </c>
      <c r="M43" s="17">
        <f t="shared" si="2"/>
        <v>0.25720899703065575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1043.944</v>
      </c>
      <c r="T43" s="14">
        <f>O32</f>
        <v>0.68516582361809275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168.67400000000001</v>
      </c>
      <c r="T44" s="14">
        <f>O34</f>
        <v>0.11070484636432432</v>
      </c>
    </row>
    <row r="45" spans="1:47" ht="15">
      <c r="A45" s="6" t="s">
        <v>61</v>
      </c>
      <c r="B45" s="6">
        <f>B23-B39</f>
        <v>33607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27906.400000000001</v>
      </c>
      <c r="N45" s="25">
        <f>B45+M45</f>
        <v>61513.4</v>
      </c>
      <c r="O45" s="7"/>
      <c r="P45" s="7"/>
      <c r="Q45" s="7"/>
      <c r="R45" s="7" t="s">
        <v>62</v>
      </c>
      <c r="S45" s="20">
        <f>SUM(S39:S44)</f>
        <v>1523.6369999999999</v>
      </c>
      <c r="T45" s="13">
        <f>SUM(T39:T44)</f>
        <v>1</v>
      </c>
    </row>
    <row r="46" spans="1:47" ht="15">
      <c r="A46" s="38" t="s">
        <v>88</v>
      </c>
      <c r="B46" s="82">
        <f>B45/B23</f>
        <v>0.11892789021278705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40"/>
      <c r="B48" s="45"/>
      <c r="C48" s="40"/>
      <c r="D48" s="41"/>
      <c r="E48" s="40"/>
      <c r="F48" s="41"/>
      <c r="G48" s="40"/>
      <c r="H48" s="41"/>
      <c r="I48" s="40"/>
      <c r="J48" s="40"/>
      <c r="K48" s="40"/>
      <c r="L48" s="40"/>
      <c r="M48" s="40"/>
      <c r="N48" s="40"/>
      <c r="O48" s="40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>
      <c r="A49" s="40"/>
      <c r="B49" s="45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>
      <c r="A50" s="40"/>
      <c r="B50" s="4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40"/>
      <c r="B52" s="37"/>
      <c r="C52" s="40"/>
      <c r="D52" s="41"/>
      <c r="E52" s="40"/>
      <c r="F52" s="40"/>
      <c r="G52" s="40"/>
      <c r="H52" s="41"/>
      <c r="I52" s="40"/>
      <c r="J52" s="40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40"/>
      <c r="B55" s="37"/>
      <c r="C55" s="40"/>
      <c r="D55" s="41"/>
      <c r="E55" s="40"/>
      <c r="F55" s="41"/>
      <c r="G55" s="40"/>
      <c r="H55" s="41"/>
      <c r="I55" s="40"/>
      <c r="J55" s="4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1"/>
      <c r="E56" s="40"/>
      <c r="F56" s="41"/>
      <c r="G56" s="40"/>
      <c r="H56" s="41"/>
      <c r="I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/>
  <dimension ref="A1:AU70"/>
  <sheetViews>
    <sheetView topLeftCell="A14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1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4" t="s">
        <v>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>
        <v>0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8">
        <v>33825</v>
      </c>
      <c r="C18" s="8">
        <v>7231</v>
      </c>
      <c r="D18" s="8">
        <v>0</v>
      </c>
      <c r="E18" s="8">
        <v>0</v>
      </c>
      <c r="F18" s="8">
        <v>18678</v>
      </c>
      <c r="G18" s="8">
        <v>12422</v>
      </c>
      <c r="H18" s="8">
        <v>0</v>
      </c>
      <c r="I18" s="8"/>
      <c r="J18" s="8"/>
      <c r="K18" s="8"/>
      <c r="L18" s="8"/>
      <c r="M18" s="8"/>
      <c r="N18" s="8">
        <v>38331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60">
        <v>0</v>
      </c>
      <c r="N19" s="60"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8">
        <v>32851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60">
        <f>0.33*B20</f>
        <v>10840.83</v>
      </c>
      <c r="N20" s="60">
        <f>M20</f>
        <v>10840.83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60"/>
      <c r="N21" s="60">
        <v>0</v>
      </c>
      <c r="O21" s="3"/>
      <c r="P21" s="3"/>
      <c r="Q21" s="3"/>
      <c r="R21" s="3"/>
      <c r="S21" s="3"/>
      <c r="T21" s="3"/>
    </row>
    <row r="22" spans="1:20" ht="15">
      <c r="A22" s="4" t="s">
        <v>95</v>
      </c>
      <c r="B22" s="53">
        <v>124000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60"/>
      <c r="N22" s="60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60">
        <f>B22+B20+B18</f>
        <v>190676</v>
      </c>
      <c r="C23" s="8">
        <v>7231</v>
      </c>
      <c r="D23" s="8">
        <v>0</v>
      </c>
      <c r="E23" s="8">
        <v>0</v>
      </c>
      <c r="F23" s="8">
        <v>18678</v>
      </c>
      <c r="G23" s="8">
        <v>12422</v>
      </c>
      <c r="H23" s="8">
        <v>0</v>
      </c>
      <c r="I23" s="8"/>
      <c r="J23" s="8"/>
      <c r="K23" s="8"/>
      <c r="L23" s="8"/>
      <c r="M23" s="60">
        <f>M20</f>
        <v>10840.83</v>
      </c>
      <c r="N23" s="60">
        <f>N20+N18</f>
        <v>49171.83</v>
      </c>
      <c r="O23" s="3"/>
      <c r="P23" s="3"/>
      <c r="Q23" s="3"/>
      <c r="R23" s="3" t="s">
        <v>28</v>
      </c>
      <c r="S23" s="11">
        <f>N42/1000</f>
        <v>887.53952000000004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403.79883000000001</v>
      </c>
      <c r="T26" s="13">
        <f>M43</f>
        <v>0.4549643378133742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19.065999999999999</v>
      </c>
      <c r="T27" s="14">
        <f>G43</f>
        <v>2.1481860323245099E-2</v>
      </c>
    </row>
    <row r="28" spans="1:20" ht="15">
      <c r="A28" s="4" t="s">
        <v>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54.341000000000001</v>
      </c>
      <c r="T29" s="13">
        <f>F43</f>
        <v>6.1226569381383718E-2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7.0999999999999994E-2</v>
      </c>
      <c r="T30" s="13">
        <f>E43</f>
        <v>7.9996437792426414E-5</v>
      </c>
    </row>
    <row r="31" spans="1:20" ht="15">
      <c r="A31" s="5" t="s">
        <v>36</v>
      </c>
      <c r="B31" s="15">
        <v>0</v>
      </c>
      <c r="C31" s="64">
        <f>0.91*(N31-M31)</f>
        <v>1782.69</v>
      </c>
      <c r="D31" s="59">
        <v>0</v>
      </c>
      <c r="E31" s="59">
        <v>0</v>
      </c>
      <c r="F31" s="64">
        <f>0.09*(N31-M31)</f>
        <v>176.31</v>
      </c>
      <c r="G31" s="15">
        <v>0</v>
      </c>
      <c r="H31" s="15">
        <v>0</v>
      </c>
      <c r="I31" s="15"/>
      <c r="J31" s="15"/>
      <c r="K31" s="15"/>
      <c r="L31" s="8"/>
      <c r="M31" s="15">
        <v>2283</v>
      </c>
      <c r="N31" s="15">
        <v>4242</v>
      </c>
      <c r="O31" s="17">
        <f>N31/N$39</f>
        <v>4.2849869894784481E-3</v>
      </c>
      <c r="P31" s="18" t="s">
        <v>37</v>
      </c>
      <c r="Q31" s="3"/>
      <c r="R31" s="3" t="s">
        <v>38</v>
      </c>
      <c r="S31" s="12">
        <f>C42/1000</f>
        <v>410.26269000000002</v>
      </c>
      <c r="T31" s="14">
        <f>C43</f>
        <v>0.46224723604420453</v>
      </c>
    </row>
    <row r="32" spans="1:20" ht="15">
      <c r="A32" s="5" t="s">
        <v>39</v>
      </c>
      <c r="B32" s="15">
        <v>2249</v>
      </c>
      <c r="C32" s="64">
        <v>17583</v>
      </c>
      <c r="D32" s="59">
        <v>0</v>
      </c>
      <c r="E32" s="64">
        <v>71</v>
      </c>
      <c r="F32" s="64">
        <f>F39-F34-F31</f>
        <v>512.69000000000005</v>
      </c>
      <c r="G32" s="15">
        <v>0</v>
      </c>
      <c r="H32" s="15">
        <v>0</v>
      </c>
      <c r="I32" s="15"/>
      <c r="J32" s="15"/>
      <c r="K32" s="15"/>
      <c r="L32" s="8"/>
      <c r="M32" s="15">
        <v>65341</v>
      </c>
      <c r="N32" s="15">
        <v>85757</v>
      </c>
      <c r="O32" s="17">
        <f>N32/N$39</f>
        <v>8.6626032356601421E-2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15">
        <v>15073</v>
      </c>
      <c r="C33" s="15">
        <v>132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/>
      <c r="J33" s="15"/>
      <c r="K33" s="15"/>
      <c r="L33" s="8"/>
      <c r="M33" s="15">
        <v>35914</v>
      </c>
      <c r="N33" s="15">
        <v>51120</v>
      </c>
      <c r="O33" s="17">
        <f>N33/N$39</f>
        <v>5.1638032744492753E-2</v>
      </c>
      <c r="P33" s="18" t="s">
        <v>43</v>
      </c>
      <c r="Q33" s="3"/>
      <c r="R33" s="3" t="s">
        <v>8</v>
      </c>
      <c r="S33" s="12">
        <f>H42/1000</f>
        <v>0</v>
      </c>
      <c r="T33" s="13">
        <f>H43</f>
        <v>0</v>
      </c>
    </row>
    <row r="34" spans="1:47" ht="15">
      <c r="A34" s="5" t="s">
        <v>44</v>
      </c>
      <c r="B34" s="15">
        <v>0</v>
      </c>
      <c r="C34" s="15">
        <v>380906</v>
      </c>
      <c r="D34" s="15">
        <v>0</v>
      </c>
      <c r="E34" s="15">
        <v>0</v>
      </c>
      <c r="F34" s="15">
        <v>34974</v>
      </c>
      <c r="G34" s="15">
        <v>0</v>
      </c>
      <c r="H34" s="15">
        <v>0</v>
      </c>
      <c r="I34" s="15"/>
      <c r="J34" s="15"/>
      <c r="K34" s="15"/>
      <c r="L34" s="8"/>
      <c r="M34" s="15">
        <v>615</v>
      </c>
      <c r="N34" s="15">
        <v>416494</v>
      </c>
      <c r="O34" s="17">
        <f>N34/N$39</f>
        <v>0.4207146089570572</v>
      </c>
      <c r="P34" s="18" t="s">
        <v>45</v>
      </c>
      <c r="Q34" s="3"/>
      <c r="R34" s="3"/>
      <c r="S34" s="12">
        <f>SUM(S26:S33)</f>
        <v>887.53952000000004</v>
      </c>
      <c r="T34" s="13">
        <f>SUM(T26:T33)</f>
        <v>1</v>
      </c>
    </row>
    <row r="35" spans="1:47" ht="15">
      <c r="A35" s="5" t="s">
        <v>46</v>
      </c>
      <c r="B35" s="15">
        <v>42792</v>
      </c>
      <c r="C35" s="15">
        <v>2337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/>
      <c r="J35" s="15"/>
      <c r="K35" s="15"/>
      <c r="L35" s="8"/>
      <c r="M35" s="15">
        <v>116378</v>
      </c>
      <c r="N35" s="15">
        <v>161508</v>
      </c>
      <c r="O35" s="17">
        <f>N35/N$39</f>
        <v>0.16314466730237745</v>
      </c>
      <c r="P35" s="18" t="s">
        <v>47</v>
      </c>
      <c r="Q35" s="18"/>
    </row>
    <row r="36" spans="1:47" ht="15">
      <c r="A36" s="5" t="s">
        <v>48</v>
      </c>
      <c r="B36" s="15">
        <v>1332</v>
      </c>
      <c r="C36" s="15">
        <v>291</v>
      </c>
      <c r="D36" s="15">
        <v>0</v>
      </c>
      <c r="E36" s="15">
        <v>0</v>
      </c>
      <c r="F36" s="15">
        <v>0</v>
      </c>
      <c r="G36" s="15">
        <v>6644</v>
      </c>
      <c r="H36" s="15">
        <v>0</v>
      </c>
      <c r="I36" s="15"/>
      <c r="J36" s="15"/>
      <c r="K36" s="15"/>
      <c r="L36" s="8"/>
      <c r="M36" s="15">
        <v>117835</v>
      </c>
      <c r="N36" s="15">
        <v>126101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15">
        <v>119263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/>
      <c r="J37" s="15"/>
      <c r="K37" s="15"/>
      <c r="L37" s="8"/>
      <c r="M37" s="15">
        <v>24376</v>
      </c>
      <c r="N37" s="15">
        <v>143639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/>
      <c r="J38" s="15"/>
      <c r="K38" s="15"/>
      <c r="L38" s="8"/>
      <c r="M38" s="15">
        <v>1108</v>
      </c>
      <c r="N38" s="15">
        <v>1108</v>
      </c>
      <c r="O38" s="18">
        <f>SUM(O31:O35)</f>
        <v>0.72640832835000724</v>
      </c>
      <c r="P38" s="18"/>
      <c r="Q38" s="3"/>
      <c r="R38" s="7" t="s">
        <v>51</v>
      </c>
      <c r="S38" s="19">
        <f>N45/1000</f>
        <v>39.075000000000003</v>
      </c>
      <c r="T38" s="7"/>
    </row>
    <row r="39" spans="1:47" ht="15">
      <c r="A39" s="5" t="s">
        <v>18</v>
      </c>
      <c r="B39" s="15">
        <v>180709</v>
      </c>
      <c r="C39" s="64">
        <f>SUM(C31:C38)</f>
        <v>403031.69</v>
      </c>
      <c r="D39" s="64">
        <f>SUM(D31:D38)</f>
        <v>0</v>
      </c>
      <c r="E39" s="64">
        <f>SUM(E31:E38)</f>
        <v>71</v>
      </c>
      <c r="F39" s="15">
        <v>35663</v>
      </c>
      <c r="G39" s="15">
        <v>6644</v>
      </c>
      <c r="H39" s="15">
        <v>0</v>
      </c>
      <c r="I39" s="15"/>
      <c r="J39" s="15"/>
      <c r="K39" s="15"/>
      <c r="L39" s="8"/>
      <c r="M39" s="15">
        <v>363850</v>
      </c>
      <c r="N39" s="15">
        <v>989968</v>
      </c>
      <c r="O39" s="3"/>
      <c r="P39" s="3"/>
      <c r="Q39" s="3"/>
      <c r="R39" s="7" t="s">
        <v>52</v>
      </c>
      <c r="S39" s="20">
        <f>N41/1000</f>
        <v>270.84800000000001</v>
      </c>
      <c r="T39" s="13">
        <f>O41</f>
        <v>0.27359268178365359</v>
      </c>
    </row>
    <row r="40" spans="1:47">
      <c r="R40" s="7" t="s">
        <v>53</v>
      </c>
      <c r="S40" s="20">
        <f>N35/1000</f>
        <v>161.50800000000001</v>
      </c>
      <c r="T40" s="14">
        <f>O35</f>
        <v>0.16314466730237745</v>
      </c>
    </row>
    <row r="41" spans="1:47" ht="15">
      <c r="A41" s="21" t="s">
        <v>54</v>
      </c>
      <c r="B41" s="22">
        <f>B38+B37+B36</f>
        <v>120595</v>
      </c>
      <c r="C41" s="22">
        <f t="shared" ref="C41:N41" si="0">C38+C37+C36</f>
        <v>291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6644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143319</v>
      </c>
      <c r="N41" s="22">
        <f t="shared" si="0"/>
        <v>270848</v>
      </c>
      <c r="O41" s="17">
        <f>N41/N$39</f>
        <v>0.27359268178365359</v>
      </c>
      <c r="P41" s="17" t="s">
        <v>55</v>
      </c>
      <c r="Q41" s="7"/>
      <c r="R41" s="7" t="s">
        <v>56</v>
      </c>
      <c r="S41" s="20">
        <f>N33/1000</f>
        <v>51.12</v>
      </c>
      <c r="T41" s="13">
        <f>O33</f>
        <v>5.1638032744492753E-2</v>
      </c>
    </row>
    <row r="42" spans="1:47" ht="15">
      <c r="A42" s="23" t="s">
        <v>57</v>
      </c>
      <c r="B42" s="22"/>
      <c r="C42" s="24">
        <f>C39+C23+C10</f>
        <v>410262.69</v>
      </c>
      <c r="D42" s="24">
        <f t="shared" ref="D42:L42" si="1">D39+D23+D10</f>
        <v>0</v>
      </c>
      <c r="E42" s="24">
        <f t="shared" si="1"/>
        <v>71</v>
      </c>
      <c r="F42" s="24">
        <f t="shared" si="1"/>
        <v>54341</v>
      </c>
      <c r="G42" s="24">
        <f t="shared" si="1"/>
        <v>19066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403798.83</v>
      </c>
      <c r="N42" s="25">
        <f>SUM(C42:M42)</f>
        <v>887539.52</v>
      </c>
      <c r="O42" s="7"/>
      <c r="P42" s="7"/>
      <c r="Q42" s="7"/>
      <c r="R42" s="7" t="s">
        <v>37</v>
      </c>
      <c r="S42" s="20">
        <f>N31/1000</f>
        <v>4.242</v>
      </c>
      <c r="T42" s="13">
        <f>O31</f>
        <v>4.2849869894784481E-3</v>
      </c>
    </row>
    <row r="43" spans="1:47" ht="15">
      <c r="A43" s="23" t="s">
        <v>58</v>
      </c>
      <c r="B43" s="22"/>
      <c r="C43" s="17">
        <f t="shared" ref="C43:M43" si="2">C42/$N42</f>
        <v>0.46224723604420453</v>
      </c>
      <c r="D43" s="17">
        <f t="shared" si="2"/>
        <v>0</v>
      </c>
      <c r="E43" s="17">
        <f t="shared" si="2"/>
        <v>7.9996437792426414E-5</v>
      </c>
      <c r="F43" s="17">
        <f t="shared" si="2"/>
        <v>6.1226569381383718E-2</v>
      </c>
      <c r="G43" s="17">
        <f t="shared" si="2"/>
        <v>2.1481860323245099E-2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0.4549643378133742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85.757000000000005</v>
      </c>
      <c r="T43" s="14">
        <f>O32</f>
        <v>8.6626032356601421E-2</v>
      </c>
    </row>
    <row r="44" spans="1:47">
      <c r="A44" s="6" t="s">
        <v>94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416.49400000000003</v>
      </c>
      <c r="T44" s="14">
        <f>O34</f>
        <v>0.4207146089570572</v>
      </c>
    </row>
    <row r="45" spans="1:47" ht="15">
      <c r="A45" s="6" t="s">
        <v>61</v>
      </c>
      <c r="B45" s="70">
        <f>B23-B39</f>
        <v>9967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29108</v>
      </c>
      <c r="N45" s="25">
        <f>B45+M45</f>
        <v>39075</v>
      </c>
      <c r="O45" s="7"/>
      <c r="P45" s="7"/>
      <c r="Q45" s="7"/>
      <c r="R45" s="7" t="s">
        <v>62</v>
      </c>
      <c r="S45" s="20">
        <f>SUM(S39:S44)</f>
        <v>989.96900000000005</v>
      </c>
      <c r="T45" s="13">
        <f>SUM(T39:T44)</f>
        <v>1.0000010101336607</v>
      </c>
    </row>
    <row r="46" spans="1:47" ht="15">
      <c r="A46" s="6" t="s">
        <v>88</v>
      </c>
      <c r="B46" s="83">
        <f>B45/(B23)</f>
        <v>5.2271916759319477E-2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 ht="15">
      <c r="C47" s="15"/>
      <c r="D47" s="16"/>
      <c r="E47" s="15"/>
      <c r="F47" s="15"/>
      <c r="G47" s="16"/>
      <c r="H47" s="15"/>
      <c r="I47" s="15"/>
      <c r="J47" s="15"/>
      <c r="K47" s="15"/>
      <c r="L47" s="15"/>
      <c r="M47" s="27"/>
      <c r="N47" s="15"/>
      <c r="O47" s="15"/>
      <c r="P47" s="27"/>
      <c r="Q47" s="4"/>
      <c r="R47" s="4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7"/>
      <c r="AG47" s="4"/>
      <c r="AH47" s="4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</row>
    <row r="48" spans="1:47" ht="15">
      <c r="A48" s="27"/>
      <c r="B48" s="4"/>
      <c r="C48" s="15"/>
      <c r="D48" s="16"/>
      <c r="E48" s="15"/>
      <c r="F48" s="16"/>
      <c r="G48" s="16"/>
      <c r="H48" s="15"/>
      <c r="I48" s="15"/>
      <c r="J48" s="15"/>
      <c r="K48" s="15"/>
      <c r="L48" s="15"/>
      <c r="M48" s="27"/>
      <c r="N48" s="15"/>
      <c r="O48" s="15"/>
      <c r="P48" s="27"/>
      <c r="Q48" s="27"/>
      <c r="R48" s="4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27"/>
      <c r="AG48" s="27"/>
      <c r="AH48" s="4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</row>
    <row r="49" spans="1:47" ht="15">
      <c r="A49" s="27"/>
      <c r="B49" s="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27"/>
      <c r="N49" s="15"/>
      <c r="O49" s="15"/>
      <c r="P49" s="27"/>
      <c r="Q49" s="27"/>
      <c r="R49" s="4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7"/>
      <c r="AG49" s="27"/>
      <c r="AH49" s="4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</row>
    <row r="50" spans="1:47" ht="15">
      <c r="A50" s="27"/>
      <c r="B50" s="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27"/>
      <c r="N50" s="15"/>
      <c r="O50" s="15"/>
      <c r="P50" s="27"/>
      <c r="Q50" s="27"/>
      <c r="R50" s="4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27"/>
      <c r="AG50" s="27"/>
      <c r="AH50" s="4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</row>
    <row r="51" spans="1:47" ht="15">
      <c r="A51" s="27"/>
      <c r="B51" s="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27"/>
      <c r="N51" s="15"/>
      <c r="O51" s="15"/>
      <c r="P51" s="27"/>
      <c r="Q51" s="27"/>
      <c r="R51" s="4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7"/>
      <c r="AG51" s="27"/>
      <c r="AH51" s="4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</row>
    <row r="52" spans="1:47" ht="15">
      <c r="A52" s="27"/>
      <c r="B52" s="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27"/>
      <c r="N52" s="15"/>
      <c r="O52" s="15"/>
      <c r="P52" s="27"/>
      <c r="Q52" s="27"/>
      <c r="R52" s="4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27"/>
      <c r="AG52" s="27"/>
      <c r="AH52" s="4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</row>
    <row r="53" spans="1:47" ht="15">
      <c r="A53" s="27"/>
      <c r="B53" s="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27"/>
      <c r="N53" s="15"/>
      <c r="O53" s="15"/>
      <c r="P53" s="27"/>
      <c r="Q53" s="27"/>
      <c r="R53" s="4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7"/>
      <c r="AG53" s="27"/>
      <c r="AH53" s="4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</row>
    <row r="54" spans="1:47" ht="15">
      <c r="A54" s="27"/>
      <c r="B54" s="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27"/>
      <c r="N54" s="15"/>
      <c r="O54" s="15"/>
      <c r="P54" s="27"/>
      <c r="Q54" s="27"/>
      <c r="R54" s="4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27"/>
      <c r="AG54" s="27"/>
      <c r="AH54" s="4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</row>
    <row r="55" spans="1:47" ht="15">
      <c r="A55" s="27"/>
      <c r="B55" s="4"/>
      <c r="C55" s="15"/>
      <c r="D55" s="16"/>
      <c r="E55" s="15"/>
      <c r="F55" s="16"/>
      <c r="G55" s="15"/>
      <c r="H55" s="15"/>
      <c r="I55" s="15"/>
      <c r="J55" s="15"/>
      <c r="K55" s="15"/>
      <c r="L55" s="15"/>
      <c r="M55" s="27"/>
      <c r="N55" s="15"/>
      <c r="O55" s="15"/>
      <c r="P55" s="27"/>
      <c r="Q55" s="27"/>
      <c r="R55" s="4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7"/>
      <c r="AG55" s="27"/>
      <c r="AH55" s="4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</row>
    <row r="56" spans="1:47" ht="15">
      <c r="A56" s="27"/>
      <c r="B56" s="4"/>
      <c r="C56" s="15"/>
      <c r="D56" s="16"/>
      <c r="E56" s="15"/>
      <c r="F56" s="16"/>
      <c r="G56" s="15"/>
      <c r="H56" s="15"/>
      <c r="I56" s="15"/>
      <c r="J56" s="15"/>
      <c r="K56" s="15"/>
      <c r="L56" s="15"/>
      <c r="M56" s="27"/>
      <c r="N56" s="15"/>
      <c r="O56" s="15"/>
      <c r="P56" s="27"/>
      <c r="Q56" s="27"/>
      <c r="R56" s="4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27"/>
      <c r="AG56" s="27"/>
      <c r="AH56" s="4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dataConsolidate/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 enableFormatConditionsCalculation="0"/>
  <dimension ref="A1:AU70"/>
  <sheetViews>
    <sheetView topLeftCell="A11" workbookViewId="0">
      <selection activeCell="F39" sqref="F39"/>
    </sheetView>
  </sheetViews>
  <sheetFormatPr baseColWidth="10" defaultColWidth="8.83203125" defaultRowHeight="14" x14ac:dyDescent="0"/>
  <cols>
    <col min="1" max="1" width="36.3320312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64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67">
        <v>1522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67">
        <v>1522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64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>
        <v>0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38">
        <v>55380</v>
      </c>
      <c r="C18" s="38">
        <v>2398</v>
      </c>
      <c r="D18" s="38">
        <v>0</v>
      </c>
      <c r="E18" s="38">
        <v>0</v>
      </c>
      <c r="F18" s="38">
        <v>12971</v>
      </c>
      <c r="G18" s="38">
        <v>44858</v>
      </c>
      <c r="H18" s="38">
        <v>0</v>
      </c>
      <c r="I18" s="38"/>
      <c r="J18" s="38"/>
      <c r="K18" s="38"/>
      <c r="L18" s="38"/>
      <c r="M18" s="38"/>
      <c r="N18" s="38">
        <v>60226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55">
        <v>0</v>
      </c>
      <c r="N19" s="38"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38">
        <v>18088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69">
        <f>0.33*B20</f>
        <v>5969.04</v>
      </c>
      <c r="N20" s="54">
        <f>M20</f>
        <v>5969.04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54"/>
      <c r="N21" s="54">
        <v>0</v>
      </c>
      <c r="O21" s="3"/>
      <c r="P21" s="3"/>
      <c r="Q21" s="3"/>
      <c r="R21" s="3"/>
      <c r="S21" s="3"/>
      <c r="T21" s="3"/>
    </row>
    <row r="22" spans="1:20" ht="15">
      <c r="A22" s="4" t="s">
        <v>27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54"/>
      <c r="N22" s="54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38">
        <v>73468</v>
      </c>
      <c r="C23" s="38">
        <v>2398</v>
      </c>
      <c r="D23" s="38">
        <v>0</v>
      </c>
      <c r="E23" s="38">
        <v>0</v>
      </c>
      <c r="F23" s="38">
        <v>12971</v>
      </c>
      <c r="G23" s="38">
        <v>44858</v>
      </c>
      <c r="H23" s="38">
        <v>0</v>
      </c>
      <c r="I23" s="38"/>
      <c r="J23" s="38"/>
      <c r="K23" s="38"/>
      <c r="L23" s="38"/>
      <c r="M23" s="54">
        <f>M20</f>
        <v>5969.04</v>
      </c>
      <c r="N23" s="54">
        <f>N20+N18</f>
        <v>66195.039999999994</v>
      </c>
      <c r="O23" s="3"/>
      <c r="P23" s="3"/>
      <c r="Q23" s="3"/>
      <c r="R23" s="3" t="s">
        <v>28</v>
      </c>
      <c r="S23" s="11">
        <f>N42/1000</f>
        <v>772.42560000000003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393.93959999999998</v>
      </c>
      <c r="T26" s="13">
        <f>M43</f>
        <v>0.51000329352108476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73.156999999999996</v>
      </c>
      <c r="T27" s="14">
        <f>G43</f>
        <v>9.471073977869196E-2</v>
      </c>
    </row>
    <row r="28" spans="1:20" ht="15">
      <c r="A28" s="37" t="s">
        <v>64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35.747</v>
      </c>
      <c r="T29" s="13">
        <f>F43</f>
        <v>4.6278890808383356E-2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2.3E-2</v>
      </c>
      <c r="T30" s="13">
        <f>E43</f>
        <v>2.9776330561804269E-5</v>
      </c>
    </row>
    <row r="31" spans="1:20" ht="15">
      <c r="A31" s="5" t="s">
        <v>36</v>
      </c>
      <c r="B31" s="38">
        <v>0</v>
      </c>
      <c r="C31" s="38">
        <v>2967</v>
      </c>
      <c r="D31" s="38">
        <v>0</v>
      </c>
      <c r="E31" s="38">
        <v>0</v>
      </c>
      <c r="F31" s="38">
        <v>277</v>
      </c>
      <c r="G31" s="38">
        <v>0</v>
      </c>
      <c r="H31" s="38">
        <v>0</v>
      </c>
      <c r="I31" s="38"/>
      <c r="J31" s="38"/>
      <c r="K31" s="38"/>
      <c r="L31" s="38"/>
      <c r="M31" s="38">
        <v>3826</v>
      </c>
      <c r="N31" s="38">
        <v>7070</v>
      </c>
      <c r="O31" s="17">
        <f>N31/N$39</f>
        <v>9.7626313536502852E-3</v>
      </c>
      <c r="P31" s="18" t="s">
        <v>37</v>
      </c>
      <c r="Q31" s="3"/>
      <c r="R31" s="3" t="s">
        <v>38</v>
      </c>
      <c r="S31" s="12">
        <f>C42/1000</f>
        <v>269.55900000000003</v>
      </c>
      <c r="T31" s="14">
        <f>C43</f>
        <v>0.34897729956127815</v>
      </c>
    </row>
    <row r="32" spans="1:20" ht="15">
      <c r="A32" s="5" t="s">
        <v>39</v>
      </c>
      <c r="B32" s="68">
        <v>2030</v>
      </c>
      <c r="C32" s="38">
        <v>1000</v>
      </c>
      <c r="D32" s="38">
        <v>0</v>
      </c>
      <c r="E32" s="67">
        <v>23</v>
      </c>
      <c r="F32" s="67">
        <f>20</f>
        <v>20</v>
      </c>
      <c r="G32" s="38">
        <v>0</v>
      </c>
      <c r="H32" s="38">
        <v>0</v>
      </c>
      <c r="I32" s="38"/>
      <c r="J32" s="38"/>
      <c r="K32" s="38"/>
      <c r="L32" s="38"/>
      <c r="M32" s="38">
        <v>6885</v>
      </c>
      <c r="N32" s="68">
        <f t="shared" ref="N32:N35" si="0">SUM(B32:M32)</f>
        <v>9958</v>
      </c>
      <c r="O32" s="17">
        <f>N32/N$39</f>
        <v>1.3750535080572777E-2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68">
        <v>9586</v>
      </c>
      <c r="C33" s="38">
        <v>5579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8">
        <v>15227</v>
      </c>
      <c r="N33" s="68">
        <f t="shared" si="0"/>
        <v>30392</v>
      </c>
      <c r="O33" s="17">
        <f>N33/N$39</f>
        <v>4.1966887142876871E-2</v>
      </c>
      <c r="P33" s="18" t="s">
        <v>43</v>
      </c>
      <c r="Q33" s="3"/>
      <c r="R33" s="3" t="s">
        <v>8</v>
      </c>
      <c r="S33" s="12">
        <f>H42/1000</f>
        <v>0</v>
      </c>
      <c r="T33" s="13">
        <f>H43</f>
        <v>0</v>
      </c>
    </row>
    <row r="34" spans="1:47" ht="15">
      <c r="A34" s="5" t="s">
        <v>44</v>
      </c>
      <c r="B34" s="68">
        <v>0</v>
      </c>
      <c r="C34" s="38">
        <v>253287</v>
      </c>
      <c r="D34" s="38">
        <v>0</v>
      </c>
      <c r="E34" s="38">
        <v>0</v>
      </c>
      <c r="F34" s="38">
        <v>22479</v>
      </c>
      <c r="G34" s="38">
        <v>0</v>
      </c>
      <c r="H34" s="38">
        <v>0</v>
      </c>
      <c r="I34" s="38"/>
      <c r="J34" s="38"/>
      <c r="K34" s="38"/>
      <c r="L34" s="38"/>
      <c r="M34" s="38">
        <v>3333</v>
      </c>
      <c r="N34" s="55">
        <f t="shared" si="0"/>
        <v>279099</v>
      </c>
      <c r="O34" s="17">
        <f>N34/N$39</f>
        <v>0.38539471685607368</v>
      </c>
      <c r="P34" s="18" t="s">
        <v>45</v>
      </c>
      <c r="Q34" s="3"/>
      <c r="R34" s="3"/>
      <c r="S34" s="12">
        <f>SUM(S26:S33)</f>
        <v>772.42560000000003</v>
      </c>
      <c r="T34" s="13">
        <f>SUM(T26:T33)</f>
        <v>1</v>
      </c>
    </row>
    <row r="35" spans="1:47" ht="15">
      <c r="A35" s="5" t="s">
        <v>46</v>
      </c>
      <c r="B35" s="68">
        <v>9586</v>
      </c>
      <c r="C35" s="38">
        <v>3070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>
        <v>83142</v>
      </c>
      <c r="N35" s="68">
        <f t="shared" si="0"/>
        <v>95798</v>
      </c>
      <c r="O35" s="17">
        <f>N35/N$39</f>
        <v>0.13228296441541584</v>
      </c>
      <c r="P35" s="18" t="s">
        <v>47</v>
      </c>
      <c r="Q35" s="18"/>
    </row>
    <row r="36" spans="1:47" ht="15">
      <c r="A36" s="5" t="s">
        <v>48</v>
      </c>
      <c r="B36" s="68">
        <v>474</v>
      </c>
      <c r="C36" s="38">
        <v>1257</v>
      </c>
      <c r="D36" s="38">
        <v>0</v>
      </c>
      <c r="E36" s="38">
        <v>0</v>
      </c>
      <c r="F36" s="38">
        <v>0</v>
      </c>
      <c r="G36" s="38">
        <v>28299</v>
      </c>
      <c r="H36" s="38">
        <v>0</v>
      </c>
      <c r="I36" s="38"/>
      <c r="J36" s="38"/>
      <c r="K36" s="38"/>
      <c r="L36" s="38"/>
      <c r="M36" s="38">
        <v>186001</v>
      </c>
      <c r="N36" s="68">
        <f>SUM(B36:M36)</f>
        <v>216031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68">
        <v>25023</v>
      </c>
      <c r="C37" s="38">
        <v>1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>
        <v>10876</v>
      </c>
      <c r="N37" s="68">
        <f>SUM(B37:M37)</f>
        <v>35900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6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>
        <v>49942</v>
      </c>
      <c r="N38" s="55">
        <v>49942</v>
      </c>
      <c r="O38" s="18">
        <f>SUM(O31:O35)</f>
        <v>0.58315773484858946</v>
      </c>
      <c r="P38" s="18"/>
      <c r="Q38" s="3"/>
      <c r="R38" s="7" t="s">
        <v>51</v>
      </c>
      <c r="S38" s="19">
        <f>N45/1000</f>
        <v>55.507559999999998</v>
      </c>
      <c r="T38" s="7"/>
    </row>
    <row r="39" spans="1:47" ht="15">
      <c r="A39" s="5" t="s">
        <v>18</v>
      </c>
      <c r="B39" s="68">
        <f>B37+B36+B35+B33+B32</f>
        <v>46699</v>
      </c>
      <c r="C39" s="38">
        <v>267161</v>
      </c>
      <c r="D39" s="38">
        <v>0</v>
      </c>
      <c r="E39" s="65">
        <f>E32</f>
        <v>23</v>
      </c>
      <c r="F39" s="65">
        <f>F34+F32+F31</f>
        <v>22776</v>
      </c>
      <c r="G39" s="38">
        <v>28299</v>
      </c>
      <c r="H39" s="38">
        <v>0</v>
      </c>
      <c r="I39" s="38"/>
      <c r="J39" s="38"/>
      <c r="K39" s="38"/>
      <c r="L39" s="38"/>
      <c r="M39" s="38">
        <v>359232</v>
      </c>
      <c r="N39" s="68">
        <f>SUM(N31:N38)</f>
        <v>724190</v>
      </c>
      <c r="O39" s="3"/>
      <c r="P39" s="3"/>
      <c r="Q39" s="3"/>
      <c r="R39" s="7" t="s">
        <v>52</v>
      </c>
      <c r="S39" s="20">
        <f>N41/1000</f>
        <v>301.87299999999999</v>
      </c>
      <c r="T39" s="13">
        <f>O41</f>
        <v>0.41684226515141054</v>
      </c>
    </row>
    <row r="40" spans="1:47">
      <c r="R40" s="7" t="s">
        <v>53</v>
      </c>
      <c r="S40" s="20">
        <f>N35/1000</f>
        <v>95.798000000000002</v>
      </c>
      <c r="T40" s="14">
        <f>O35</f>
        <v>0.13228296441541584</v>
      </c>
    </row>
    <row r="41" spans="1:47" ht="15">
      <c r="A41" s="21" t="s">
        <v>54</v>
      </c>
      <c r="B41" s="22">
        <f>B38+B37+B36</f>
        <v>25497</v>
      </c>
      <c r="C41" s="22">
        <f t="shared" ref="C41:N41" si="1">C38+C37+C36</f>
        <v>1258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28299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246819</v>
      </c>
      <c r="N41" s="22">
        <f t="shared" si="1"/>
        <v>301873</v>
      </c>
      <c r="O41" s="17">
        <f>N41/N$39</f>
        <v>0.41684226515141054</v>
      </c>
      <c r="P41" s="17" t="s">
        <v>55</v>
      </c>
      <c r="Q41" s="7"/>
      <c r="R41" s="7" t="s">
        <v>56</v>
      </c>
      <c r="S41" s="20">
        <f>N33/1000</f>
        <v>30.391999999999999</v>
      </c>
      <c r="T41" s="13">
        <f>O33</f>
        <v>4.1966887142876871E-2</v>
      </c>
    </row>
    <row r="42" spans="1:47" ht="15">
      <c r="A42" s="23" t="s">
        <v>57</v>
      </c>
      <c r="B42" s="22"/>
      <c r="C42" s="24">
        <f>C39+C23+C10</f>
        <v>269559</v>
      </c>
      <c r="D42" s="24">
        <f t="shared" ref="D42:L42" si="2">D39+D23+D10</f>
        <v>0</v>
      </c>
      <c r="E42" s="24">
        <f t="shared" si="2"/>
        <v>23</v>
      </c>
      <c r="F42" s="24">
        <f t="shared" si="2"/>
        <v>35747</v>
      </c>
      <c r="G42" s="24">
        <f t="shared" si="2"/>
        <v>73157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>M39+M23-B6+M45</f>
        <v>393939.6</v>
      </c>
      <c r="N42" s="25">
        <f>SUM(C42:M42)</f>
        <v>772425.6</v>
      </c>
      <c r="O42" s="7"/>
      <c r="P42" s="7"/>
      <c r="Q42" s="7"/>
      <c r="R42" s="7" t="s">
        <v>37</v>
      </c>
      <c r="S42" s="20">
        <f>N31/1000</f>
        <v>7.07</v>
      </c>
      <c r="T42" s="13">
        <f>O31</f>
        <v>9.7626313536502852E-3</v>
      </c>
    </row>
    <row r="43" spans="1:47" ht="15">
      <c r="A43" s="23" t="s">
        <v>58</v>
      </c>
      <c r="B43" s="22"/>
      <c r="C43" s="17">
        <f t="shared" ref="C43:M43" si="3">C42/$N42</f>
        <v>0.34897729956127815</v>
      </c>
      <c r="D43" s="17">
        <f t="shared" si="3"/>
        <v>0</v>
      </c>
      <c r="E43" s="17">
        <f t="shared" si="3"/>
        <v>2.9776330561804269E-5</v>
      </c>
      <c r="F43" s="17">
        <f t="shared" si="3"/>
        <v>4.6278890808383356E-2</v>
      </c>
      <c r="G43" s="17">
        <f t="shared" si="3"/>
        <v>9.471073977869196E-2</v>
      </c>
      <c r="H43" s="17">
        <f t="shared" si="3"/>
        <v>0</v>
      </c>
      <c r="I43" s="17">
        <f t="shared" si="3"/>
        <v>0</v>
      </c>
      <c r="J43" s="17">
        <f t="shared" si="3"/>
        <v>0</v>
      </c>
      <c r="K43" s="17">
        <f t="shared" si="3"/>
        <v>0</v>
      </c>
      <c r="L43" s="17">
        <f t="shared" si="3"/>
        <v>0</v>
      </c>
      <c r="M43" s="17">
        <f t="shared" si="3"/>
        <v>0.51000329352108476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9.9580000000000002</v>
      </c>
      <c r="T43" s="14">
        <f>O32</f>
        <v>1.3750535080572777E-2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279.09899999999999</v>
      </c>
      <c r="T44" s="14">
        <f>O34</f>
        <v>0.38539471685607368</v>
      </c>
    </row>
    <row r="45" spans="1:47" ht="15">
      <c r="A45" s="6" t="s">
        <v>61</v>
      </c>
      <c r="B45" s="6">
        <f>B23-B39</f>
        <v>26769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28738.560000000001</v>
      </c>
      <c r="N45" s="25">
        <f>B45+M45</f>
        <v>55507.56</v>
      </c>
      <c r="O45" s="7"/>
      <c r="P45" s="7"/>
      <c r="Q45" s="7"/>
      <c r="R45" s="7" t="s">
        <v>62</v>
      </c>
      <c r="S45" s="20">
        <f>SUM(S39:S44)</f>
        <v>724.19</v>
      </c>
      <c r="T45" s="13">
        <f>SUM(T39:T44)</f>
        <v>1</v>
      </c>
    </row>
    <row r="46" spans="1:47" ht="15">
      <c r="A46" s="6" t="s">
        <v>88</v>
      </c>
      <c r="B46" s="83">
        <f>B45/B23</f>
        <v>0.36436271574018619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40"/>
      <c r="B48" s="37"/>
      <c r="C48" s="40"/>
      <c r="D48" s="40"/>
      <c r="E48" s="40"/>
      <c r="F48" s="41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1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1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1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1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1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40"/>
      <c r="B55" s="37"/>
      <c r="C55" s="40"/>
      <c r="D55" s="40"/>
      <c r="E55" s="40"/>
      <c r="F55" s="41"/>
      <c r="G55" s="41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1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0"/>
      <c r="E56" s="40"/>
      <c r="F56" s="41"/>
      <c r="G56" s="41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1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 enableFormatConditionsCalculation="0"/>
  <dimension ref="A1:AU70"/>
  <sheetViews>
    <sheetView topLeftCell="A2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6" width="8.83203125" style="2"/>
    <col min="7" max="7" width="10.33203125" style="2" bestFit="1" customWidth="1"/>
    <col min="8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65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65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>
        <v>0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54">
        <f>N18*0.95</f>
        <v>49590</v>
      </c>
      <c r="C18" s="68">
        <v>400</v>
      </c>
      <c r="D18" s="68">
        <v>0</v>
      </c>
      <c r="E18" s="68">
        <v>0</v>
      </c>
      <c r="F18" s="68">
        <v>0</v>
      </c>
      <c r="G18" s="68">
        <v>51800</v>
      </c>
      <c r="H18" s="38">
        <v>0</v>
      </c>
      <c r="I18" s="38"/>
      <c r="J18" s="38"/>
      <c r="K18" s="38"/>
      <c r="L18" s="38"/>
      <c r="M18" s="38"/>
      <c r="N18" s="68">
        <f>G18+C18</f>
        <v>52200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55">
        <v>0</v>
      </c>
      <c r="N19" s="68"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55">
        <v>0</v>
      </c>
      <c r="N20" s="68">
        <v>0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38"/>
      <c r="N21" s="68">
        <v>0</v>
      </c>
      <c r="O21" s="3"/>
      <c r="P21" s="3"/>
      <c r="Q21" s="3"/>
      <c r="R21" s="3"/>
      <c r="S21" s="3"/>
      <c r="T21" s="3"/>
    </row>
    <row r="22" spans="1:20" ht="15">
      <c r="A22" s="4" t="s">
        <v>27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38"/>
      <c r="N22" s="68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68">
        <f>B18</f>
        <v>49590</v>
      </c>
      <c r="C23" s="54">
        <v>400</v>
      </c>
      <c r="D23" s="38">
        <v>0</v>
      </c>
      <c r="E23" s="38">
        <v>0</v>
      </c>
      <c r="F23" s="38">
        <v>0</v>
      </c>
      <c r="G23" s="54">
        <f>G18</f>
        <v>51800</v>
      </c>
      <c r="H23" s="38">
        <v>0</v>
      </c>
      <c r="I23" s="38"/>
      <c r="J23" s="38"/>
      <c r="K23" s="38"/>
      <c r="L23" s="38"/>
      <c r="M23" s="38"/>
      <c r="N23" s="68">
        <f>N18</f>
        <v>52200</v>
      </c>
      <c r="O23" s="3"/>
      <c r="P23" s="3"/>
      <c r="Q23" s="3"/>
      <c r="R23" s="3" t="s">
        <v>28</v>
      </c>
      <c r="S23" s="11">
        <f>N42/1000</f>
        <v>834.92848000000004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452.55347999999998</v>
      </c>
      <c r="T26" s="13">
        <f>M43</f>
        <v>0.54202664161126712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78.763000000000005</v>
      </c>
      <c r="T27" s="14">
        <f>G43</f>
        <v>9.4335026156970953E-2</v>
      </c>
    </row>
    <row r="28" spans="1:20" ht="15">
      <c r="A28" s="37" t="s">
        <v>65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31.16</v>
      </c>
      <c r="T29" s="13">
        <f>F43</f>
        <v>3.7320561876150161E-2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6.2190000000000003</v>
      </c>
      <c r="T30" s="13">
        <f>E43</f>
        <v>7.4485421793253478E-3</v>
      </c>
    </row>
    <row r="31" spans="1:20" ht="15">
      <c r="A31" s="5" t="s">
        <v>36</v>
      </c>
      <c r="B31" s="38">
        <v>0</v>
      </c>
      <c r="C31" s="38">
        <v>2063</v>
      </c>
      <c r="D31" s="38">
        <v>0</v>
      </c>
      <c r="E31" s="55">
        <v>0</v>
      </c>
      <c r="F31" s="55">
        <v>217</v>
      </c>
      <c r="G31" s="55">
        <v>0</v>
      </c>
      <c r="H31" s="55">
        <v>0</v>
      </c>
      <c r="I31" s="55"/>
      <c r="J31" s="55"/>
      <c r="K31" s="55"/>
      <c r="L31" s="55"/>
      <c r="M31" s="55">
        <v>1370</v>
      </c>
      <c r="N31" s="55">
        <v>3650</v>
      </c>
      <c r="O31" s="17">
        <f>N31/N$39</f>
        <v>4.5848223538352351E-3</v>
      </c>
      <c r="P31" s="18" t="s">
        <v>37</v>
      </c>
      <c r="Q31" s="3"/>
      <c r="R31" s="3" t="s">
        <v>38</v>
      </c>
      <c r="S31" s="12">
        <f>C42/1000</f>
        <v>266.233</v>
      </c>
      <c r="T31" s="14">
        <f>C43</f>
        <v>0.31886922817628643</v>
      </c>
    </row>
    <row r="32" spans="1:20" ht="15">
      <c r="A32" s="5" t="s">
        <v>39</v>
      </c>
      <c r="B32" s="68">
        <v>100</v>
      </c>
      <c r="C32" s="38">
        <v>1428</v>
      </c>
      <c r="D32" s="38">
        <v>0</v>
      </c>
      <c r="E32" s="67">
        <v>6219</v>
      </c>
      <c r="F32" s="55">
        <v>105</v>
      </c>
      <c r="G32" s="67">
        <v>63</v>
      </c>
      <c r="H32" s="55">
        <v>0</v>
      </c>
      <c r="I32" s="55"/>
      <c r="J32" s="55"/>
      <c r="K32" s="55"/>
      <c r="L32" s="55"/>
      <c r="M32" s="55">
        <v>32328</v>
      </c>
      <c r="N32" s="67">
        <f>SUM(B32:M32)</f>
        <v>40243</v>
      </c>
      <c r="O32" s="17">
        <f>N32/N$39</f>
        <v>5.0549864653531881E-2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68">
        <v>11837</v>
      </c>
      <c r="C33" s="38">
        <v>8448</v>
      </c>
      <c r="D33" s="38">
        <v>0</v>
      </c>
      <c r="E33" s="55">
        <v>0</v>
      </c>
      <c r="F33" s="55">
        <v>0</v>
      </c>
      <c r="G33" s="55">
        <v>0</v>
      </c>
      <c r="H33" s="55">
        <v>0</v>
      </c>
      <c r="I33" s="55"/>
      <c r="J33" s="55"/>
      <c r="K33" s="55"/>
      <c r="L33" s="55"/>
      <c r="M33" s="55">
        <v>16573</v>
      </c>
      <c r="N33" s="55">
        <f>25021+B33</f>
        <v>36858</v>
      </c>
      <c r="O33" s="17">
        <f>N33/N$39</f>
        <v>4.6297912963742222E-2</v>
      </c>
      <c r="P33" s="18" t="s">
        <v>43</v>
      </c>
      <c r="Q33" s="3"/>
      <c r="R33" s="3" t="s">
        <v>8</v>
      </c>
      <c r="S33" s="12">
        <f>H42/1000</f>
        <v>0</v>
      </c>
      <c r="T33" s="13">
        <f>H43</f>
        <v>0</v>
      </c>
    </row>
    <row r="34" spans="1:47" ht="15">
      <c r="A34" s="5" t="s">
        <v>44</v>
      </c>
      <c r="B34" s="68">
        <v>0</v>
      </c>
      <c r="C34" s="38">
        <v>250087</v>
      </c>
      <c r="D34" s="38">
        <v>0</v>
      </c>
      <c r="E34" s="55">
        <v>0</v>
      </c>
      <c r="F34" s="55">
        <v>30838</v>
      </c>
      <c r="G34" s="55">
        <v>0</v>
      </c>
      <c r="H34" s="55">
        <v>0</v>
      </c>
      <c r="I34" s="55"/>
      <c r="J34" s="55"/>
      <c r="K34" s="55"/>
      <c r="L34" s="55"/>
      <c r="M34" s="55">
        <v>751</v>
      </c>
      <c r="N34" s="55">
        <v>281676</v>
      </c>
      <c r="O34" s="17">
        <f>N34/N$39</f>
        <v>0.35381764968188867</v>
      </c>
      <c r="P34" s="18" t="s">
        <v>45</v>
      </c>
      <c r="Q34" s="3"/>
      <c r="R34" s="3"/>
      <c r="S34" s="12">
        <f>SUM(S26:S33)</f>
        <v>834.92848000000004</v>
      </c>
      <c r="T34" s="13">
        <f>SUM(T26:T33)</f>
        <v>1</v>
      </c>
    </row>
    <row r="35" spans="1:47" ht="15">
      <c r="A35" s="5" t="s">
        <v>46</v>
      </c>
      <c r="B35" s="68">
        <f>13100-B33</f>
        <v>1263</v>
      </c>
      <c r="C35" s="38">
        <v>2236</v>
      </c>
      <c r="D35" s="38">
        <v>0</v>
      </c>
      <c r="E35" s="55">
        <v>0</v>
      </c>
      <c r="F35" s="55">
        <v>0</v>
      </c>
      <c r="G35" s="55">
        <v>0</v>
      </c>
      <c r="H35" s="55">
        <v>0</v>
      </c>
      <c r="I35" s="55"/>
      <c r="J35" s="55"/>
      <c r="K35" s="55"/>
      <c r="L35" s="55"/>
      <c r="M35" s="55">
        <v>64286</v>
      </c>
      <c r="N35" s="55">
        <f>66521+B35</f>
        <v>67784</v>
      </c>
      <c r="O35" s="17">
        <f>N35/N$39</f>
        <v>8.5144547515717151E-2</v>
      </c>
      <c r="P35" s="18" t="s">
        <v>47</v>
      </c>
      <c r="Q35" s="18"/>
    </row>
    <row r="36" spans="1:47" ht="15">
      <c r="A36" s="5" t="s">
        <v>48</v>
      </c>
      <c r="B36" s="68">
        <v>1000</v>
      </c>
      <c r="C36" s="38">
        <v>1353</v>
      </c>
      <c r="D36" s="38">
        <v>0</v>
      </c>
      <c r="E36" s="55">
        <v>0</v>
      </c>
      <c r="F36" s="55">
        <v>0</v>
      </c>
      <c r="G36" s="67">
        <v>26900</v>
      </c>
      <c r="H36" s="55">
        <v>0</v>
      </c>
      <c r="I36" s="55"/>
      <c r="J36" s="55"/>
      <c r="K36" s="55"/>
      <c r="L36" s="55"/>
      <c r="M36" s="55">
        <v>155272</v>
      </c>
      <c r="N36" s="67">
        <f>183525+B36</f>
        <v>184525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68">
        <v>32700</v>
      </c>
      <c r="C37" s="38">
        <v>218</v>
      </c>
      <c r="D37" s="38">
        <v>0</v>
      </c>
      <c r="E37" s="55">
        <v>0</v>
      </c>
      <c r="F37" s="55">
        <v>0</v>
      </c>
      <c r="G37" s="55">
        <v>0</v>
      </c>
      <c r="H37" s="55">
        <v>0</v>
      </c>
      <c r="I37" s="55"/>
      <c r="J37" s="55"/>
      <c r="K37" s="55"/>
      <c r="L37" s="55"/>
      <c r="M37" s="55">
        <v>27755</v>
      </c>
      <c r="N37" s="55">
        <f>27973+B37</f>
        <v>60673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68">
        <v>0</v>
      </c>
      <c r="C38" s="38">
        <v>0</v>
      </c>
      <c r="D38" s="38">
        <v>0</v>
      </c>
      <c r="E38" s="55">
        <v>0</v>
      </c>
      <c r="F38" s="55">
        <v>0</v>
      </c>
      <c r="G38" s="55">
        <v>0</v>
      </c>
      <c r="H38" s="55">
        <v>0</v>
      </c>
      <c r="I38" s="55"/>
      <c r="J38" s="55"/>
      <c r="K38" s="55"/>
      <c r="L38" s="55"/>
      <c r="M38" s="55">
        <v>120696</v>
      </c>
      <c r="N38" s="55">
        <v>120696</v>
      </c>
      <c r="O38" s="18">
        <f>SUM(O31:O35)</f>
        <v>0.54039479716871508</v>
      </c>
      <c r="P38" s="18"/>
      <c r="Q38" s="3"/>
      <c r="R38" s="7" t="s">
        <v>51</v>
      </c>
      <c r="S38" s="19">
        <f>N45/1000</f>
        <v>36.212480000000006</v>
      </c>
      <c r="T38" s="7"/>
    </row>
    <row r="39" spans="1:47" ht="15">
      <c r="A39" s="5" t="s">
        <v>18</v>
      </c>
      <c r="B39" s="68">
        <f>SUM(B31:B38)</f>
        <v>46900</v>
      </c>
      <c r="C39" s="38">
        <v>265833</v>
      </c>
      <c r="D39" s="38">
        <v>0</v>
      </c>
      <c r="E39" s="67">
        <f>E32</f>
        <v>6219</v>
      </c>
      <c r="F39" s="55">
        <f>F34+F32+F31</f>
        <v>31160</v>
      </c>
      <c r="G39" s="67">
        <f>G36+G32</f>
        <v>26963</v>
      </c>
      <c r="H39" s="55">
        <v>0</v>
      </c>
      <c r="I39" s="55"/>
      <c r="J39" s="55"/>
      <c r="K39" s="55"/>
      <c r="L39" s="55"/>
      <c r="M39" s="55">
        <v>419031</v>
      </c>
      <c r="N39" s="68">
        <f>SUM(N31:N38)</f>
        <v>796105</v>
      </c>
      <c r="O39" s="3"/>
      <c r="P39" s="3"/>
      <c r="Q39" s="3"/>
      <c r="R39" s="7" t="s">
        <v>52</v>
      </c>
      <c r="S39" s="20">
        <f>N41/1000</f>
        <v>365.89400000000001</v>
      </c>
      <c r="T39" s="13">
        <f>O41</f>
        <v>0.45960520283128481</v>
      </c>
    </row>
    <row r="40" spans="1:47">
      <c r="B40" s="52"/>
      <c r="R40" s="7" t="s">
        <v>53</v>
      </c>
      <c r="S40" s="20">
        <f>N35/1000</f>
        <v>67.784000000000006</v>
      </c>
      <c r="T40" s="14">
        <f>O35</f>
        <v>8.5144547515717151E-2</v>
      </c>
    </row>
    <row r="41" spans="1:47" ht="15">
      <c r="A41" s="21" t="s">
        <v>54</v>
      </c>
      <c r="B41" s="22">
        <f>B38+B37+B36</f>
        <v>33700</v>
      </c>
      <c r="C41" s="22">
        <f t="shared" ref="C41:N41" si="0">C38+C37+C36</f>
        <v>1571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26900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303723</v>
      </c>
      <c r="N41" s="22">
        <f t="shared" si="0"/>
        <v>365894</v>
      </c>
      <c r="O41" s="17">
        <f>N41/N$39</f>
        <v>0.45960520283128481</v>
      </c>
      <c r="P41" s="17" t="s">
        <v>55</v>
      </c>
      <c r="Q41" s="7"/>
      <c r="R41" s="7" t="s">
        <v>56</v>
      </c>
      <c r="S41" s="20">
        <f>N33/1000</f>
        <v>36.857999999999997</v>
      </c>
      <c r="T41" s="13">
        <f>O33</f>
        <v>4.6297912963742222E-2</v>
      </c>
    </row>
    <row r="42" spans="1:47" ht="15">
      <c r="A42" s="23" t="s">
        <v>57</v>
      </c>
      <c r="B42" s="22"/>
      <c r="C42" s="24">
        <f>C39+C23+C10</f>
        <v>266233</v>
      </c>
      <c r="D42" s="24">
        <f t="shared" ref="D42:L42" si="1">D39+D23+D10</f>
        <v>0</v>
      </c>
      <c r="E42" s="24">
        <f t="shared" si="1"/>
        <v>6219</v>
      </c>
      <c r="F42" s="24">
        <f t="shared" si="1"/>
        <v>31160</v>
      </c>
      <c r="G42" s="24">
        <f t="shared" si="1"/>
        <v>78763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452553.48</v>
      </c>
      <c r="N42" s="25">
        <f>SUM(C42:M42)</f>
        <v>834928.48</v>
      </c>
      <c r="O42" s="7"/>
      <c r="P42" s="7"/>
      <c r="Q42" s="7"/>
      <c r="R42" s="7" t="s">
        <v>37</v>
      </c>
      <c r="S42" s="20">
        <f>N31/1000</f>
        <v>3.65</v>
      </c>
      <c r="T42" s="13">
        <f>O31</f>
        <v>4.5848223538352351E-3</v>
      </c>
    </row>
    <row r="43" spans="1:47" ht="15">
      <c r="A43" s="23" t="s">
        <v>58</v>
      </c>
      <c r="B43" s="22"/>
      <c r="C43" s="17">
        <f t="shared" ref="C43:M43" si="2">C42/$N42</f>
        <v>0.31886922817628643</v>
      </c>
      <c r="D43" s="17">
        <f t="shared" si="2"/>
        <v>0</v>
      </c>
      <c r="E43" s="17">
        <f t="shared" si="2"/>
        <v>7.4485421793253478E-3</v>
      </c>
      <c r="F43" s="17">
        <f t="shared" si="2"/>
        <v>3.7320561876150161E-2</v>
      </c>
      <c r="G43" s="17">
        <f t="shared" si="2"/>
        <v>9.4335026156970953E-2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0.54202664161126712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40.243000000000002</v>
      </c>
      <c r="T43" s="14">
        <f>O32</f>
        <v>5.0549864653531881E-2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281.67599999999999</v>
      </c>
      <c r="T44" s="14">
        <f>O34</f>
        <v>0.35381764968188867</v>
      </c>
    </row>
    <row r="45" spans="1:47" ht="15">
      <c r="A45" s="6" t="s">
        <v>61</v>
      </c>
      <c r="B45" s="6">
        <f>B23-B39</f>
        <v>2690</v>
      </c>
      <c r="C45" s="70"/>
      <c r="D45" s="70"/>
      <c r="E45" s="70"/>
      <c r="F45" s="70"/>
      <c r="G45" s="70"/>
      <c r="H45" s="70"/>
      <c r="I45" s="6"/>
      <c r="J45" s="6"/>
      <c r="K45" s="6"/>
      <c r="L45" s="6"/>
      <c r="M45" s="26">
        <f>M39*0.08</f>
        <v>33522.480000000003</v>
      </c>
      <c r="N45" s="25">
        <f>B45+M45</f>
        <v>36212.480000000003</v>
      </c>
      <c r="O45" s="7"/>
      <c r="P45" s="7"/>
      <c r="Q45" s="7"/>
      <c r="R45" s="7" t="s">
        <v>62</v>
      </c>
      <c r="S45" s="20">
        <f>SUM(S39:S44)</f>
        <v>796.10500000000002</v>
      </c>
      <c r="T45" s="13">
        <f>SUM(T39:T44)</f>
        <v>1</v>
      </c>
    </row>
    <row r="46" spans="1:47" ht="15">
      <c r="A46" s="6" t="s">
        <v>88</v>
      </c>
      <c r="B46" s="83">
        <f>B45/B23</f>
        <v>5.4244807420850978E-2</v>
      </c>
      <c r="C46" s="70"/>
      <c r="D46" s="70"/>
      <c r="E46" s="70"/>
      <c r="F46" s="70"/>
      <c r="G46" s="70"/>
      <c r="H46" s="70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/>
      <c r="B47" s="37"/>
      <c r="C47" s="71"/>
      <c r="D47" s="71"/>
      <c r="E47" s="71"/>
      <c r="F47" s="71"/>
      <c r="G47" s="71"/>
      <c r="H47" s="71"/>
      <c r="I47" s="40"/>
      <c r="J47" s="40"/>
      <c r="K47" s="40"/>
      <c r="L47" s="40"/>
      <c r="M47" s="40"/>
      <c r="N47" s="40"/>
      <c r="O47" s="40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40"/>
      <c r="B48" s="37"/>
      <c r="C48" s="71"/>
      <c r="D48" s="71"/>
      <c r="E48" s="71"/>
      <c r="F48" s="72"/>
      <c r="G48" s="71"/>
      <c r="H48" s="72"/>
      <c r="I48" s="40"/>
      <c r="J48" s="40"/>
      <c r="K48" s="40"/>
      <c r="L48" s="40"/>
      <c r="M48" s="40"/>
      <c r="N48" s="40"/>
      <c r="O48" s="41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>
      <c r="A49" s="40"/>
      <c r="B49" s="37"/>
      <c r="C49" s="71"/>
      <c r="D49" s="71"/>
      <c r="E49" s="71"/>
      <c r="F49" s="71"/>
      <c r="G49" s="71"/>
      <c r="H49" s="71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>
      <c r="A50" s="40"/>
      <c r="B50" s="37"/>
      <c r="C50" s="71"/>
      <c r="D50" s="71"/>
      <c r="E50" s="71"/>
      <c r="F50" s="71"/>
      <c r="G50" s="71"/>
      <c r="H50" s="71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40"/>
      <c r="B51" s="37"/>
      <c r="C51" s="71"/>
      <c r="D51" s="71"/>
      <c r="E51" s="71"/>
      <c r="F51" s="71"/>
      <c r="G51" s="71"/>
      <c r="H51" s="71"/>
      <c r="I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40"/>
      <c r="B52" s="37"/>
      <c r="C52" s="71"/>
      <c r="D52" s="71"/>
      <c r="E52" s="71"/>
      <c r="F52" s="71"/>
      <c r="G52" s="71"/>
      <c r="H52" s="72"/>
      <c r="I52" s="40"/>
      <c r="J52" s="40"/>
      <c r="K52" s="40"/>
      <c r="L52" s="40"/>
      <c r="M52" s="40"/>
      <c r="N52" s="40"/>
      <c r="O52" s="41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40"/>
      <c r="B55" s="37"/>
      <c r="C55" s="40"/>
      <c r="D55" s="40"/>
      <c r="E55" s="40"/>
      <c r="F55" s="41"/>
      <c r="G55" s="40"/>
      <c r="H55" s="41"/>
      <c r="I55" s="40"/>
      <c r="J55" s="4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0"/>
      <c r="E56" s="40"/>
      <c r="F56" s="41"/>
      <c r="G56" s="40"/>
      <c r="H56" s="41"/>
      <c r="I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 enableFormatConditionsCalculation="0"/>
  <dimension ref="A1:AU70"/>
  <sheetViews>
    <sheetView topLeftCell="A18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66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66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>
        <v>0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38">
        <v>78438</v>
      </c>
      <c r="C18" s="38">
        <v>2503</v>
      </c>
      <c r="D18" s="38">
        <v>0</v>
      </c>
      <c r="E18" s="38">
        <v>0</v>
      </c>
      <c r="F18" s="38">
        <v>30072</v>
      </c>
      <c r="G18" s="38">
        <v>50659</v>
      </c>
      <c r="H18" s="38">
        <v>0</v>
      </c>
      <c r="I18" s="38"/>
      <c r="J18" s="38"/>
      <c r="K18" s="38"/>
      <c r="L18" s="38"/>
      <c r="M18" s="38"/>
      <c r="N18" s="38">
        <v>83234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/>
      <c r="J19" s="55"/>
      <c r="K19" s="55"/>
      <c r="L19" s="55"/>
      <c r="M19" s="55">
        <v>0</v>
      </c>
      <c r="N19" s="38"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55">
        <v>178616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/>
      <c r="J20" s="55"/>
      <c r="K20" s="55"/>
      <c r="L20" s="55"/>
      <c r="M20" s="68">
        <f>0.33*B20</f>
        <v>58943.280000000006</v>
      </c>
      <c r="N20" s="54">
        <f>M20</f>
        <v>58943.280000000006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68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/>
      <c r="J21" s="55"/>
      <c r="K21" s="55"/>
      <c r="L21" s="55"/>
      <c r="M21" s="68"/>
      <c r="N21" s="54">
        <v>0</v>
      </c>
      <c r="O21" s="3"/>
      <c r="P21" s="3"/>
      <c r="Q21" s="3"/>
      <c r="R21" s="3"/>
      <c r="S21" s="3"/>
      <c r="T21" s="3"/>
    </row>
    <row r="22" spans="1:20" ht="15">
      <c r="A22" s="4" t="s">
        <v>95</v>
      </c>
      <c r="B22" s="53">
        <v>57000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/>
      <c r="J22" s="55"/>
      <c r="K22" s="55"/>
      <c r="L22" s="55"/>
      <c r="M22" s="68"/>
      <c r="N22" s="54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55">
        <f>333204-76150+B22</f>
        <v>314054</v>
      </c>
      <c r="C23" s="55">
        <v>2503</v>
      </c>
      <c r="D23" s="55">
        <v>0</v>
      </c>
      <c r="E23" s="55">
        <v>0</v>
      </c>
      <c r="F23" s="55">
        <v>30072</v>
      </c>
      <c r="G23" s="55">
        <v>50659</v>
      </c>
      <c r="H23" s="55">
        <v>0</v>
      </c>
      <c r="I23" s="55"/>
      <c r="J23" s="55"/>
      <c r="K23" s="55"/>
      <c r="L23" s="55"/>
      <c r="M23" s="68">
        <f>M20</f>
        <v>58943.280000000006</v>
      </c>
      <c r="N23" s="54">
        <f>N20+N18</f>
        <v>142177.28</v>
      </c>
      <c r="O23" s="3"/>
      <c r="P23" s="3"/>
      <c r="Q23" s="3"/>
      <c r="R23" s="3" t="s">
        <v>28</v>
      </c>
      <c r="S23" s="11">
        <f>N42/1000</f>
        <v>1340.1792000000003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742.33920000000012</v>
      </c>
      <c r="T26" s="13">
        <f>M43</f>
        <v>0.55391040242976464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64.066000000000003</v>
      </c>
      <c r="T27" s="14">
        <f>G43</f>
        <v>4.7804054860723096E-2</v>
      </c>
    </row>
    <row r="28" spans="1:20" ht="15">
      <c r="A28" s="37" t="s">
        <v>66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70" t="s">
        <v>32</v>
      </c>
      <c r="C29" s="70" t="s">
        <v>3</v>
      </c>
      <c r="D29" s="70" t="s">
        <v>4</v>
      </c>
      <c r="E29" s="70" t="s">
        <v>5</v>
      </c>
      <c r="F29" s="70" t="s">
        <v>33</v>
      </c>
      <c r="G29" s="70" t="s">
        <v>7</v>
      </c>
      <c r="H29" s="70" t="s">
        <v>8</v>
      </c>
      <c r="I29" s="70" t="s">
        <v>6</v>
      </c>
      <c r="J29" s="70" t="s">
        <v>9</v>
      </c>
      <c r="K29" s="70" t="s">
        <v>10</v>
      </c>
      <c r="L29" s="70" t="s">
        <v>11</v>
      </c>
      <c r="M29" s="70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71.105000000000004</v>
      </c>
      <c r="T29" s="13">
        <f>F43</f>
        <v>5.3056337540531885E-2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0</v>
      </c>
      <c r="T30" s="13">
        <f>E43</f>
        <v>0</v>
      </c>
    </row>
    <row r="31" spans="1:20" ht="15">
      <c r="A31" s="5" t="s">
        <v>36</v>
      </c>
      <c r="B31" s="55">
        <v>0</v>
      </c>
      <c r="C31" s="55">
        <v>301</v>
      </c>
      <c r="D31" s="55">
        <v>0</v>
      </c>
      <c r="E31" s="55">
        <v>0</v>
      </c>
      <c r="F31" s="55">
        <v>33</v>
      </c>
      <c r="G31" s="55">
        <v>0</v>
      </c>
      <c r="H31" s="55">
        <v>0</v>
      </c>
      <c r="I31" s="55"/>
      <c r="J31" s="55"/>
      <c r="K31" s="55"/>
      <c r="L31" s="55"/>
      <c r="M31" s="55">
        <v>878</v>
      </c>
      <c r="N31" s="38">
        <v>1212</v>
      </c>
      <c r="O31" s="17">
        <f>N31/N$39</f>
        <v>8.3820963401637274E-4</v>
      </c>
      <c r="P31" s="18" t="s">
        <v>37</v>
      </c>
      <c r="Q31" s="3"/>
      <c r="R31" s="3" t="s">
        <v>38</v>
      </c>
      <c r="S31" s="12">
        <f>C42/1000</f>
        <v>462.66899999999998</v>
      </c>
      <c r="T31" s="14">
        <f>C43</f>
        <v>0.34522920516898031</v>
      </c>
    </row>
    <row r="32" spans="1:20" ht="15">
      <c r="A32" s="5" t="s">
        <v>39</v>
      </c>
      <c r="B32" s="55">
        <v>17629</v>
      </c>
      <c r="C32" s="67">
        <v>2198</v>
      </c>
      <c r="D32" s="55">
        <v>0</v>
      </c>
      <c r="E32" s="55">
        <v>0</v>
      </c>
      <c r="F32" s="55">
        <v>177</v>
      </c>
      <c r="G32" s="67">
        <f>N32-F32-M32-C32-B32</f>
        <v>207</v>
      </c>
      <c r="H32" s="55">
        <v>0</v>
      </c>
      <c r="I32" s="55"/>
      <c r="J32" s="55"/>
      <c r="K32" s="55"/>
      <c r="L32" s="55"/>
      <c r="M32" s="55">
        <v>88495</v>
      </c>
      <c r="N32" s="38">
        <v>108706</v>
      </c>
      <c r="O32" s="17">
        <f>N32/N$39</f>
        <v>7.518021161335299E-2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55">
        <v>36560</v>
      </c>
      <c r="C33" s="55">
        <v>28</v>
      </c>
      <c r="D33" s="55">
        <v>0</v>
      </c>
      <c r="E33" s="55">
        <v>0</v>
      </c>
      <c r="F33" s="55">
        <v>0</v>
      </c>
      <c r="G33" s="68">
        <v>0</v>
      </c>
      <c r="H33" s="55">
        <v>0</v>
      </c>
      <c r="I33" s="55"/>
      <c r="J33" s="55"/>
      <c r="K33" s="55"/>
      <c r="L33" s="55"/>
      <c r="M33" s="55">
        <v>63827</v>
      </c>
      <c r="N33" s="38">
        <v>100414</v>
      </c>
      <c r="O33" s="17">
        <f>N33/N$39</f>
        <v>6.9445529859835028E-2</v>
      </c>
      <c r="P33" s="18" t="s">
        <v>43</v>
      </c>
      <c r="Q33" s="3"/>
      <c r="R33" s="3" t="s">
        <v>8</v>
      </c>
      <c r="S33" s="12">
        <f>H42/1000</f>
        <v>0</v>
      </c>
      <c r="T33" s="13">
        <f>H43</f>
        <v>0</v>
      </c>
    </row>
    <row r="34" spans="1:47" ht="15">
      <c r="A34" s="5" t="s">
        <v>44</v>
      </c>
      <c r="B34" s="55">
        <v>0</v>
      </c>
      <c r="C34" s="55">
        <v>432766</v>
      </c>
      <c r="D34" s="55">
        <v>0</v>
      </c>
      <c r="E34" s="55">
        <v>0</v>
      </c>
      <c r="F34" s="55">
        <v>40823</v>
      </c>
      <c r="G34" s="68">
        <v>0</v>
      </c>
      <c r="H34" s="55">
        <v>0</v>
      </c>
      <c r="I34" s="55"/>
      <c r="J34" s="55"/>
      <c r="K34" s="55"/>
      <c r="L34" s="55"/>
      <c r="M34" s="55">
        <v>2045</v>
      </c>
      <c r="N34" s="38">
        <v>475634</v>
      </c>
      <c r="O34" s="17">
        <f>N34/N$39</f>
        <v>0.32894472035127348</v>
      </c>
      <c r="P34" s="18" t="s">
        <v>45</v>
      </c>
      <c r="Q34" s="3"/>
      <c r="R34" s="3"/>
      <c r="S34" s="12">
        <f>SUM(S26:S33)</f>
        <v>1340.1792</v>
      </c>
      <c r="T34" s="13">
        <f>SUM(T26:T33)</f>
        <v>1</v>
      </c>
    </row>
    <row r="35" spans="1:47" ht="15">
      <c r="A35" s="5" t="s">
        <v>46</v>
      </c>
      <c r="B35" s="55">
        <v>57087</v>
      </c>
      <c r="C35" s="55">
        <v>24046</v>
      </c>
      <c r="D35" s="55">
        <v>0</v>
      </c>
      <c r="E35" s="55">
        <v>0</v>
      </c>
      <c r="F35" s="55">
        <v>0</v>
      </c>
      <c r="G35" s="68">
        <v>0</v>
      </c>
      <c r="H35" s="55">
        <v>0</v>
      </c>
      <c r="I35" s="55"/>
      <c r="J35" s="55"/>
      <c r="K35" s="55"/>
      <c r="L35" s="55"/>
      <c r="M35" s="55">
        <v>246862</v>
      </c>
      <c r="N35" s="38">
        <v>327995</v>
      </c>
      <c r="O35" s="17">
        <f>N35/N$39</f>
        <v>0.22683875322541269</v>
      </c>
      <c r="P35" s="18" t="s">
        <v>47</v>
      </c>
      <c r="Q35" s="18"/>
    </row>
    <row r="36" spans="1:47" ht="15">
      <c r="A36" s="5" t="s">
        <v>48</v>
      </c>
      <c r="B36" s="55">
        <v>386</v>
      </c>
      <c r="C36" s="67">
        <f>N36-B36-G36-M36</f>
        <v>787</v>
      </c>
      <c r="D36" s="55">
        <v>0</v>
      </c>
      <c r="E36" s="55">
        <v>0</v>
      </c>
      <c r="F36" s="55">
        <v>0</v>
      </c>
      <c r="G36" s="67">
        <v>13200</v>
      </c>
      <c r="H36" s="55">
        <v>0</v>
      </c>
      <c r="I36" s="55"/>
      <c r="J36" s="55"/>
      <c r="K36" s="55"/>
      <c r="L36" s="55"/>
      <c r="M36" s="55">
        <v>191889</v>
      </c>
      <c r="N36" s="38">
        <v>206262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55">
        <v>186898</v>
      </c>
      <c r="C37" s="55">
        <v>40</v>
      </c>
      <c r="D37" s="55">
        <v>0</v>
      </c>
      <c r="E37" s="55">
        <v>0</v>
      </c>
      <c r="F37" s="55">
        <v>0</v>
      </c>
      <c r="G37" s="68">
        <v>0</v>
      </c>
      <c r="H37" s="55">
        <v>0</v>
      </c>
      <c r="I37" s="55"/>
      <c r="J37" s="55"/>
      <c r="K37" s="55"/>
      <c r="L37" s="55"/>
      <c r="M37" s="55">
        <v>38738</v>
      </c>
      <c r="N37" s="38">
        <v>225676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55">
        <v>0</v>
      </c>
      <c r="C38" s="55">
        <v>0</v>
      </c>
      <c r="D38" s="55">
        <v>0</v>
      </c>
      <c r="E38" s="55">
        <v>0</v>
      </c>
      <c r="F38" s="55">
        <v>0</v>
      </c>
      <c r="G38" s="68">
        <v>0</v>
      </c>
      <c r="H38" s="55">
        <v>0</v>
      </c>
      <c r="I38" s="55"/>
      <c r="J38" s="55"/>
      <c r="K38" s="55"/>
      <c r="L38" s="55"/>
      <c r="M38" s="55">
        <v>40</v>
      </c>
      <c r="N38" s="38">
        <v>40</v>
      </c>
      <c r="O38" s="18">
        <f>SUM(O31:O35)</f>
        <v>0.70124742468389056</v>
      </c>
      <c r="P38" s="18"/>
      <c r="Q38" s="3"/>
      <c r="R38" s="7" t="s">
        <v>51</v>
      </c>
      <c r="S38" s="19">
        <f>N45/1000</f>
        <v>66.115920000000003</v>
      </c>
      <c r="T38" s="7"/>
    </row>
    <row r="39" spans="1:47" ht="15">
      <c r="A39" s="5" t="s">
        <v>18</v>
      </c>
      <c r="B39" s="38">
        <v>298560</v>
      </c>
      <c r="C39" s="39">
        <f>SUM(C31:C38)</f>
        <v>460166</v>
      </c>
      <c r="D39" s="38">
        <v>0</v>
      </c>
      <c r="E39" s="38">
        <v>0</v>
      </c>
      <c r="F39" s="38">
        <v>41033</v>
      </c>
      <c r="G39" s="67">
        <f>G36+G32</f>
        <v>13407</v>
      </c>
      <c r="H39" s="38">
        <v>0</v>
      </c>
      <c r="I39" s="38"/>
      <c r="J39" s="38"/>
      <c r="K39" s="38"/>
      <c r="L39" s="38"/>
      <c r="M39" s="38">
        <v>632774</v>
      </c>
      <c r="N39" s="38">
        <v>1445939</v>
      </c>
      <c r="O39" s="3"/>
      <c r="P39" s="3"/>
      <c r="Q39" s="3"/>
      <c r="R39" s="7" t="s">
        <v>52</v>
      </c>
      <c r="S39" s="20">
        <f>N41/1000</f>
        <v>431.97800000000001</v>
      </c>
      <c r="T39" s="13">
        <f>O41</f>
        <v>0.29875257531610944</v>
      </c>
    </row>
    <row r="40" spans="1:47">
      <c r="R40" s="7" t="s">
        <v>53</v>
      </c>
      <c r="S40" s="20">
        <f>N35/1000</f>
        <v>327.995</v>
      </c>
      <c r="T40" s="14">
        <f>O35</f>
        <v>0.22683875322541269</v>
      </c>
    </row>
    <row r="41" spans="1:47" ht="15">
      <c r="A41" s="21" t="s">
        <v>54</v>
      </c>
      <c r="B41" s="22">
        <f>B38+B37+B36</f>
        <v>187284</v>
      </c>
      <c r="C41" s="22">
        <f t="shared" ref="C41:N41" si="0">C38+C37+C36</f>
        <v>827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13200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230667</v>
      </c>
      <c r="N41" s="22">
        <f t="shared" si="0"/>
        <v>431978</v>
      </c>
      <c r="O41" s="17">
        <f>N41/N$39</f>
        <v>0.29875257531610944</v>
      </c>
      <c r="P41" s="17" t="s">
        <v>55</v>
      </c>
      <c r="Q41" s="7"/>
      <c r="R41" s="7" t="s">
        <v>56</v>
      </c>
      <c r="S41" s="20">
        <f>N33/1000</f>
        <v>100.414</v>
      </c>
      <c r="T41" s="13">
        <f>O33</f>
        <v>6.9445529859835028E-2</v>
      </c>
    </row>
    <row r="42" spans="1:47" ht="15">
      <c r="A42" s="23" t="s">
        <v>57</v>
      </c>
      <c r="B42" s="22"/>
      <c r="C42" s="24">
        <f>C39+C23+C10</f>
        <v>462669</v>
      </c>
      <c r="D42" s="24">
        <f t="shared" ref="D42:L42" si="1">D39+D23+D10</f>
        <v>0</v>
      </c>
      <c r="E42" s="24">
        <f t="shared" si="1"/>
        <v>0</v>
      </c>
      <c r="F42" s="24">
        <f t="shared" si="1"/>
        <v>71105</v>
      </c>
      <c r="G42" s="24">
        <f t="shared" si="1"/>
        <v>64066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742339.20000000007</v>
      </c>
      <c r="N42" s="25">
        <f>SUM(C42:M42)</f>
        <v>1340179.2000000002</v>
      </c>
      <c r="O42" s="7"/>
      <c r="P42" s="7"/>
      <c r="Q42" s="7"/>
      <c r="R42" s="7" t="s">
        <v>37</v>
      </c>
      <c r="S42" s="20">
        <f>N31/1000</f>
        <v>1.212</v>
      </c>
      <c r="T42" s="13">
        <f>O31</f>
        <v>8.3820963401637274E-4</v>
      </c>
    </row>
    <row r="43" spans="1:47" ht="15">
      <c r="A43" s="23" t="s">
        <v>58</v>
      </c>
      <c r="B43" s="22"/>
      <c r="C43" s="17">
        <f t="shared" ref="C43:M43" si="2">C42/$N42</f>
        <v>0.34522920516898031</v>
      </c>
      <c r="D43" s="17">
        <f t="shared" si="2"/>
        <v>0</v>
      </c>
      <c r="E43" s="17">
        <f t="shared" si="2"/>
        <v>0</v>
      </c>
      <c r="F43" s="17">
        <f t="shared" si="2"/>
        <v>5.3056337540531885E-2</v>
      </c>
      <c r="G43" s="17">
        <f t="shared" si="2"/>
        <v>4.7804054860723096E-2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0.55391040242976464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108.706</v>
      </c>
      <c r="T43" s="14">
        <f>O32</f>
        <v>7.518021161335299E-2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475.63400000000001</v>
      </c>
      <c r="T44" s="14">
        <f>O34</f>
        <v>0.32894472035127348</v>
      </c>
    </row>
    <row r="45" spans="1:47" ht="15">
      <c r="A45" s="6" t="s">
        <v>61</v>
      </c>
      <c r="B45" s="6">
        <f>B23-B39</f>
        <v>15494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50621.919999999998</v>
      </c>
      <c r="N45" s="25">
        <f>B45+M45</f>
        <v>66115.92</v>
      </c>
      <c r="O45" s="7"/>
      <c r="P45" s="7"/>
      <c r="Q45" s="7"/>
      <c r="R45" s="7" t="s">
        <v>62</v>
      </c>
      <c r="S45" s="20">
        <f>SUM(S39:S44)</f>
        <v>1445.9389999999999</v>
      </c>
      <c r="T45" s="13">
        <f>SUM(T39:T44)</f>
        <v>1</v>
      </c>
    </row>
    <row r="46" spans="1:47" ht="15">
      <c r="A46" s="6" t="s">
        <v>88</v>
      </c>
      <c r="B46" s="83">
        <f>B45/(B23)</f>
        <v>4.933546460162902E-2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40"/>
      <c r="B48" s="37"/>
      <c r="C48" s="40"/>
      <c r="D48" s="41"/>
      <c r="E48" s="40"/>
      <c r="F48" s="40"/>
      <c r="G48" s="40"/>
      <c r="H48" s="41"/>
      <c r="I48" s="40"/>
      <c r="J48" s="40"/>
      <c r="K48" s="40"/>
      <c r="L48" s="40"/>
      <c r="M48" s="40"/>
      <c r="N48" s="40"/>
      <c r="O48" s="40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40"/>
      <c r="B52" s="37"/>
      <c r="C52" s="40"/>
      <c r="D52" s="41"/>
      <c r="E52" s="40"/>
      <c r="F52" s="40"/>
      <c r="G52" s="40"/>
      <c r="H52" s="41"/>
      <c r="I52" s="40"/>
      <c r="J52" s="40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40"/>
      <c r="B55" s="37"/>
      <c r="C55" s="40"/>
      <c r="D55" s="41"/>
      <c r="E55" s="40"/>
      <c r="F55" s="40"/>
      <c r="G55" s="40"/>
      <c r="H55" s="41"/>
      <c r="I55" s="40"/>
      <c r="J55" s="4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1"/>
      <c r="E56" s="40"/>
      <c r="F56" s="40"/>
      <c r="G56" s="40"/>
      <c r="H56" s="41"/>
      <c r="I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 enableFormatConditionsCalculation="0"/>
  <dimension ref="A1:AU70"/>
  <sheetViews>
    <sheetView topLeftCell="A12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67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67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>
        <v>0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38">
        <v>6492</v>
      </c>
      <c r="C18" s="38">
        <v>2099</v>
      </c>
      <c r="D18" s="38">
        <v>0</v>
      </c>
      <c r="E18" s="38">
        <v>0</v>
      </c>
      <c r="F18" s="38">
        <v>0</v>
      </c>
      <c r="G18" s="38">
        <v>5117</v>
      </c>
      <c r="H18" s="38">
        <v>0</v>
      </c>
      <c r="I18" s="38"/>
      <c r="J18" s="38"/>
      <c r="K18" s="38"/>
      <c r="L18" s="38"/>
      <c r="M18" s="38"/>
      <c r="N18" s="38">
        <v>7216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55">
        <v>0</v>
      </c>
      <c r="N19" s="38"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55">
        <v>0</v>
      </c>
      <c r="N20" s="38">
        <v>0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55"/>
      <c r="N21" s="38">
        <v>0</v>
      </c>
      <c r="O21" s="3"/>
      <c r="P21" s="3"/>
      <c r="Q21" s="3"/>
      <c r="R21" s="3"/>
      <c r="S21" s="3"/>
      <c r="T21" s="3"/>
    </row>
    <row r="22" spans="1:20" ht="15">
      <c r="A22" s="4" t="s">
        <v>27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38"/>
      <c r="N22" s="38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38">
        <v>6492</v>
      </c>
      <c r="C23" s="38">
        <v>2099</v>
      </c>
      <c r="D23" s="38">
        <v>0</v>
      </c>
      <c r="E23" s="38">
        <v>0</v>
      </c>
      <c r="F23" s="38">
        <v>0</v>
      </c>
      <c r="G23" s="38">
        <v>5117</v>
      </c>
      <c r="H23" s="38">
        <v>0</v>
      </c>
      <c r="I23" s="38"/>
      <c r="J23" s="38"/>
      <c r="K23" s="38"/>
      <c r="L23" s="38"/>
      <c r="M23" s="38"/>
      <c r="N23" s="38">
        <v>7216</v>
      </c>
      <c r="O23" s="3"/>
      <c r="P23" s="3"/>
      <c r="Q23" s="3"/>
      <c r="R23" s="3" t="s">
        <v>28</v>
      </c>
      <c r="S23" s="11">
        <f>N42/1000</f>
        <v>527.93732000000011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312.69132000000002</v>
      </c>
      <c r="T26" s="13">
        <f>M43</f>
        <v>0.592288720941342</v>
      </c>
    </row>
    <row r="27" spans="1:20" ht="18">
      <c r="A27" s="1" t="s">
        <v>31</v>
      </c>
      <c r="B27" s="10"/>
      <c r="C27" s="10"/>
      <c r="D27" s="10"/>
      <c r="E27" s="49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26.19</v>
      </c>
      <c r="T27" s="14">
        <f>G43</f>
        <v>4.96081618173915E-2</v>
      </c>
    </row>
    <row r="28" spans="1:20" ht="15">
      <c r="A28" s="37" t="s">
        <v>67</v>
      </c>
      <c r="B28" s="9"/>
      <c r="C28" s="9"/>
      <c r="D28" s="9"/>
      <c r="E28" s="9"/>
      <c r="F28" s="43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13.993</v>
      </c>
      <c r="T29" s="13">
        <f>F43</f>
        <v>2.6505040408963697E-2</v>
      </c>
    </row>
    <row r="30" spans="1:20" ht="15">
      <c r="B30" s="9"/>
      <c r="C30" s="9"/>
      <c r="D30" s="9"/>
      <c r="E30" s="9"/>
      <c r="F30" s="43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0</v>
      </c>
      <c r="T30" s="13">
        <f>E43</f>
        <v>0</v>
      </c>
    </row>
    <row r="31" spans="1:20" ht="15">
      <c r="A31" s="5" t="s">
        <v>36</v>
      </c>
      <c r="B31" s="38">
        <v>0</v>
      </c>
      <c r="C31" s="67">
        <f>C39-C32-C33-C34-C35-C36-C37</f>
        <v>8238</v>
      </c>
      <c r="D31" s="68">
        <v>0</v>
      </c>
      <c r="E31" s="68">
        <v>0</v>
      </c>
      <c r="F31" s="67">
        <f>N31-M31-C31</f>
        <v>504</v>
      </c>
      <c r="G31" s="38">
        <v>0</v>
      </c>
      <c r="H31" s="38">
        <v>0</v>
      </c>
      <c r="I31" s="38"/>
      <c r="J31" s="38"/>
      <c r="K31" s="38"/>
      <c r="L31" s="38"/>
      <c r="M31" s="38">
        <v>42962</v>
      </c>
      <c r="N31" s="38">
        <v>51704</v>
      </c>
      <c r="O31" s="17">
        <f>N31/N$39</f>
        <v>0.10292241205990138</v>
      </c>
      <c r="P31" s="18" t="s">
        <v>37</v>
      </c>
      <c r="Q31" s="3"/>
      <c r="R31" s="3" t="s">
        <v>38</v>
      </c>
      <c r="S31" s="12">
        <f>C42/1000</f>
        <v>175.06299999999999</v>
      </c>
      <c r="T31" s="14">
        <f>C43</f>
        <v>0.33159807683230269</v>
      </c>
    </row>
    <row r="32" spans="1:20" ht="15">
      <c r="A32" s="5" t="s">
        <v>39</v>
      </c>
      <c r="B32" s="38">
        <v>0</v>
      </c>
      <c r="C32" s="67">
        <f>N32-M32-F32</f>
        <v>2666</v>
      </c>
      <c r="D32" s="68">
        <v>0</v>
      </c>
      <c r="E32" s="68">
        <v>0</v>
      </c>
      <c r="F32" s="67">
        <v>7</v>
      </c>
      <c r="G32" s="38">
        <v>0</v>
      </c>
      <c r="H32" s="38">
        <v>0</v>
      </c>
      <c r="I32" s="38"/>
      <c r="J32" s="38"/>
      <c r="K32" s="38"/>
      <c r="L32" s="38"/>
      <c r="M32" s="38">
        <v>15298</v>
      </c>
      <c r="N32" s="38">
        <v>17971</v>
      </c>
      <c r="O32" s="17">
        <f>N32/N$39</f>
        <v>3.5773221938892305E-2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38">
        <v>340</v>
      </c>
      <c r="C33" s="38">
        <v>3708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8">
        <v>23535</v>
      </c>
      <c r="N33" s="38">
        <v>27583</v>
      </c>
      <c r="O33" s="17">
        <f>N33/N$39</f>
        <v>5.4906949014549358E-2</v>
      </c>
      <c r="P33" s="18" t="s">
        <v>43</v>
      </c>
      <c r="Q33" s="3"/>
      <c r="R33" s="3" t="s">
        <v>8</v>
      </c>
      <c r="S33" s="12">
        <f>H42/1000</f>
        <v>0</v>
      </c>
      <c r="T33" s="13">
        <f>H43</f>
        <v>0</v>
      </c>
    </row>
    <row r="34" spans="1:47" ht="15">
      <c r="A34" s="5" t="s">
        <v>44</v>
      </c>
      <c r="B34" s="38">
        <v>0</v>
      </c>
      <c r="C34" s="38">
        <v>149509</v>
      </c>
      <c r="D34" s="38">
        <v>0</v>
      </c>
      <c r="E34" s="38">
        <v>0</v>
      </c>
      <c r="F34" s="38">
        <v>13482</v>
      </c>
      <c r="G34" s="38">
        <v>0</v>
      </c>
      <c r="H34" s="38">
        <v>0</v>
      </c>
      <c r="I34" s="38"/>
      <c r="J34" s="38"/>
      <c r="K34" s="38"/>
      <c r="L34" s="38"/>
      <c r="M34" s="38">
        <v>779</v>
      </c>
      <c r="N34" s="38">
        <v>163771</v>
      </c>
      <c r="O34" s="17">
        <f>N34/N$39</f>
        <v>0.32600391353593744</v>
      </c>
      <c r="P34" s="18" t="s">
        <v>45</v>
      </c>
      <c r="Q34" s="3"/>
      <c r="R34" s="3"/>
      <c r="S34" s="12">
        <f>SUM(S26:S33)</f>
        <v>527.93732</v>
      </c>
      <c r="T34" s="13">
        <f>SUM(T26:T33)</f>
        <v>0.99999999999999989</v>
      </c>
    </row>
    <row r="35" spans="1:47" ht="15">
      <c r="A35" s="5" t="s">
        <v>46</v>
      </c>
      <c r="B35" s="38">
        <v>17</v>
      </c>
      <c r="C35" s="38">
        <v>7016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>
        <v>56840</v>
      </c>
      <c r="N35" s="38">
        <v>63873</v>
      </c>
      <c r="O35" s="17">
        <f>N35/N$39</f>
        <v>0.12714612458421168</v>
      </c>
      <c r="P35" s="18" t="s">
        <v>47</v>
      </c>
      <c r="Q35" s="18"/>
    </row>
    <row r="36" spans="1:47" ht="15">
      <c r="A36" s="5" t="s">
        <v>48</v>
      </c>
      <c r="B36" s="38">
        <v>3800</v>
      </c>
      <c r="C36" s="38">
        <v>1598</v>
      </c>
      <c r="D36" s="38">
        <v>0</v>
      </c>
      <c r="E36" s="38">
        <v>0</v>
      </c>
      <c r="F36" s="38">
        <v>0</v>
      </c>
      <c r="G36" s="38">
        <v>21073</v>
      </c>
      <c r="H36" s="38">
        <v>0</v>
      </c>
      <c r="I36" s="38"/>
      <c r="J36" s="38"/>
      <c r="K36" s="38"/>
      <c r="L36" s="38"/>
      <c r="M36" s="38">
        <v>134073</v>
      </c>
      <c r="N36" s="38">
        <v>160544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38">
        <v>644</v>
      </c>
      <c r="C37" s="38">
        <v>229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>
        <v>7271</v>
      </c>
      <c r="N37" s="38">
        <v>8144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>
        <v>8771</v>
      </c>
      <c r="N38" s="38">
        <v>8771</v>
      </c>
      <c r="O38" s="18">
        <f>SUM(O31:O35)</f>
        <v>0.64675262113349219</v>
      </c>
      <c r="P38" s="18"/>
      <c r="Q38" s="3"/>
      <c r="R38" s="7" t="s">
        <v>51</v>
      </c>
      <c r="S38" s="19">
        <f>N45/1000</f>
        <v>24.85332</v>
      </c>
      <c r="T38" s="7"/>
    </row>
    <row r="39" spans="1:47" ht="15">
      <c r="A39" s="5" t="s">
        <v>18</v>
      </c>
      <c r="B39" s="38">
        <v>4801</v>
      </c>
      <c r="C39" s="38">
        <v>172964</v>
      </c>
      <c r="D39" s="38">
        <v>0</v>
      </c>
      <c r="E39" s="38">
        <v>0</v>
      </c>
      <c r="F39" s="38">
        <f>F34+F32+F31</f>
        <v>13993</v>
      </c>
      <c r="G39" s="38">
        <v>21073</v>
      </c>
      <c r="H39" s="38">
        <v>0</v>
      </c>
      <c r="I39" s="38"/>
      <c r="J39" s="38"/>
      <c r="K39" s="38"/>
      <c r="L39" s="38"/>
      <c r="M39" s="38">
        <v>289529</v>
      </c>
      <c r="N39" s="38">
        <v>502359</v>
      </c>
      <c r="O39" s="3"/>
      <c r="P39" s="3"/>
      <c r="Q39" s="3"/>
      <c r="R39" s="7" t="s">
        <v>52</v>
      </c>
      <c r="S39" s="20">
        <f>N41/1000</f>
        <v>177.459</v>
      </c>
      <c r="T39" s="13">
        <f>O41</f>
        <v>0.3532513600831278</v>
      </c>
    </row>
    <row r="40" spans="1:47">
      <c r="R40" s="7" t="s">
        <v>53</v>
      </c>
      <c r="S40" s="20">
        <f>N35/1000</f>
        <v>63.872999999999998</v>
      </c>
      <c r="T40" s="14">
        <f>O35</f>
        <v>0.12714612458421168</v>
      </c>
    </row>
    <row r="41" spans="1:47" ht="15">
      <c r="A41" s="21" t="s">
        <v>54</v>
      </c>
      <c r="B41" s="22">
        <f>B38+B37+B36</f>
        <v>4444</v>
      </c>
      <c r="C41" s="22">
        <f t="shared" ref="C41:N41" si="0">C38+C37+C36</f>
        <v>1827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21073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150115</v>
      </c>
      <c r="N41" s="22">
        <f t="shared" si="0"/>
        <v>177459</v>
      </c>
      <c r="O41" s="17">
        <f>N41/N$39</f>
        <v>0.3532513600831278</v>
      </c>
      <c r="P41" s="17" t="s">
        <v>55</v>
      </c>
      <c r="Q41" s="7"/>
      <c r="R41" s="7" t="s">
        <v>56</v>
      </c>
      <c r="S41" s="20">
        <f>N33/1000</f>
        <v>27.582999999999998</v>
      </c>
      <c r="T41" s="13">
        <f>O33</f>
        <v>5.4906949014549358E-2</v>
      </c>
    </row>
    <row r="42" spans="1:47" ht="15">
      <c r="A42" s="23" t="s">
        <v>57</v>
      </c>
      <c r="B42" s="22"/>
      <c r="C42" s="24">
        <f>C39+C23+C10</f>
        <v>175063</v>
      </c>
      <c r="D42" s="24">
        <f t="shared" ref="D42:L42" si="1">D39+D23+D10</f>
        <v>0</v>
      </c>
      <c r="E42" s="24">
        <f t="shared" si="1"/>
        <v>0</v>
      </c>
      <c r="F42" s="24">
        <f t="shared" si="1"/>
        <v>13993</v>
      </c>
      <c r="G42" s="24">
        <f t="shared" si="1"/>
        <v>26190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312691.32</v>
      </c>
      <c r="N42" s="25">
        <f>SUM(C42:M42)</f>
        <v>527937.32000000007</v>
      </c>
      <c r="O42" s="7"/>
      <c r="P42" s="7"/>
      <c r="Q42" s="7"/>
      <c r="R42" s="7" t="s">
        <v>37</v>
      </c>
      <c r="S42" s="20">
        <f>N31/1000</f>
        <v>51.704000000000001</v>
      </c>
      <c r="T42" s="13">
        <f>O31</f>
        <v>0.10292241205990138</v>
      </c>
    </row>
    <row r="43" spans="1:47" ht="15">
      <c r="A43" s="23" t="s">
        <v>58</v>
      </c>
      <c r="B43" s="22"/>
      <c r="C43" s="17">
        <f t="shared" ref="C43:M43" si="2">C42/$N42</f>
        <v>0.33159807683230269</v>
      </c>
      <c r="D43" s="17">
        <f t="shared" si="2"/>
        <v>0</v>
      </c>
      <c r="E43" s="17">
        <f t="shared" si="2"/>
        <v>0</v>
      </c>
      <c r="F43" s="17">
        <f t="shared" si="2"/>
        <v>2.6505040408963697E-2</v>
      </c>
      <c r="G43" s="17">
        <f t="shared" si="2"/>
        <v>4.96081618173915E-2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0.592288720941342</v>
      </c>
      <c r="N43" s="17">
        <f>SUM(C43:M43)</f>
        <v>0.99999999999999989</v>
      </c>
      <c r="O43" s="7"/>
      <c r="P43" s="7"/>
      <c r="Q43" s="7"/>
      <c r="R43" s="7" t="s">
        <v>59</v>
      </c>
      <c r="S43" s="20">
        <f>N32/1000</f>
        <v>17.971</v>
      </c>
      <c r="T43" s="14">
        <f>O32</f>
        <v>3.5773221938892305E-2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163.77099999999999</v>
      </c>
      <c r="T44" s="14">
        <f>O34</f>
        <v>0.32600391353593744</v>
      </c>
    </row>
    <row r="45" spans="1:47" ht="15">
      <c r="A45" s="6" t="s">
        <v>61</v>
      </c>
      <c r="B45" s="6">
        <f>B23-B39</f>
        <v>1691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23162.32</v>
      </c>
      <c r="N45" s="25">
        <f>B45+M45</f>
        <v>24853.32</v>
      </c>
      <c r="O45" s="7"/>
      <c r="P45" s="7"/>
      <c r="Q45" s="7"/>
      <c r="R45" s="7" t="s">
        <v>62</v>
      </c>
      <c r="S45" s="20">
        <f>SUM(S39:S44)</f>
        <v>502.36099999999999</v>
      </c>
      <c r="T45" s="13">
        <f>SUM(T39:T44)</f>
        <v>1.0000039812166199</v>
      </c>
    </row>
    <row r="46" spans="1:47" ht="15">
      <c r="A46" s="6" t="s">
        <v>88</v>
      </c>
      <c r="B46" s="83">
        <f>B45/B23</f>
        <v>0.26047443006777571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/>
      <c r="B47" s="37"/>
      <c r="C47" s="40"/>
      <c r="D47" s="41"/>
      <c r="E47" s="40"/>
      <c r="F47" s="40"/>
      <c r="G47" s="41"/>
      <c r="H47" s="40"/>
      <c r="I47" s="40"/>
      <c r="J47" s="40"/>
      <c r="K47" s="40"/>
      <c r="L47" s="40"/>
      <c r="M47" s="40"/>
      <c r="N47" s="40"/>
      <c r="O47" s="40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40"/>
      <c r="B48" s="37"/>
      <c r="C48" s="40"/>
      <c r="D48" s="41"/>
      <c r="E48" s="40"/>
      <c r="F48" s="40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40"/>
      <c r="B55" s="37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 enableFormatConditionsCalculation="0"/>
  <dimension ref="A1:AU70"/>
  <sheetViews>
    <sheetView topLeftCell="A9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3" width="8.83203125" style="2"/>
    <col min="14" max="14" width="11" style="2" bestFit="1" customWidth="1"/>
    <col min="15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68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68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>
        <v>0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68">
        <f>50942+1500</f>
        <v>52442</v>
      </c>
      <c r="C18" s="68">
        <f>5549+1893</f>
        <v>7442</v>
      </c>
      <c r="D18" s="55">
        <v>0</v>
      </c>
      <c r="E18" s="55">
        <v>0</v>
      </c>
      <c r="F18" s="55">
        <v>49009</v>
      </c>
      <c r="G18" s="55">
        <v>0</v>
      </c>
      <c r="H18" s="55">
        <v>8722</v>
      </c>
      <c r="I18" s="55"/>
      <c r="J18" s="55"/>
      <c r="K18" s="55"/>
      <c r="L18" s="55"/>
      <c r="M18" s="55"/>
      <c r="N18" s="54">
        <f>C18+F18+H18</f>
        <v>65173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/>
      <c r="J19" s="55"/>
      <c r="K19" s="55"/>
      <c r="L19" s="55"/>
      <c r="M19" s="55">
        <v>0</v>
      </c>
      <c r="N19" s="38"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/>
      <c r="J20" s="55"/>
      <c r="K20" s="55"/>
      <c r="L20" s="55"/>
      <c r="M20" s="55">
        <v>0</v>
      </c>
      <c r="N20" s="38">
        <v>0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/>
      <c r="J21" s="55"/>
      <c r="K21" s="55"/>
      <c r="L21" s="55"/>
      <c r="M21" s="55"/>
      <c r="N21" s="38">
        <v>0</v>
      </c>
      <c r="O21" s="3"/>
      <c r="P21" s="3"/>
      <c r="Q21" s="3"/>
      <c r="R21" s="3"/>
      <c r="S21" s="3"/>
      <c r="T21" s="3"/>
    </row>
    <row r="22" spans="1:20" ht="15">
      <c r="A22" s="4" t="s">
        <v>95</v>
      </c>
      <c r="B22" s="53">
        <v>485000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/>
      <c r="J22" s="55"/>
      <c r="K22" s="55"/>
      <c r="L22" s="55"/>
      <c r="M22" s="55"/>
      <c r="N22" s="38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55">
        <f>B22+B18</f>
        <v>537442</v>
      </c>
      <c r="C23" s="68">
        <f>C18</f>
        <v>7442</v>
      </c>
      <c r="D23" s="55">
        <v>0</v>
      </c>
      <c r="E23" s="55">
        <v>0</v>
      </c>
      <c r="F23" s="55">
        <v>49009</v>
      </c>
      <c r="G23" s="55">
        <v>0</v>
      </c>
      <c r="H23" s="55">
        <v>8722</v>
      </c>
      <c r="I23" s="55"/>
      <c r="J23" s="55"/>
      <c r="K23" s="55"/>
      <c r="L23" s="55"/>
      <c r="M23" s="55"/>
      <c r="N23" s="54">
        <f>N18</f>
        <v>65173</v>
      </c>
      <c r="O23" s="3"/>
      <c r="P23" s="3"/>
      <c r="Q23" s="3"/>
      <c r="R23" s="3" t="s">
        <v>28</v>
      </c>
      <c r="S23" s="11">
        <f>N42/1000</f>
        <v>1671.9229599999999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761.27796000000001</v>
      </c>
      <c r="T26" s="13">
        <f>M43</f>
        <v>0.45533076476203183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26.905999999999999</v>
      </c>
      <c r="T27" s="14">
        <f>G43</f>
        <v>1.6092846766097405E-2</v>
      </c>
    </row>
    <row r="28" spans="1:20" ht="15">
      <c r="A28" s="37" t="s">
        <v>68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70" t="s">
        <v>32</v>
      </c>
      <c r="C29" s="70" t="s">
        <v>3</v>
      </c>
      <c r="D29" s="70" t="s">
        <v>4</v>
      </c>
      <c r="E29" s="70" t="s">
        <v>5</v>
      </c>
      <c r="F29" s="70" t="s">
        <v>33</v>
      </c>
      <c r="G29" s="70" t="s">
        <v>7</v>
      </c>
      <c r="H29" s="70" t="s">
        <v>8</v>
      </c>
      <c r="I29" s="70" t="s">
        <v>6</v>
      </c>
      <c r="J29" s="70" t="s">
        <v>9</v>
      </c>
      <c r="K29" s="70" t="s">
        <v>10</v>
      </c>
      <c r="L29" s="70" t="s">
        <v>11</v>
      </c>
      <c r="M29" s="70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117.63800000000001</v>
      </c>
      <c r="T29" s="13">
        <f>F43</f>
        <v>7.0360897490157087E-2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1.4890000000000001</v>
      </c>
      <c r="T30" s="13">
        <f>E43</f>
        <v>8.9059127461231828E-4</v>
      </c>
    </row>
    <row r="31" spans="1:20" ht="15">
      <c r="A31" s="5" t="s">
        <v>36</v>
      </c>
      <c r="B31" s="55">
        <v>0</v>
      </c>
      <c r="C31" s="55">
        <v>907</v>
      </c>
      <c r="D31" s="55">
        <v>0</v>
      </c>
      <c r="E31" s="55">
        <v>0</v>
      </c>
      <c r="F31" s="55">
        <v>54</v>
      </c>
      <c r="G31" s="55">
        <v>0</v>
      </c>
      <c r="H31" s="55">
        <v>0</v>
      </c>
      <c r="I31" s="55"/>
      <c r="J31" s="55"/>
      <c r="K31" s="55"/>
      <c r="L31" s="55"/>
      <c r="M31" s="55">
        <v>261</v>
      </c>
      <c r="N31" s="38">
        <v>1222</v>
      </c>
      <c r="O31" s="17">
        <f>N31/N$39</f>
        <v>5.9300180229844004E-4</v>
      </c>
      <c r="P31" s="18" t="s">
        <v>37</v>
      </c>
      <c r="Q31" s="3"/>
      <c r="R31" s="3" t="s">
        <v>38</v>
      </c>
      <c r="S31" s="12">
        <f>C42/1000</f>
        <v>755.89</v>
      </c>
      <c r="T31" s="14">
        <f>C43</f>
        <v>0.45210815216031247</v>
      </c>
    </row>
    <row r="32" spans="1:20" ht="15">
      <c r="A32" s="5" t="s">
        <v>39</v>
      </c>
      <c r="B32" s="55">
        <v>57605</v>
      </c>
      <c r="C32" s="67">
        <f>9884-1489</f>
        <v>8395</v>
      </c>
      <c r="D32" s="55">
        <v>0</v>
      </c>
      <c r="E32" s="67">
        <v>1489</v>
      </c>
      <c r="F32" s="55">
        <v>607</v>
      </c>
      <c r="G32" s="66">
        <v>6</v>
      </c>
      <c r="H32" s="55">
        <v>0</v>
      </c>
      <c r="I32" s="55"/>
      <c r="J32" s="55"/>
      <c r="K32" s="55"/>
      <c r="L32" s="55"/>
      <c r="M32" s="55">
        <v>44731</v>
      </c>
      <c r="N32" s="38">
        <v>112833</v>
      </c>
      <c r="O32" s="17">
        <f>N32/N$39</f>
        <v>5.4754641864762588E-2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55">
        <v>121360</v>
      </c>
      <c r="C33" s="55">
        <v>331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/>
      <c r="J33" s="55"/>
      <c r="K33" s="55"/>
      <c r="L33" s="55"/>
      <c r="M33" s="55">
        <v>74201</v>
      </c>
      <c r="N33" s="38">
        <v>195892</v>
      </c>
      <c r="O33" s="17">
        <f>N33/N$39</f>
        <v>9.5060809374669403E-2</v>
      </c>
      <c r="P33" s="18" t="s">
        <v>43</v>
      </c>
      <c r="Q33" s="3"/>
      <c r="R33" s="3" t="s">
        <v>8</v>
      </c>
      <c r="S33" s="12">
        <f>H42/1000</f>
        <v>8.7219999999999995</v>
      </c>
      <c r="T33" s="13">
        <f>H43</f>
        <v>5.2167475467888788E-3</v>
      </c>
    </row>
    <row r="34" spans="1:47" ht="15">
      <c r="A34" s="5" t="s">
        <v>44</v>
      </c>
      <c r="B34" s="55">
        <v>0</v>
      </c>
      <c r="C34" s="55">
        <v>730755</v>
      </c>
      <c r="D34" s="55">
        <v>0</v>
      </c>
      <c r="E34" s="55">
        <v>0</v>
      </c>
      <c r="F34" s="55">
        <v>67968</v>
      </c>
      <c r="G34" s="55">
        <v>0</v>
      </c>
      <c r="H34" s="55">
        <v>0</v>
      </c>
      <c r="I34" s="55"/>
      <c r="J34" s="55"/>
      <c r="K34" s="55"/>
      <c r="L34" s="55"/>
      <c r="M34" s="55">
        <v>2096</v>
      </c>
      <c r="N34" s="38">
        <v>800819</v>
      </c>
      <c r="O34" s="17">
        <f>N34/N$39</f>
        <v>0.38861465655878435</v>
      </c>
      <c r="P34" s="18" t="s">
        <v>45</v>
      </c>
      <c r="Q34" s="3"/>
      <c r="R34" s="3"/>
      <c r="S34" s="12">
        <f>SUM(S26:S33)</f>
        <v>1671.9229600000001</v>
      </c>
      <c r="T34" s="13">
        <f>SUM(T26:T33)</f>
        <v>1</v>
      </c>
    </row>
    <row r="35" spans="1:47" ht="15">
      <c r="A35" s="5" t="s">
        <v>46</v>
      </c>
      <c r="B35" s="55">
        <v>36352</v>
      </c>
      <c r="C35" s="55">
        <v>4624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/>
      <c r="J35" s="55"/>
      <c r="K35" s="55"/>
      <c r="L35" s="55"/>
      <c r="M35" s="55">
        <v>241599</v>
      </c>
      <c r="N35" s="38">
        <v>282575</v>
      </c>
      <c r="O35" s="17">
        <f>N35/N$39</f>
        <v>0.13712560088746456</v>
      </c>
      <c r="P35" s="18" t="s">
        <v>47</v>
      </c>
      <c r="Q35" s="18"/>
    </row>
    <row r="36" spans="1:47" ht="15">
      <c r="A36" s="5" t="s">
        <v>48</v>
      </c>
      <c r="B36" s="55">
        <v>47495</v>
      </c>
      <c r="C36" s="67">
        <f>N36-M36-B36-G36</f>
        <v>3348</v>
      </c>
      <c r="D36" s="68">
        <v>0</v>
      </c>
      <c r="E36" s="68">
        <v>0</v>
      </c>
      <c r="F36" s="68">
        <v>0</v>
      </c>
      <c r="G36" s="67">
        <v>26900</v>
      </c>
      <c r="H36" s="55">
        <v>0</v>
      </c>
      <c r="I36" s="55"/>
      <c r="J36" s="55"/>
      <c r="K36" s="55"/>
      <c r="L36" s="55"/>
      <c r="M36" s="55">
        <v>281406</v>
      </c>
      <c r="N36" s="38">
        <v>359149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55">
        <v>247532</v>
      </c>
      <c r="C37" s="55">
        <v>88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/>
      <c r="J37" s="55"/>
      <c r="K37" s="55"/>
      <c r="L37" s="55"/>
      <c r="M37" s="55">
        <v>43362</v>
      </c>
      <c r="N37" s="38">
        <v>290982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55">
        <v>0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/>
      <c r="J38" s="55"/>
      <c r="K38" s="55"/>
      <c r="L38" s="55"/>
      <c r="M38" s="55">
        <v>17231</v>
      </c>
      <c r="N38" s="38">
        <v>17231</v>
      </c>
      <c r="O38" s="18">
        <f>SUM(O31:O35)</f>
        <v>0.67614871048797931</v>
      </c>
      <c r="P38" s="18"/>
      <c r="Q38" s="3"/>
      <c r="R38" s="7" t="s">
        <v>51</v>
      </c>
      <c r="S38" s="19">
        <f>N45/1000</f>
        <v>83.488959999999992</v>
      </c>
      <c r="T38" s="7"/>
    </row>
    <row r="39" spans="1:47" ht="15">
      <c r="A39" s="5" t="s">
        <v>18</v>
      </c>
      <c r="B39" s="55">
        <v>510344</v>
      </c>
      <c r="C39" s="67">
        <f>SUM(C31:C38)</f>
        <v>748448</v>
      </c>
      <c r="D39" s="55">
        <v>0</v>
      </c>
      <c r="E39" s="67">
        <f>SUM(E31:E38)</f>
        <v>1489</v>
      </c>
      <c r="F39" s="55">
        <v>68629</v>
      </c>
      <c r="G39" s="67">
        <f>SUM(G31:G38)</f>
        <v>26906</v>
      </c>
      <c r="H39" s="55">
        <v>0</v>
      </c>
      <c r="I39" s="55"/>
      <c r="J39" s="55"/>
      <c r="K39" s="55"/>
      <c r="L39" s="55"/>
      <c r="M39" s="55">
        <v>704887</v>
      </c>
      <c r="N39" s="38">
        <v>2060702</v>
      </c>
      <c r="O39" s="3"/>
      <c r="P39" s="3"/>
      <c r="Q39" s="3"/>
      <c r="R39" s="7" t="s">
        <v>52</v>
      </c>
      <c r="S39" s="20">
        <f>N41/1000</f>
        <v>667.36199999999997</v>
      </c>
      <c r="T39" s="13">
        <f>O41</f>
        <v>0.32385177478354465</v>
      </c>
    </row>
    <row r="40" spans="1:47">
      <c r="R40" s="7" t="s">
        <v>53</v>
      </c>
      <c r="S40" s="20">
        <f>N35/1000</f>
        <v>282.57499999999999</v>
      </c>
      <c r="T40" s="14">
        <f>O35</f>
        <v>0.13712560088746456</v>
      </c>
    </row>
    <row r="41" spans="1:47" ht="15">
      <c r="A41" s="21" t="s">
        <v>54</v>
      </c>
      <c r="B41" s="22">
        <f>B38+B37+B36</f>
        <v>295027</v>
      </c>
      <c r="C41" s="22">
        <f t="shared" ref="C41:N41" si="0">C38+C37+C36</f>
        <v>3436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26900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341999</v>
      </c>
      <c r="N41" s="22">
        <f t="shared" si="0"/>
        <v>667362</v>
      </c>
      <c r="O41" s="17">
        <f>N41/N$39</f>
        <v>0.32385177478354465</v>
      </c>
      <c r="P41" s="17" t="s">
        <v>55</v>
      </c>
      <c r="Q41" s="7"/>
      <c r="R41" s="7" t="s">
        <v>56</v>
      </c>
      <c r="S41" s="20">
        <f>N33/1000</f>
        <v>195.892</v>
      </c>
      <c r="T41" s="13">
        <f>O33</f>
        <v>9.5060809374669403E-2</v>
      </c>
    </row>
    <row r="42" spans="1:47" ht="15">
      <c r="A42" s="23" t="s">
        <v>57</v>
      </c>
      <c r="B42" s="22"/>
      <c r="C42" s="24">
        <f>C39+C23+C10</f>
        <v>755890</v>
      </c>
      <c r="D42" s="24">
        <f t="shared" ref="D42:L42" si="1">D39+D23+D10</f>
        <v>0</v>
      </c>
      <c r="E42" s="24">
        <f t="shared" si="1"/>
        <v>1489</v>
      </c>
      <c r="F42" s="24">
        <f t="shared" si="1"/>
        <v>117638</v>
      </c>
      <c r="G42" s="24">
        <f t="shared" si="1"/>
        <v>26906</v>
      </c>
      <c r="H42" s="24">
        <f t="shared" si="1"/>
        <v>8722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761277.96</v>
      </c>
      <c r="N42" s="25">
        <f>SUM(C42:M42)</f>
        <v>1671922.96</v>
      </c>
      <c r="O42" s="7"/>
      <c r="P42" s="7"/>
      <c r="Q42" s="7"/>
      <c r="R42" s="7" t="s">
        <v>37</v>
      </c>
      <c r="S42" s="20">
        <f>N31/1000</f>
        <v>1.222</v>
      </c>
      <c r="T42" s="13">
        <f>O31</f>
        <v>5.9300180229844004E-4</v>
      </c>
    </row>
    <row r="43" spans="1:47" ht="15">
      <c r="A43" s="23" t="s">
        <v>58</v>
      </c>
      <c r="B43" s="22"/>
      <c r="C43" s="17">
        <f t="shared" ref="C43:M43" si="2">C42/$N42</f>
        <v>0.45210815216031247</v>
      </c>
      <c r="D43" s="17">
        <f t="shared" si="2"/>
        <v>0</v>
      </c>
      <c r="E43" s="17">
        <f t="shared" si="2"/>
        <v>8.9059127461231828E-4</v>
      </c>
      <c r="F43" s="17">
        <f t="shared" si="2"/>
        <v>7.0360897490157087E-2</v>
      </c>
      <c r="G43" s="17">
        <f t="shared" si="2"/>
        <v>1.6092846766097405E-2</v>
      </c>
      <c r="H43" s="17">
        <f t="shared" si="2"/>
        <v>5.2167475467888788E-3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0.45533076476203183</v>
      </c>
      <c r="N43" s="17">
        <f>SUM(C43:M43)</f>
        <v>1</v>
      </c>
      <c r="O43" s="7"/>
      <c r="P43" s="7"/>
      <c r="Q43" s="7"/>
      <c r="R43" s="7" t="s">
        <v>59</v>
      </c>
      <c r="S43" s="20">
        <f>N32/1000</f>
        <v>112.833</v>
      </c>
      <c r="T43" s="14">
        <f>O32</f>
        <v>5.4754641864762588E-2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800.81899999999996</v>
      </c>
      <c r="T44" s="14">
        <f>O34</f>
        <v>0.38861465655878435</v>
      </c>
    </row>
    <row r="45" spans="1:47" ht="15">
      <c r="A45" s="6" t="s">
        <v>61</v>
      </c>
      <c r="B45" s="6">
        <f>B23-B39</f>
        <v>27098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56390.96</v>
      </c>
      <c r="N45" s="25">
        <f>B45+M45</f>
        <v>83488.959999999992</v>
      </c>
      <c r="O45" s="7"/>
      <c r="P45" s="7"/>
      <c r="Q45" s="7"/>
      <c r="R45" s="7" t="s">
        <v>62</v>
      </c>
      <c r="S45" s="20">
        <f>SUM(S39:S44)</f>
        <v>2060.703</v>
      </c>
      <c r="T45" s="13">
        <f>SUM(T39:T44)</f>
        <v>1.0000004852715239</v>
      </c>
    </row>
    <row r="46" spans="1:47" ht="15">
      <c r="A46" s="6" t="s">
        <v>88</v>
      </c>
      <c r="B46" s="83">
        <f>B45/(B23)</f>
        <v>5.0420324425705473E-2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40"/>
      <c r="B48" s="37"/>
      <c r="C48" s="40"/>
      <c r="D48" s="41"/>
      <c r="E48" s="40"/>
      <c r="F48" s="41"/>
      <c r="G48" s="40"/>
      <c r="H48" s="41"/>
      <c r="I48" s="40"/>
      <c r="J48" s="40"/>
      <c r="K48" s="40"/>
      <c r="L48" s="40"/>
      <c r="M48" s="40"/>
      <c r="N48" s="40"/>
      <c r="O48" s="40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40"/>
      <c r="B52" s="37"/>
      <c r="C52" s="40"/>
      <c r="D52" s="41"/>
      <c r="E52" s="40"/>
      <c r="F52" s="40"/>
      <c r="G52" s="40"/>
      <c r="H52" s="41"/>
      <c r="I52" s="40"/>
      <c r="J52" s="40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40"/>
      <c r="B55" s="37"/>
      <c r="C55" s="40"/>
      <c r="D55" s="41"/>
      <c r="E55" s="40"/>
      <c r="F55" s="41"/>
      <c r="G55" s="40"/>
      <c r="H55" s="41"/>
      <c r="I55" s="40"/>
      <c r="J55" s="4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1"/>
      <c r="E56" s="40"/>
      <c r="F56" s="41"/>
      <c r="G56" s="40"/>
      <c r="H56" s="41"/>
      <c r="I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 enableFormatConditionsCalculation="0"/>
  <dimension ref="A1:AU70"/>
  <sheetViews>
    <sheetView topLeftCell="A4" workbookViewId="0">
      <selection activeCell="F39" sqref="F39"/>
    </sheetView>
  </sheetViews>
  <sheetFormatPr baseColWidth="10" defaultColWidth="8.83203125" defaultRowHeight="14" x14ac:dyDescent="0"/>
  <cols>
    <col min="1" max="1" width="22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37" t="s">
        <v>69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6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4" t="s">
        <v>14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>
        <v>0</v>
      </c>
      <c r="O6" s="3"/>
      <c r="P6" s="3"/>
      <c r="Q6" s="3"/>
      <c r="R6" s="3"/>
      <c r="S6" s="3"/>
      <c r="T6" s="3"/>
    </row>
    <row r="7" spans="1:20" ht="15">
      <c r="A7" s="4" t="s">
        <v>15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>
        <v>0</v>
      </c>
      <c r="O7" s="3"/>
      <c r="P7" s="3"/>
      <c r="Q7" s="3"/>
      <c r="R7" s="3"/>
      <c r="S7" s="3"/>
      <c r="T7" s="3"/>
    </row>
    <row r="8" spans="1:20" ht="15">
      <c r="A8" s="4" t="s">
        <v>16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>
        <v>0</v>
      </c>
      <c r="O8" s="3"/>
      <c r="P8" s="3"/>
      <c r="Q8" s="3"/>
      <c r="R8" s="3"/>
      <c r="S8" s="3"/>
      <c r="T8" s="3"/>
    </row>
    <row r="9" spans="1:20" ht="15">
      <c r="A9" s="4" t="s">
        <v>17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>
        <v>0</v>
      </c>
      <c r="O9" s="3"/>
      <c r="P9" s="3"/>
      <c r="Q9" s="3"/>
      <c r="R9" s="3"/>
      <c r="S9" s="3"/>
      <c r="T9" s="3"/>
    </row>
    <row r="10" spans="1:20" ht="15">
      <c r="A10" s="4" t="s">
        <v>18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>
        <v>0</v>
      </c>
      <c r="O10" s="3"/>
      <c r="P10" s="3"/>
      <c r="Q10" s="3"/>
      <c r="R10" s="3"/>
      <c r="S10" s="3"/>
      <c r="T10" s="3"/>
    </row>
    <row r="11" spans="1:20" ht="1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3"/>
      <c r="P11" s="3"/>
      <c r="Q11" s="3"/>
      <c r="R11" s="3"/>
      <c r="S11" s="3"/>
      <c r="T11" s="3"/>
    </row>
    <row r="12" spans="1:20" ht="1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3"/>
      <c r="P12" s="3"/>
      <c r="Q12" s="3"/>
      <c r="R12" s="3"/>
      <c r="S12" s="3"/>
      <c r="T12" s="3"/>
    </row>
    <row r="13" spans="1:20" ht="18">
      <c r="A13" s="1" t="s">
        <v>19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10"/>
      <c r="O13" s="3"/>
      <c r="P13" s="3"/>
      <c r="Q13" s="3"/>
      <c r="R13" s="3"/>
      <c r="S13" s="3"/>
      <c r="T13" s="3"/>
    </row>
    <row r="14" spans="1:20" ht="15">
      <c r="A14" s="37" t="s">
        <v>69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  <c r="P14" s="3"/>
      <c r="Q14" s="3"/>
      <c r="R14" s="3"/>
      <c r="S14" s="3"/>
      <c r="T14" s="3"/>
    </row>
    <row r="15" spans="1:20" ht="15">
      <c r="B15" s="6" t="s">
        <v>20</v>
      </c>
      <c r="C15" s="6" t="s">
        <v>3</v>
      </c>
      <c r="D15" s="6" t="s">
        <v>4</v>
      </c>
      <c r="E15" s="6" t="s">
        <v>5</v>
      </c>
      <c r="F15" s="6" t="s">
        <v>21</v>
      </c>
      <c r="G15" s="6" t="s">
        <v>7</v>
      </c>
      <c r="H15" s="6" t="s">
        <v>8</v>
      </c>
      <c r="I15" s="6" t="s">
        <v>6</v>
      </c>
      <c r="J15" s="6" t="s">
        <v>9</v>
      </c>
      <c r="K15" s="6" t="s">
        <v>10</v>
      </c>
      <c r="L15" s="6" t="s">
        <v>11</v>
      </c>
      <c r="M15" s="6" t="s">
        <v>12</v>
      </c>
      <c r="N15" s="9" t="s">
        <v>13</v>
      </c>
      <c r="O15" s="3"/>
      <c r="P15" s="3"/>
      <c r="Q15" s="3"/>
      <c r="R15" s="3"/>
      <c r="S15" s="3"/>
      <c r="T15" s="3"/>
    </row>
    <row r="16" spans="1:20" ht="1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3"/>
      <c r="P16" s="3"/>
      <c r="Q16" s="3"/>
      <c r="R16" s="3"/>
      <c r="S16" s="3"/>
      <c r="T16" s="3"/>
    </row>
    <row r="17" spans="1:20" ht="15">
      <c r="A17" s="4" t="s">
        <v>22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>
        <v>0</v>
      </c>
      <c r="O17" s="3"/>
      <c r="P17" s="3"/>
      <c r="Q17" s="3"/>
      <c r="R17" s="3"/>
      <c r="S17" s="3"/>
      <c r="T17" s="3"/>
    </row>
    <row r="18" spans="1:20" ht="15">
      <c r="A18" s="4" t="s">
        <v>23</v>
      </c>
      <c r="B18" s="38">
        <v>214741</v>
      </c>
      <c r="C18" s="38">
        <v>12916</v>
      </c>
      <c r="D18" s="38">
        <v>0</v>
      </c>
      <c r="E18" s="38">
        <v>0</v>
      </c>
      <c r="F18" s="38">
        <v>2419</v>
      </c>
      <c r="G18" s="38">
        <v>213092</v>
      </c>
      <c r="H18" s="38">
        <v>0</v>
      </c>
      <c r="I18" s="38"/>
      <c r="J18" s="38"/>
      <c r="K18" s="38"/>
      <c r="L18" s="38"/>
      <c r="M18" s="38"/>
      <c r="N18" s="38">
        <v>228427</v>
      </c>
      <c r="O18" s="3"/>
      <c r="P18" s="3"/>
      <c r="Q18" s="3"/>
      <c r="R18" s="3"/>
      <c r="S18" s="3"/>
      <c r="T18" s="3"/>
    </row>
    <row r="19" spans="1:20" ht="15">
      <c r="A19" s="4" t="s">
        <v>24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55">
        <v>0</v>
      </c>
      <c r="N19" s="38">
        <v>0</v>
      </c>
      <c r="O19" s="3"/>
      <c r="P19" s="3"/>
      <c r="Q19" s="3"/>
      <c r="R19" s="3"/>
      <c r="S19" s="3"/>
      <c r="T19" s="3"/>
    </row>
    <row r="20" spans="1:20" ht="15">
      <c r="A20" s="4" t="s">
        <v>25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55">
        <v>0</v>
      </c>
      <c r="N20" s="38">
        <v>0</v>
      </c>
      <c r="O20" s="3"/>
      <c r="P20" s="3"/>
      <c r="Q20" s="3"/>
      <c r="R20" s="3"/>
      <c r="S20" s="3"/>
      <c r="T20" s="3"/>
    </row>
    <row r="21" spans="1:20" ht="15">
      <c r="A21" s="4" t="s">
        <v>26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38"/>
      <c r="N21" s="38">
        <v>0</v>
      </c>
      <c r="O21" s="3"/>
      <c r="P21" s="3"/>
      <c r="Q21" s="3"/>
      <c r="R21" s="3"/>
      <c r="S21" s="3"/>
      <c r="T21" s="3"/>
    </row>
    <row r="22" spans="1:20" ht="15">
      <c r="A22" s="4" t="s">
        <v>95</v>
      </c>
      <c r="B22" s="53">
        <v>265000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38"/>
      <c r="N22" s="38">
        <v>0</v>
      </c>
      <c r="O22" s="3"/>
      <c r="P22" s="3"/>
      <c r="Q22" s="3"/>
      <c r="R22" s="3"/>
      <c r="S22" s="3"/>
      <c r="T22" s="3"/>
    </row>
    <row r="23" spans="1:20" ht="15">
      <c r="A23" s="4" t="s">
        <v>18</v>
      </c>
      <c r="B23" s="54">
        <f>B22+B18</f>
        <v>479741</v>
      </c>
      <c r="C23" s="38">
        <v>12916</v>
      </c>
      <c r="D23" s="38">
        <v>0</v>
      </c>
      <c r="E23" s="38">
        <v>0</v>
      </c>
      <c r="F23" s="38">
        <v>2419</v>
      </c>
      <c r="G23" s="38">
        <v>213092</v>
      </c>
      <c r="H23" s="38">
        <v>0</v>
      </c>
      <c r="I23" s="38"/>
      <c r="J23" s="38"/>
      <c r="K23" s="38"/>
      <c r="L23" s="38"/>
      <c r="M23" s="38"/>
      <c r="N23" s="38">
        <v>228427</v>
      </c>
      <c r="O23" s="3"/>
      <c r="P23" s="3"/>
      <c r="Q23" s="3"/>
      <c r="R23" s="3" t="s">
        <v>28</v>
      </c>
      <c r="S23" s="11">
        <f>N42/1000</f>
        <v>1383.0936400000001</v>
      </c>
      <c r="T23" s="3"/>
    </row>
    <row r="24" spans="1:20" ht="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3"/>
      <c r="P24" s="3"/>
      <c r="Q24" s="3"/>
      <c r="R24" s="3"/>
      <c r="S24" s="3"/>
      <c r="T24" s="3"/>
    </row>
    <row r="25" spans="1:20" ht="15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3"/>
      <c r="P25" s="3"/>
      <c r="Q25" s="3"/>
      <c r="R25" s="3"/>
      <c r="S25" s="3" t="s">
        <v>29</v>
      </c>
      <c r="T25" s="3" t="s">
        <v>30</v>
      </c>
    </row>
    <row r="26" spans="1:20" ht="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"/>
      <c r="P26" s="3"/>
      <c r="Q26" s="3"/>
      <c r="R26" s="3" t="s">
        <v>12</v>
      </c>
      <c r="S26" s="12">
        <f>M42/1000</f>
        <v>575.32464000000004</v>
      </c>
      <c r="T26" s="13">
        <f>M43</f>
        <v>0.41596940609169453</v>
      </c>
    </row>
    <row r="27" spans="1:20" ht="18">
      <c r="A27" s="1" t="s">
        <v>31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3"/>
      <c r="P27" s="3"/>
      <c r="Q27" s="3"/>
      <c r="R27" s="3" t="s">
        <v>7</v>
      </c>
      <c r="S27" s="12">
        <f>G42/1000</f>
        <v>229.28100000000001</v>
      </c>
      <c r="T27" s="14">
        <f>G43</f>
        <v>0.16577402524965698</v>
      </c>
    </row>
    <row r="28" spans="1:20" ht="15">
      <c r="A28" s="37" t="s">
        <v>69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3"/>
      <c r="P28" s="3"/>
      <c r="Q28" s="3"/>
      <c r="R28" s="3" t="s">
        <v>9</v>
      </c>
      <c r="S28" s="12">
        <f>J42/1000</f>
        <v>0</v>
      </c>
      <c r="T28" s="13">
        <f>J43</f>
        <v>0</v>
      </c>
    </row>
    <row r="29" spans="1:20" ht="15">
      <c r="B29" s="6" t="s">
        <v>32</v>
      </c>
      <c r="C29" s="6" t="s">
        <v>3</v>
      </c>
      <c r="D29" s="6" t="s">
        <v>4</v>
      </c>
      <c r="E29" s="6" t="s">
        <v>5</v>
      </c>
      <c r="F29" s="6" t="s">
        <v>33</v>
      </c>
      <c r="G29" s="6" t="s">
        <v>7</v>
      </c>
      <c r="H29" s="6" t="s">
        <v>8</v>
      </c>
      <c r="I29" s="6" t="s">
        <v>6</v>
      </c>
      <c r="J29" s="6" t="s">
        <v>9</v>
      </c>
      <c r="K29" s="6" t="s">
        <v>10</v>
      </c>
      <c r="L29" s="6" t="s">
        <v>11</v>
      </c>
      <c r="M29" s="6" t="s">
        <v>12</v>
      </c>
      <c r="N29" s="6" t="s">
        <v>34</v>
      </c>
      <c r="O29" s="3"/>
      <c r="P29" s="3"/>
      <c r="Q29" s="3"/>
      <c r="R29" s="3" t="s">
        <v>33</v>
      </c>
      <c r="S29" s="12">
        <f>F42/1000</f>
        <v>52.414000000000001</v>
      </c>
      <c r="T29" s="13">
        <f>F43</f>
        <v>3.7896204916393075E-2</v>
      </c>
    </row>
    <row r="30" spans="1:20" ht="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3"/>
      <c r="P30" s="3"/>
      <c r="Q30" s="3"/>
      <c r="R30" s="3" t="s">
        <v>35</v>
      </c>
      <c r="S30" s="11">
        <f>E42/1000</f>
        <v>1.2E-2</v>
      </c>
      <c r="T30" s="13">
        <f>E43</f>
        <v>8.6762021405868072E-6</v>
      </c>
    </row>
    <row r="31" spans="1:20" ht="15">
      <c r="A31" s="5" t="s">
        <v>36</v>
      </c>
      <c r="B31" s="38">
        <v>0</v>
      </c>
      <c r="C31" s="38">
        <v>3295</v>
      </c>
      <c r="D31" s="38">
        <v>0</v>
      </c>
      <c r="E31" s="38">
        <v>0</v>
      </c>
      <c r="F31" s="38">
        <v>318</v>
      </c>
      <c r="G31" s="38">
        <v>0</v>
      </c>
      <c r="H31" s="38">
        <v>0</v>
      </c>
      <c r="I31" s="38"/>
      <c r="J31" s="38"/>
      <c r="K31" s="38"/>
      <c r="L31" s="38"/>
      <c r="M31" s="38">
        <v>4633</v>
      </c>
      <c r="N31" s="38">
        <v>8246</v>
      </c>
      <c r="O31" s="17">
        <f>N31/N$39</f>
        <v>5.2575571805568572E-3</v>
      </c>
      <c r="P31" s="18" t="s">
        <v>37</v>
      </c>
      <c r="Q31" s="3"/>
      <c r="R31" s="3" t="s">
        <v>38</v>
      </c>
      <c r="S31" s="12">
        <f>C42/1000</f>
        <v>526.06200000000001</v>
      </c>
      <c r="T31" s="14">
        <f>C43</f>
        <v>0.38035168754011472</v>
      </c>
    </row>
    <row r="32" spans="1:20" ht="15">
      <c r="A32" s="5" t="s">
        <v>39</v>
      </c>
      <c r="B32" s="38">
        <v>41905</v>
      </c>
      <c r="C32" s="67">
        <f>N32-M32-B32-E32-F32</f>
        <v>8396</v>
      </c>
      <c r="D32" s="38">
        <v>0</v>
      </c>
      <c r="E32" s="67">
        <v>12</v>
      </c>
      <c r="F32" s="38">
        <v>156</v>
      </c>
      <c r="G32" s="38">
        <v>0</v>
      </c>
      <c r="H32" s="38">
        <v>0</v>
      </c>
      <c r="I32" s="38"/>
      <c r="J32" s="38"/>
      <c r="K32" s="38"/>
      <c r="L32" s="38"/>
      <c r="M32" s="38">
        <v>51722</v>
      </c>
      <c r="N32" s="38">
        <v>102191</v>
      </c>
      <c r="O32" s="17">
        <f>N32/N$39</f>
        <v>6.5155836264647812E-2</v>
      </c>
      <c r="P32" s="18" t="s">
        <v>40</v>
      </c>
      <c r="Q32" s="3"/>
      <c r="R32" s="3" t="s">
        <v>41</v>
      </c>
      <c r="S32" s="12">
        <f>I42/1000</f>
        <v>0</v>
      </c>
      <c r="T32" s="13">
        <f>I43</f>
        <v>0</v>
      </c>
    </row>
    <row r="33" spans="1:47" ht="15">
      <c r="A33" s="5" t="s">
        <v>42</v>
      </c>
      <c r="B33" s="38">
        <v>55087</v>
      </c>
      <c r="C33" s="38">
        <v>10787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8">
        <v>103652</v>
      </c>
      <c r="N33" s="38">
        <v>169526</v>
      </c>
      <c r="O33" s="17">
        <f>N33/N$39</f>
        <v>0.10808787758805261</v>
      </c>
      <c r="P33" s="18" t="s">
        <v>43</v>
      </c>
      <c r="Q33" s="3"/>
      <c r="R33" s="3" t="s">
        <v>8</v>
      </c>
      <c r="S33" s="12">
        <f>H42/1000</f>
        <v>0</v>
      </c>
      <c r="T33" s="13">
        <f>H43</f>
        <v>0</v>
      </c>
    </row>
    <row r="34" spans="1:47" ht="15">
      <c r="A34" s="5" t="s">
        <v>44</v>
      </c>
      <c r="B34" s="38">
        <v>0</v>
      </c>
      <c r="C34" s="38">
        <v>474064</v>
      </c>
      <c r="D34" s="38">
        <v>0</v>
      </c>
      <c r="E34" s="38">
        <v>0</v>
      </c>
      <c r="F34" s="38">
        <v>49521</v>
      </c>
      <c r="G34" s="38">
        <v>0</v>
      </c>
      <c r="H34" s="38">
        <v>0</v>
      </c>
      <c r="I34" s="38"/>
      <c r="J34" s="38"/>
      <c r="K34" s="38"/>
      <c r="L34" s="38"/>
      <c r="M34" s="38">
        <v>3979</v>
      </c>
      <c r="N34" s="38">
        <v>527564</v>
      </c>
      <c r="O34" s="17">
        <f>N34/N$39</f>
        <v>0.33636889357304123</v>
      </c>
      <c r="P34" s="18" t="s">
        <v>45</v>
      </c>
      <c r="Q34" s="3"/>
      <c r="R34" s="3"/>
      <c r="S34" s="12">
        <f>SUM(S26:S33)</f>
        <v>1383.0936400000001</v>
      </c>
      <c r="T34" s="13">
        <f>SUM(T26:T33)</f>
        <v>1</v>
      </c>
    </row>
    <row r="35" spans="1:47" ht="15">
      <c r="A35" s="5" t="s">
        <v>46</v>
      </c>
      <c r="B35" s="38">
        <v>35239</v>
      </c>
      <c r="C35" s="38">
        <v>15436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>
        <v>125026</v>
      </c>
      <c r="N35" s="38">
        <v>175701</v>
      </c>
      <c r="O35" s="17">
        <f>N35/N$39</f>
        <v>0.11202498837994426</v>
      </c>
      <c r="P35" s="18" t="s">
        <v>47</v>
      </c>
      <c r="Q35" s="18"/>
    </row>
    <row r="36" spans="1:47" ht="15">
      <c r="A36" s="5" t="s">
        <v>48</v>
      </c>
      <c r="B36" s="38">
        <v>82327</v>
      </c>
      <c r="C36" s="38">
        <v>1058</v>
      </c>
      <c r="D36" s="38">
        <v>0</v>
      </c>
      <c r="E36" s="38">
        <v>0</v>
      </c>
      <c r="F36" s="38">
        <v>0</v>
      </c>
      <c r="G36" s="38">
        <v>16189</v>
      </c>
      <c r="H36" s="38">
        <v>0</v>
      </c>
      <c r="I36" s="38"/>
      <c r="J36" s="38"/>
      <c r="K36" s="38"/>
      <c r="L36" s="38"/>
      <c r="M36" s="38">
        <v>143263</v>
      </c>
      <c r="N36" s="38">
        <v>242836</v>
      </c>
      <c r="O36" s="18"/>
      <c r="P36" s="18"/>
      <c r="Q36" s="3"/>
      <c r="R36" s="7"/>
      <c r="S36" s="7"/>
      <c r="T36" s="7"/>
    </row>
    <row r="37" spans="1:47" ht="15">
      <c r="A37" s="5" t="s">
        <v>49</v>
      </c>
      <c r="B37" s="38">
        <v>241800</v>
      </c>
      <c r="C37" s="38">
        <v>110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>
        <v>89227</v>
      </c>
      <c r="N37" s="38">
        <v>331137</v>
      </c>
      <c r="O37" s="18"/>
      <c r="P37" s="18"/>
      <c r="Q37" s="3"/>
      <c r="R37" s="7"/>
      <c r="S37" s="7" t="s">
        <v>29</v>
      </c>
      <c r="T37" s="7" t="s">
        <v>30</v>
      </c>
    </row>
    <row r="38" spans="1:47" ht="15">
      <c r="A38" s="5" t="s">
        <v>50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>
        <v>11206</v>
      </c>
      <c r="N38" s="38">
        <v>11206</v>
      </c>
      <c r="O38" s="18">
        <f>SUM(O31:O35)</f>
        <v>0.62689515298624277</v>
      </c>
      <c r="P38" s="18"/>
      <c r="Q38" s="3"/>
      <c r="R38" s="7" t="s">
        <v>51</v>
      </c>
      <c r="S38" s="19">
        <f>N45/1000</f>
        <v>65.999639999999999</v>
      </c>
      <c r="T38" s="7"/>
    </row>
    <row r="39" spans="1:47" ht="15">
      <c r="A39" s="5" t="s">
        <v>18</v>
      </c>
      <c r="B39" s="38">
        <v>456358</v>
      </c>
      <c r="C39" s="67">
        <f>SUM(C31:C38)</f>
        <v>513146</v>
      </c>
      <c r="D39" s="38">
        <v>0</v>
      </c>
      <c r="E39" s="67">
        <v>12</v>
      </c>
      <c r="F39" s="38">
        <f>F34+F32+F31</f>
        <v>49995</v>
      </c>
      <c r="G39" s="38">
        <v>16189</v>
      </c>
      <c r="H39" s="38">
        <v>0</v>
      </c>
      <c r="I39" s="38"/>
      <c r="J39" s="38"/>
      <c r="K39" s="38"/>
      <c r="L39" s="38"/>
      <c r="M39" s="38">
        <v>532708</v>
      </c>
      <c r="N39" s="38">
        <v>1568409</v>
      </c>
      <c r="O39" s="3"/>
      <c r="P39" s="3"/>
      <c r="Q39" s="3"/>
      <c r="R39" s="7" t="s">
        <v>52</v>
      </c>
      <c r="S39" s="20">
        <f>N41/1000</f>
        <v>585.17899999999997</v>
      </c>
      <c r="T39" s="13">
        <f>O41</f>
        <v>0.37310357183617282</v>
      </c>
    </row>
    <row r="40" spans="1:47">
      <c r="R40" s="7" t="s">
        <v>53</v>
      </c>
      <c r="S40" s="20">
        <f>N35/1000</f>
        <v>175.70099999999999</v>
      </c>
      <c r="T40" s="14">
        <f>O35</f>
        <v>0.11202498837994426</v>
      </c>
    </row>
    <row r="41" spans="1:47" ht="15">
      <c r="A41" s="21" t="s">
        <v>54</v>
      </c>
      <c r="B41" s="22">
        <f>B38+B37+B36</f>
        <v>324127</v>
      </c>
      <c r="C41" s="22">
        <f t="shared" ref="C41:N41" si="0">C38+C37+C36</f>
        <v>1168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16189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243696</v>
      </c>
      <c r="N41" s="22">
        <f t="shared" si="0"/>
        <v>585179</v>
      </c>
      <c r="O41" s="17">
        <f>N41/N$39</f>
        <v>0.37310357183617282</v>
      </c>
      <c r="P41" s="17" t="s">
        <v>55</v>
      </c>
      <c r="Q41" s="7"/>
      <c r="R41" s="7" t="s">
        <v>56</v>
      </c>
      <c r="S41" s="20">
        <f>N33/1000</f>
        <v>169.52600000000001</v>
      </c>
      <c r="T41" s="13">
        <f>O33</f>
        <v>0.10808787758805261</v>
      </c>
    </row>
    <row r="42" spans="1:47" ht="15">
      <c r="A42" s="23" t="s">
        <v>57</v>
      </c>
      <c r="B42" s="22"/>
      <c r="C42" s="24">
        <f>C39+C23+C10</f>
        <v>526062</v>
      </c>
      <c r="D42" s="24">
        <f t="shared" ref="D42:L42" si="1">D39+D23+D10</f>
        <v>0</v>
      </c>
      <c r="E42" s="24">
        <f t="shared" si="1"/>
        <v>12</v>
      </c>
      <c r="F42" s="24">
        <f t="shared" si="1"/>
        <v>52414</v>
      </c>
      <c r="G42" s="24">
        <f t="shared" si="1"/>
        <v>229281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575324.64</v>
      </c>
      <c r="N42" s="25">
        <f>SUM(C42:M42)</f>
        <v>1383093.6400000001</v>
      </c>
      <c r="O42" s="7"/>
      <c r="P42" s="7"/>
      <c r="Q42" s="7"/>
      <c r="R42" s="7" t="s">
        <v>37</v>
      </c>
      <c r="S42" s="20">
        <f>N31/1000</f>
        <v>8.2460000000000004</v>
      </c>
      <c r="T42" s="13">
        <f>O31</f>
        <v>5.2575571805568572E-3</v>
      </c>
    </row>
    <row r="43" spans="1:47" ht="15">
      <c r="A43" s="23" t="s">
        <v>58</v>
      </c>
      <c r="B43" s="22"/>
      <c r="C43" s="17">
        <f t="shared" ref="C43:M43" si="2">C42/$N42</f>
        <v>0.38035168754011472</v>
      </c>
      <c r="D43" s="17">
        <f t="shared" si="2"/>
        <v>0</v>
      </c>
      <c r="E43" s="17">
        <f t="shared" si="2"/>
        <v>8.6762021405868072E-6</v>
      </c>
      <c r="F43" s="17">
        <f t="shared" si="2"/>
        <v>3.7896204916393075E-2</v>
      </c>
      <c r="G43" s="17">
        <f t="shared" si="2"/>
        <v>0.16577402524965698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0.41596940609169453</v>
      </c>
      <c r="N43" s="17">
        <f>SUM(C43:M43)</f>
        <v>0.99999999999999989</v>
      </c>
      <c r="O43" s="7"/>
      <c r="P43" s="7"/>
      <c r="Q43" s="7"/>
      <c r="R43" s="7" t="s">
        <v>59</v>
      </c>
      <c r="S43" s="20">
        <f>N32/1000</f>
        <v>102.191</v>
      </c>
      <c r="T43" s="14">
        <f>O32</f>
        <v>6.5155836264647812E-2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60</v>
      </c>
      <c r="S44" s="20">
        <f>N34/1000</f>
        <v>527.56399999999996</v>
      </c>
      <c r="T44" s="14">
        <f>O34</f>
        <v>0.33636889357304123</v>
      </c>
    </row>
    <row r="45" spans="1:47" ht="15">
      <c r="A45" s="6" t="s">
        <v>61</v>
      </c>
      <c r="B45" s="6">
        <f>B23-B39</f>
        <v>23383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42616.639999999999</v>
      </c>
      <c r="N45" s="25">
        <f>B45+M45</f>
        <v>65999.64</v>
      </c>
      <c r="O45" s="7"/>
      <c r="P45" s="7"/>
      <c r="Q45" s="7"/>
      <c r="R45" s="7" t="s">
        <v>62</v>
      </c>
      <c r="S45" s="20">
        <f>SUM(S39:S44)</f>
        <v>1568.4069999999997</v>
      </c>
      <c r="T45" s="13">
        <f>SUM(T39:T44)</f>
        <v>0.99999872482241559</v>
      </c>
    </row>
    <row r="46" spans="1:47" ht="15">
      <c r="A46" s="6" t="s">
        <v>88</v>
      </c>
      <c r="B46" s="83">
        <f>B45/(B23)</f>
        <v>4.8740883101506857E-2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37"/>
      <c r="R47" s="37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37"/>
      <c r="AH47" s="37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</row>
    <row r="48" spans="1:47">
      <c r="A48" s="40"/>
      <c r="B48" s="37"/>
      <c r="C48" s="40"/>
      <c r="D48" s="41"/>
      <c r="E48" s="40"/>
      <c r="F48" s="41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37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37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1:47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7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7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</row>
    <row r="50" spans="1:47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7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37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</row>
    <row r="51" spans="1:47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37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37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</row>
    <row r="52" spans="1:47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37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37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</row>
    <row r="53" spans="1:47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7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37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</row>
    <row r="54" spans="1:47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37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37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</row>
    <row r="55" spans="1:47">
      <c r="A55" s="40"/>
      <c r="B55" s="37"/>
      <c r="C55" s="40"/>
      <c r="D55" s="41"/>
      <c r="E55" s="40"/>
      <c r="F55" s="41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37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37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</row>
    <row r="56" spans="1:47">
      <c r="A56" s="40"/>
      <c r="B56" s="37"/>
      <c r="C56" s="40"/>
      <c r="D56" s="41"/>
      <c r="E56" s="40"/>
      <c r="F56" s="41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37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37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</row>
    <row r="57" spans="1:47" ht="15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29"/>
      <c r="N57" s="7"/>
      <c r="O57" s="6"/>
      <c r="P57" s="13"/>
      <c r="Q57" s="7"/>
      <c r="R57" s="7"/>
      <c r="S57" s="6"/>
      <c r="T57" s="30"/>
    </row>
    <row r="58" spans="1:47" ht="15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3"/>
      <c r="Q58" s="7"/>
      <c r="R58" s="7"/>
      <c r="S58" s="6"/>
      <c r="T58" s="30"/>
    </row>
    <row r="59" spans="1:47" ht="15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3"/>
      <c r="Q59" s="7"/>
      <c r="R59" s="7"/>
      <c r="S59" s="6"/>
      <c r="T59" s="30"/>
    </row>
    <row r="60" spans="1:47" ht="15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3"/>
      <c r="Q60" s="7"/>
      <c r="R60" s="7"/>
      <c r="S60" s="6"/>
      <c r="T60" s="30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7"/>
      <c r="O61" s="6"/>
      <c r="P61" s="13"/>
      <c r="Q61" s="7"/>
      <c r="R61" s="7"/>
      <c r="S61" s="31"/>
      <c r="T61" s="32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5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1CA0758BFDE94287CDD3892FBF9AD3" ma:contentTypeVersion="7" ma:contentTypeDescription="Skapa ett nytt dokument." ma:contentTypeScope="" ma:versionID="3af2f70e7cadacfcfbaf8110f1e0dbd5">
  <xsd:schema xmlns:xsd="http://www.w3.org/2001/XMLSchema" xmlns:xs="http://www.w3.org/2001/XMLSchema" xmlns:p="http://schemas.microsoft.com/office/2006/metadata/properties" xmlns:ns1="http://schemas.microsoft.com/sharepoint/v3" xmlns:ns2="b5e531fa-67de-4c6f-b0e9-c95f80bf210e" targetNamespace="http://schemas.microsoft.com/office/2006/metadata/properties" ma:root="true" ma:fieldsID="8fbce4f5a28b1d262c1997bf7de51a85" ns1:_="" ns2:_="">
    <xsd:import namespace="http://schemas.microsoft.com/sharepoint/v3"/>
    <xsd:import namespace="b5e531fa-67de-4c6f-b0e9-c95f80bf210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_x00f6_rfattare" minOccurs="0"/>
                <xsd:element ref="ns2:Serienummer" minOccurs="0"/>
                <xsd:element ref="ns2:L_x00f6_pnummer" minOccurs="0"/>
                <xsd:element ref="ns2:Verksamhet" minOccurs="0"/>
                <xsd:element ref="ns2:_x00c5_rtal" minOccurs="0"/>
                <xsd:element ref="ns2:Beskrivn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e531fa-67de-4c6f-b0e9-c95f80bf210e" elementFormDefault="qualified">
    <xsd:import namespace="http://schemas.microsoft.com/office/2006/documentManagement/types"/>
    <xsd:import namespace="http://schemas.microsoft.com/office/infopath/2007/PartnerControls"/>
    <xsd:element name="F_x00f6_rfattare" ma:index="10" nillable="true" ma:displayName="Författare" ma:internalName="F_x00f6_rfattare">
      <xsd:simpleType>
        <xsd:restriction base="dms:Text"/>
      </xsd:simpleType>
    </xsd:element>
    <xsd:element name="Serienummer" ma:index="11" nillable="true" ma:displayName="Serienummer" ma:internalName="Serienummer">
      <xsd:simpleType>
        <xsd:restriction base="dms:Text"/>
      </xsd:simpleType>
    </xsd:element>
    <xsd:element name="L_x00f6_pnummer" ma:index="12" nillable="true" ma:displayName="Löpnummer" ma:internalName="L_x00f6_pnummer">
      <xsd:simpleType>
        <xsd:restriction base="dms:Text"/>
      </xsd:simpleType>
    </xsd:element>
    <xsd:element name="Verksamhet" ma:index="13" nillable="true" ma:displayName="Verksamhet" ma:internalName="Verksamhet">
      <xsd:simpleType>
        <xsd:restriction base="dms:Text"/>
      </xsd:simpleType>
    </xsd:element>
    <xsd:element name="_x00c5_rtal" ma:index="14" nillable="true" ma:displayName="Årtal" ma:internalName="_x00c5_rtal">
      <xsd:simpleType>
        <xsd:restriction base="dms:Text"/>
      </xsd:simpleType>
    </xsd:element>
    <xsd:element name="Beskrivning" ma:index="15" nillable="true" ma:displayName="Beskrivning" ma:internalName="Beskrivn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_x00f6_rfattare xmlns="b5e531fa-67de-4c6f-b0e9-c95f80bf210e" xsi:nil="true"/>
    <Beskrivning xmlns="b5e531fa-67de-4c6f-b0e9-c95f80bf210e" xsi:nil="true"/>
    <PublishingExpirationDate xmlns="http://schemas.microsoft.com/sharepoint/v3" xsi:nil="true"/>
    <PublishingStartDate xmlns="http://schemas.microsoft.com/sharepoint/v3" xsi:nil="true"/>
    <Serienummer xmlns="b5e531fa-67de-4c6f-b0e9-c95f80bf210e" xsi:nil="true"/>
    <L_x00f6_pnummer xmlns="b5e531fa-67de-4c6f-b0e9-c95f80bf210e" xsi:nil="true"/>
    <Verksamhet xmlns="b5e531fa-67de-4c6f-b0e9-c95f80bf210e" xsi:nil="true"/>
    <_x00c5_rtal xmlns="b5e531fa-67de-4c6f-b0e9-c95f80bf210e" xsi:nil="true"/>
  </documentManagement>
</p:properties>
</file>

<file path=customXml/itemProps1.xml><?xml version="1.0" encoding="utf-8"?>
<ds:datastoreItem xmlns:ds="http://schemas.openxmlformats.org/officeDocument/2006/customXml" ds:itemID="{E0580960-BB7B-4304-A7B7-731403322A96}"/>
</file>

<file path=customXml/itemProps2.xml><?xml version="1.0" encoding="utf-8"?>
<ds:datastoreItem xmlns:ds="http://schemas.openxmlformats.org/officeDocument/2006/customXml" ds:itemID="{AD7B2BEA-CC33-487D-8174-AFC870A6318B}"/>
</file>

<file path=customXml/itemProps3.xml><?xml version="1.0" encoding="utf-8"?>
<ds:datastoreItem xmlns:ds="http://schemas.openxmlformats.org/officeDocument/2006/customXml" ds:itemID="{11CF3906-A6FB-44F1-99BC-3180FA588B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Stockholms län</vt:lpstr>
      <vt:lpstr>Vallentuna</vt:lpstr>
      <vt:lpstr>Upplands Väsby</vt:lpstr>
      <vt:lpstr>Österåker</vt:lpstr>
      <vt:lpstr>Värmdö</vt:lpstr>
      <vt:lpstr>Järfälla</vt:lpstr>
      <vt:lpstr>Ekerö</vt:lpstr>
      <vt:lpstr>Huddinge</vt:lpstr>
      <vt:lpstr>Botkyrka</vt:lpstr>
      <vt:lpstr>Salem</vt:lpstr>
      <vt:lpstr>Haninge</vt:lpstr>
      <vt:lpstr>Tyresö</vt:lpstr>
      <vt:lpstr>Upplands-Bro</vt:lpstr>
      <vt:lpstr>Nykvarn</vt:lpstr>
      <vt:lpstr>Täby</vt:lpstr>
      <vt:lpstr>Danderyd</vt:lpstr>
      <vt:lpstr>Sollentuna</vt:lpstr>
      <vt:lpstr>Stockholm</vt:lpstr>
      <vt:lpstr>Södertälje</vt:lpstr>
      <vt:lpstr>Nacka</vt:lpstr>
      <vt:lpstr>Sundbyberg</vt:lpstr>
      <vt:lpstr>Solna</vt:lpstr>
      <vt:lpstr>Lidingö</vt:lpstr>
      <vt:lpstr>Vaxholm</vt:lpstr>
      <vt:lpstr>Norrtälje</vt:lpstr>
      <vt:lpstr>Sigtuna</vt:lpstr>
      <vt:lpstr>Nynäshamn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Kaj</dc:creator>
  <cp:lastModifiedBy>Kaj</cp:lastModifiedBy>
  <dcterms:created xsi:type="dcterms:W3CDTF">2016-02-15T22:09:51Z</dcterms:created>
  <dcterms:modified xsi:type="dcterms:W3CDTF">2016-03-30T01:04:00Z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0x010100FC1CA0758BFDE94287CDD3892FBF9AD3</vt:lpwstr>
  </property>
</Properties>
</file>