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7.xml" ContentType="application/vnd.openxmlformats-officedocument.spreadsheetml.worksheet+xml"/>
  <Override PartName="/xl/worksheets/sheet17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comments27.xml" ContentType="application/vnd.openxmlformats-officedocument.spreadsheetml.comments+xml"/>
  <Override PartName="/xl/calcChain.xml" ContentType="application/vnd.openxmlformats-officedocument.spreadsheetml.calcChain+xml"/>
  <Override PartName="/xl/comments26.xml" ContentType="application/vnd.openxmlformats-officedocument.spreadsheetml.comment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xl/comments24.xml" ContentType="application/vnd.openxmlformats-officedocument.spreadsheetml.comments+xml"/>
  <Override PartName="/xl/comments15.xml" ContentType="application/vnd.openxmlformats-officedocument.spreadsheetml.comments+xml"/>
  <Override PartName="/xl/comments6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4.xml" ContentType="application/vnd.openxmlformats-officedocument.spreadsheetml.comments+xml"/>
  <Override PartName="/xl/comments7.xml" ContentType="application/vnd.openxmlformats-officedocument.spreadsheetml.comments+xml"/>
  <Override PartName="/xl/comments13.xml" ContentType="application/vnd.openxmlformats-officedocument.spreadsheetml.comments+xml"/>
  <Override PartName="/xl/comments10.xml" ContentType="application/vnd.openxmlformats-officedocument.spreadsheetml.comments+xml"/>
  <Override PartName="/xl/comments8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8.xml" ContentType="application/vnd.openxmlformats-officedocument.spreadsheetml.comments+xml"/>
  <Override PartName="/xl/comments5.xml" ContentType="application/vnd.openxmlformats-officedocument.spreadsheetml.comments+xml"/>
  <Override PartName="/xl/comments3.xml" ContentType="application/vnd.openxmlformats-officedocument.spreadsheetml.comments+xml"/>
  <Override PartName="/xl/comments23.xml" ContentType="application/vnd.openxmlformats-officedocument.spreadsheetml.comments+xml"/>
  <Override PartName="/xl/comments9.xml" ContentType="application/vnd.openxmlformats-officedocument.spreadsheetml.comments+xml"/>
  <Override PartName="/xl/comments25.xml" ContentType="application/vnd.openxmlformats-officedocument.spreadsheetml.comments+xml"/>
  <Override PartName="/xl/comments22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4.xml" ContentType="application/vnd.openxmlformats-officedocument.spreadsheetml.comments+xml"/>
  <Override PartName="/xl/comments21.xml" ContentType="application/vnd.openxmlformats-officedocument.spreadsheetml.comments+xml"/>
  <Override PartName="/xl/comments2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1600" yWindow="460" windowWidth="24600" windowHeight="16280" tabRatio="919" firstSheet="8" activeTab="21"/>
  </bookViews>
  <sheets>
    <sheet name="Stockholms län" sheetId="28" r:id="rId1"/>
    <sheet name="Upplands Väsby" sheetId="2" r:id="rId2"/>
    <sheet name="Vallentuna" sheetId="3" r:id="rId3"/>
    <sheet name="Österåker" sheetId="4" r:id="rId4"/>
    <sheet name="Värmdö" sheetId="5" r:id="rId5"/>
    <sheet name="Järfälla" sheetId="6" r:id="rId6"/>
    <sheet name="Ekerö" sheetId="7" r:id="rId7"/>
    <sheet name="Huddinge" sheetId="8" r:id="rId8"/>
    <sheet name="Botkyrka" sheetId="9" r:id="rId9"/>
    <sheet name="Salem" sheetId="10" r:id="rId10"/>
    <sheet name="Haninge" sheetId="11" r:id="rId11"/>
    <sheet name="Tyresö" sheetId="12" r:id="rId12"/>
    <sheet name="Upplands-Bro" sheetId="13" r:id="rId13"/>
    <sheet name="Nykvarn" sheetId="14" r:id="rId14"/>
    <sheet name="Täby" sheetId="15" r:id="rId15"/>
    <sheet name="Danderyd" sheetId="16" r:id="rId16"/>
    <sheet name="Sollentuna" sheetId="17" r:id="rId17"/>
    <sheet name="Stockholm" sheetId="18" r:id="rId18"/>
    <sheet name="Södertälje" sheetId="19" r:id="rId19"/>
    <sheet name="Nacka" sheetId="20" r:id="rId20"/>
    <sheet name="Sundbyberg" sheetId="21" r:id="rId21"/>
    <sheet name="Solna" sheetId="22" r:id="rId22"/>
    <sheet name="Lidingö" sheetId="23" r:id="rId23"/>
    <sheet name="Vaxholm" sheetId="24" r:id="rId24"/>
    <sheet name="Norrtälje" sheetId="25" r:id="rId25"/>
    <sheet name="Sigtuna" sheetId="26" r:id="rId26"/>
    <sheet name="Nynäshamn" sheetId="27" r:id="rId27"/>
  </sheets>
  <calcPr calcId="150001" concurrentCalc="0"/>
  <fileRecoveryPr autoRecover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39" i="22" l="1"/>
  <c r="O32" i="22"/>
  <c r="E39" i="22"/>
  <c r="O39" i="21"/>
  <c r="E39" i="21"/>
  <c r="O39" i="18"/>
  <c r="E39" i="18"/>
  <c r="E31" i="28"/>
  <c r="E32" i="28"/>
  <c r="E33" i="28"/>
  <c r="E35" i="28"/>
  <c r="E36" i="28"/>
  <c r="E37" i="28"/>
  <c r="E38" i="28"/>
  <c r="E39" i="28"/>
  <c r="E17" i="28"/>
  <c r="E18" i="28"/>
  <c r="E23" i="28"/>
  <c r="E6" i="28"/>
  <c r="E7" i="28"/>
  <c r="E10" i="28"/>
  <c r="E42" i="28"/>
  <c r="C31" i="28"/>
  <c r="C36" i="7"/>
  <c r="C37" i="7"/>
  <c r="C32" i="7"/>
  <c r="C39" i="15"/>
  <c r="C32" i="15"/>
  <c r="C39" i="17"/>
  <c r="C32" i="17"/>
  <c r="C36" i="19"/>
  <c r="C32" i="19"/>
  <c r="C32" i="28"/>
  <c r="C33" i="28"/>
  <c r="C34" i="3"/>
  <c r="C34" i="28"/>
  <c r="C35" i="16"/>
  <c r="C35" i="28"/>
  <c r="C36" i="28"/>
  <c r="C37" i="28"/>
  <c r="C38" i="28"/>
  <c r="C39" i="28"/>
  <c r="C17" i="28"/>
  <c r="C18" i="22"/>
  <c r="C18" i="28"/>
  <c r="C23" i="28"/>
  <c r="C6" i="28"/>
  <c r="C7" i="28"/>
  <c r="C10" i="28"/>
  <c r="C42" i="28"/>
  <c r="D31" i="28"/>
  <c r="D32" i="28"/>
  <c r="D33" i="28"/>
  <c r="D34" i="28"/>
  <c r="D35" i="28"/>
  <c r="D36" i="28"/>
  <c r="D37" i="28"/>
  <c r="D38" i="28"/>
  <c r="D39" i="28"/>
  <c r="D17" i="28"/>
  <c r="D18" i="28"/>
  <c r="D23" i="28"/>
  <c r="D6" i="28"/>
  <c r="D7" i="28"/>
  <c r="D10" i="28"/>
  <c r="D42" i="28"/>
  <c r="F31" i="28"/>
  <c r="F32" i="7"/>
  <c r="F32" i="28"/>
  <c r="F33" i="28"/>
  <c r="F34" i="28"/>
  <c r="F35" i="28"/>
  <c r="F36" i="28"/>
  <c r="F37" i="28"/>
  <c r="F38" i="28"/>
  <c r="F39" i="28"/>
  <c r="F17" i="28"/>
  <c r="F18" i="28"/>
  <c r="F23" i="28"/>
  <c r="F6" i="28"/>
  <c r="F7" i="28"/>
  <c r="F10" i="28"/>
  <c r="F42" i="28"/>
  <c r="G31" i="28"/>
  <c r="G32" i="19"/>
  <c r="G32" i="28"/>
  <c r="G33" i="28"/>
  <c r="G34" i="28"/>
  <c r="G35" i="28"/>
  <c r="G36" i="28"/>
  <c r="G37" i="28"/>
  <c r="G38" i="28"/>
  <c r="G39" i="28"/>
  <c r="G17" i="11"/>
  <c r="G17" i="28"/>
  <c r="G18" i="5"/>
  <c r="G18" i="15"/>
  <c r="G18" i="22"/>
  <c r="G18" i="28"/>
  <c r="G23" i="28"/>
  <c r="G6" i="28"/>
  <c r="G7" i="28"/>
  <c r="G10" i="28"/>
  <c r="G42" i="28"/>
  <c r="H31" i="28"/>
  <c r="H32" i="28"/>
  <c r="H33" i="28"/>
  <c r="H35" i="28"/>
  <c r="H36" i="28"/>
  <c r="H37" i="28"/>
  <c r="H38" i="28"/>
  <c r="H39" i="28"/>
  <c r="H17" i="28"/>
  <c r="H18" i="28"/>
  <c r="H23" i="28"/>
  <c r="H6" i="28"/>
  <c r="H7" i="28"/>
  <c r="H10" i="28"/>
  <c r="H42" i="28"/>
  <c r="I31" i="28"/>
  <c r="I32" i="28"/>
  <c r="I33" i="28"/>
  <c r="I34" i="28"/>
  <c r="I35" i="28"/>
  <c r="I36" i="28"/>
  <c r="I37" i="28"/>
  <c r="I38" i="28"/>
  <c r="I39" i="28"/>
  <c r="I17" i="28"/>
  <c r="I18" i="28"/>
  <c r="I23" i="28"/>
  <c r="I6" i="28"/>
  <c r="I7" i="28"/>
  <c r="I10" i="28"/>
  <c r="I42" i="28"/>
  <c r="J31" i="28"/>
  <c r="J32" i="28"/>
  <c r="J33" i="28"/>
  <c r="J34" i="28"/>
  <c r="J35" i="28"/>
  <c r="J36" i="28"/>
  <c r="J37" i="28"/>
  <c r="J38" i="28"/>
  <c r="J39" i="28"/>
  <c r="J17" i="28"/>
  <c r="J18" i="28"/>
  <c r="J23" i="28"/>
  <c r="J6" i="28"/>
  <c r="J7" i="28"/>
  <c r="J10" i="28"/>
  <c r="J42" i="28"/>
  <c r="K31" i="28"/>
  <c r="K32" i="28"/>
  <c r="K33" i="28"/>
  <c r="K34" i="28"/>
  <c r="K35" i="28"/>
  <c r="K36" i="28"/>
  <c r="K37" i="28"/>
  <c r="K38" i="28"/>
  <c r="K39" i="28"/>
  <c r="K17" i="28"/>
  <c r="K18" i="28"/>
  <c r="K23" i="28"/>
  <c r="K6" i="28"/>
  <c r="K7" i="28"/>
  <c r="K10" i="28"/>
  <c r="K42" i="28"/>
  <c r="L31" i="28"/>
  <c r="L32" i="28"/>
  <c r="L33" i="28"/>
  <c r="L34" i="28"/>
  <c r="L35" i="28"/>
  <c r="L36" i="28"/>
  <c r="L37" i="28"/>
  <c r="L38" i="28"/>
  <c r="L39" i="28"/>
  <c r="L17" i="11"/>
  <c r="L17" i="28"/>
  <c r="L18" i="28"/>
  <c r="L23" i="28"/>
  <c r="L42" i="28"/>
  <c r="M17" i="28"/>
  <c r="M18" i="28"/>
  <c r="M23" i="28"/>
  <c r="M42" i="28"/>
  <c r="N31" i="28"/>
  <c r="N32" i="3"/>
  <c r="N32" i="17"/>
  <c r="N32" i="20"/>
  <c r="N32" i="27"/>
  <c r="N32" i="28"/>
  <c r="N33" i="28"/>
  <c r="N34" i="3"/>
  <c r="N34" i="26"/>
  <c r="N34" i="28"/>
  <c r="N35" i="3"/>
  <c r="N35" i="26"/>
  <c r="N35" i="28"/>
  <c r="N36" i="17"/>
  <c r="N36" i="20"/>
  <c r="N36" i="28"/>
  <c r="N37" i="28"/>
  <c r="N38" i="28"/>
  <c r="N39" i="28"/>
  <c r="N17" i="27"/>
  <c r="N17" i="28"/>
  <c r="N18" i="15"/>
  <c r="N18" i="28"/>
  <c r="N23" i="28"/>
  <c r="B6" i="28"/>
  <c r="B7" i="28"/>
  <c r="N45" i="28"/>
  <c r="N42" i="28"/>
  <c r="O42" i="28"/>
  <c r="E43" i="28"/>
  <c r="I43" i="28"/>
  <c r="U28" i="28"/>
  <c r="T28" i="28"/>
  <c r="G43" i="28"/>
  <c r="L43" i="28"/>
  <c r="M43" i="28"/>
  <c r="U25" i="28"/>
  <c r="T25" i="28"/>
  <c r="O6" i="28"/>
  <c r="O7" i="28"/>
  <c r="O10" i="28"/>
  <c r="O11" i="18"/>
  <c r="B32" i="26"/>
  <c r="B32" i="28"/>
  <c r="M32" i="28"/>
  <c r="O32" i="28"/>
  <c r="B35" i="26"/>
  <c r="B33" i="26"/>
  <c r="B33" i="28"/>
  <c r="M33" i="28"/>
  <c r="O33" i="28"/>
  <c r="B34" i="28"/>
  <c r="M34" i="28"/>
  <c r="O34" i="28"/>
  <c r="B35" i="28"/>
  <c r="M35" i="28"/>
  <c r="O35" i="28"/>
  <c r="B36" i="28"/>
  <c r="M36" i="28"/>
  <c r="O36" i="28"/>
  <c r="B37" i="28"/>
  <c r="M37" i="28"/>
  <c r="O37" i="28"/>
  <c r="B38" i="28"/>
  <c r="M38" i="28"/>
  <c r="O38" i="28"/>
  <c r="O36" i="18"/>
  <c r="O37" i="18"/>
  <c r="O35" i="18"/>
  <c r="O33" i="18"/>
  <c r="O32" i="18"/>
  <c r="B31" i="28"/>
  <c r="M31" i="28"/>
  <c r="O31" i="28"/>
  <c r="O32" i="27"/>
  <c r="O39" i="28"/>
  <c r="M39" i="28"/>
  <c r="B39" i="28"/>
  <c r="O18" i="28"/>
  <c r="O17" i="28"/>
  <c r="O23" i="28"/>
  <c r="B17" i="27"/>
  <c r="B17" i="28"/>
  <c r="B18" i="15"/>
  <c r="B18" i="28"/>
  <c r="B19" i="28"/>
  <c r="B20" i="28"/>
  <c r="B21" i="28"/>
  <c r="B22" i="28"/>
  <c r="B23" i="28"/>
  <c r="B4" i="28"/>
  <c r="B8" i="28"/>
  <c r="B9" i="28"/>
  <c r="B10" i="28"/>
  <c r="I39" i="27"/>
  <c r="L23" i="19"/>
  <c r="L42" i="19"/>
  <c r="C23" i="19"/>
  <c r="C42" i="19"/>
  <c r="D23" i="19"/>
  <c r="D42" i="19"/>
  <c r="E39" i="19"/>
  <c r="E23" i="19"/>
  <c r="E42" i="19"/>
  <c r="F23" i="19"/>
  <c r="F42" i="19"/>
  <c r="G23" i="19"/>
  <c r="G42" i="19"/>
  <c r="H23" i="19"/>
  <c r="H42" i="19"/>
  <c r="I42" i="19"/>
  <c r="J23" i="19"/>
  <c r="J42" i="19"/>
  <c r="K23" i="19"/>
  <c r="K42" i="19"/>
  <c r="N39" i="19"/>
  <c r="N45" i="19"/>
  <c r="N42" i="19"/>
  <c r="O42" i="19"/>
  <c r="L43" i="19"/>
  <c r="U29" i="19"/>
  <c r="T29" i="19"/>
  <c r="N23" i="2"/>
  <c r="N45" i="2"/>
  <c r="N42" i="2"/>
  <c r="C39" i="2"/>
  <c r="C42" i="2"/>
  <c r="D42" i="2"/>
  <c r="E42" i="2"/>
  <c r="F42" i="2"/>
  <c r="G42" i="2"/>
  <c r="H42" i="2"/>
  <c r="I42" i="2"/>
  <c r="J42" i="2"/>
  <c r="K42" i="2"/>
  <c r="L42" i="2"/>
  <c r="M42" i="2"/>
  <c r="O42" i="2"/>
  <c r="N43" i="2"/>
  <c r="U24" i="2"/>
  <c r="G43" i="2"/>
  <c r="U25" i="2"/>
  <c r="J43" i="2"/>
  <c r="U26" i="2"/>
  <c r="F43" i="2"/>
  <c r="U27" i="2"/>
  <c r="E43" i="2"/>
  <c r="U28" i="2"/>
  <c r="D43" i="2"/>
  <c r="U29" i="2"/>
  <c r="K43" i="2"/>
  <c r="U30" i="2"/>
  <c r="I43" i="2"/>
  <c r="U31" i="2"/>
  <c r="H43" i="2"/>
  <c r="U32" i="2"/>
  <c r="C43" i="2"/>
  <c r="U33" i="2"/>
  <c r="U34" i="2"/>
  <c r="N23" i="3"/>
  <c r="N45" i="3"/>
  <c r="N42" i="3"/>
  <c r="C42" i="3"/>
  <c r="D42" i="3"/>
  <c r="E42" i="3"/>
  <c r="F42" i="3"/>
  <c r="G42" i="3"/>
  <c r="H42" i="3"/>
  <c r="I42" i="3"/>
  <c r="J42" i="3"/>
  <c r="K42" i="3"/>
  <c r="L42" i="3"/>
  <c r="M42" i="3"/>
  <c r="O42" i="3"/>
  <c r="N43" i="3"/>
  <c r="U24" i="3"/>
  <c r="G43" i="3"/>
  <c r="U25" i="3"/>
  <c r="J43" i="3"/>
  <c r="U26" i="3"/>
  <c r="F43" i="3"/>
  <c r="U27" i="3"/>
  <c r="E43" i="3"/>
  <c r="U28" i="3"/>
  <c r="D43" i="3"/>
  <c r="U29" i="3"/>
  <c r="K43" i="3"/>
  <c r="U30" i="3"/>
  <c r="I43" i="3"/>
  <c r="U31" i="3"/>
  <c r="H43" i="3"/>
  <c r="U32" i="3"/>
  <c r="C43" i="3"/>
  <c r="U33" i="3"/>
  <c r="U34" i="3"/>
  <c r="N23" i="4"/>
  <c r="N45" i="4"/>
  <c r="N42" i="4"/>
  <c r="C42" i="4"/>
  <c r="D42" i="4"/>
  <c r="E42" i="4"/>
  <c r="F42" i="4"/>
  <c r="G42" i="4"/>
  <c r="H42" i="4"/>
  <c r="I42" i="4"/>
  <c r="J42" i="4"/>
  <c r="K42" i="4"/>
  <c r="L42" i="4"/>
  <c r="M42" i="4"/>
  <c r="O42" i="4"/>
  <c r="N43" i="4"/>
  <c r="U24" i="4"/>
  <c r="G43" i="4"/>
  <c r="U25" i="4"/>
  <c r="J43" i="4"/>
  <c r="U26" i="4"/>
  <c r="F43" i="4"/>
  <c r="U27" i="4"/>
  <c r="E43" i="4"/>
  <c r="U28" i="4"/>
  <c r="D43" i="4"/>
  <c r="U29" i="4"/>
  <c r="K43" i="4"/>
  <c r="U30" i="4"/>
  <c r="I43" i="4"/>
  <c r="U31" i="4"/>
  <c r="H43" i="4"/>
  <c r="U32" i="4"/>
  <c r="C43" i="4"/>
  <c r="U33" i="4"/>
  <c r="U34" i="4"/>
  <c r="N39" i="5"/>
  <c r="N45" i="5"/>
  <c r="N42" i="5"/>
  <c r="C23" i="5"/>
  <c r="C42" i="5"/>
  <c r="D23" i="5"/>
  <c r="D42" i="5"/>
  <c r="E39" i="5"/>
  <c r="E23" i="5"/>
  <c r="E42" i="5"/>
  <c r="F23" i="5"/>
  <c r="F42" i="5"/>
  <c r="G23" i="5"/>
  <c r="G42" i="5"/>
  <c r="H23" i="5"/>
  <c r="H42" i="5"/>
  <c r="I42" i="5"/>
  <c r="J42" i="5"/>
  <c r="K42" i="5"/>
  <c r="L42" i="5"/>
  <c r="M42" i="5"/>
  <c r="O42" i="5"/>
  <c r="N43" i="5"/>
  <c r="U24" i="5"/>
  <c r="G43" i="5"/>
  <c r="U25" i="5"/>
  <c r="J43" i="5"/>
  <c r="U26" i="5"/>
  <c r="F43" i="5"/>
  <c r="U27" i="5"/>
  <c r="E43" i="5"/>
  <c r="U28" i="5"/>
  <c r="D43" i="5"/>
  <c r="U29" i="5"/>
  <c r="K43" i="5"/>
  <c r="U30" i="5"/>
  <c r="I43" i="5"/>
  <c r="U31" i="5"/>
  <c r="H43" i="5"/>
  <c r="U32" i="5"/>
  <c r="C43" i="5"/>
  <c r="U33" i="5"/>
  <c r="U34" i="5"/>
  <c r="N23" i="6"/>
  <c r="N45" i="6"/>
  <c r="N42" i="6"/>
  <c r="C42" i="6"/>
  <c r="D42" i="6"/>
  <c r="E42" i="6"/>
  <c r="F42" i="6"/>
  <c r="G42" i="6"/>
  <c r="H42" i="6"/>
  <c r="I42" i="6"/>
  <c r="J42" i="6"/>
  <c r="K42" i="6"/>
  <c r="L42" i="6"/>
  <c r="M42" i="6"/>
  <c r="O42" i="6"/>
  <c r="N43" i="6"/>
  <c r="U24" i="6"/>
  <c r="G43" i="6"/>
  <c r="U25" i="6"/>
  <c r="J43" i="6"/>
  <c r="U26" i="6"/>
  <c r="F43" i="6"/>
  <c r="U27" i="6"/>
  <c r="E43" i="6"/>
  <c r="U28" i="6"/>
  <c r="D43" i="6"/>
  <c r="U29" i="6"/>
  <c r="K43" i="6"/>
  <c r="U30" i="6"/>
  <c r="I43" i="6"/>
  <c r="U31" i="6"/>
  <c r="H43" i="6"/>
  <c r="U32" i="6"/>
  <c r="C43" i="6"/>
  <c r="U33" i="6"/>
  <c r="U34" i="6"/>
  <c r="N39" i="7"/>
  <c r="N45" i="7"/>
  <c r="N42" i="7"/>
  <c r="C23" i="7"/>
  <c r="C42" i="7"/>
  <c r="D23" i="7"/>
  <c r="D42" i="7"/>
  <c r="E23" i="7"/>
  <c r="E42" i="7"/>
  <c r="F39" i="7"/>
  <c r="F23" i="7"/>
  <c r="F42" i="7"/>
  <c r="G23" i="7"/>
  <c r="G42" i="7"/>
  <c r="H23" i="7"/>
  <c r="H42" i="7"/>
  <c r="I42" i="7"/>
  <c r="J42" i="7"/>
  <c r="K42" i="7"/>
  <c r="L42" i="7"/>
  <c r="M42" i="7"/>
  <c r="O42" i="7"/>
  <c r="N43" i="7"/>
  <c r="U24" i="7"/>
  <c r="G43" i="7"/>
  <c r="U25" i="7"/>
  <c r="J43" i="7"/>
  <c r="U26" i="7"/>
  <c r="F43" i="7"/>
  <c r="U27" i="7"/>
  <c r="E43" i="7"/>
  <c r="U28" i="7"/>
  <c r="D43" i="7"/>
  <c r="U29" i="7"/>
  <c r="K43" i="7"/>
  <c r="U30" i="7"/>
  <c r="I43" i="7"/>
  <c r="U31" i="7"/>
  <c r="H43" i="7"/>
  <c r="U32" i="7"/>
  <c r="C43" i="7"/>
  <c r="U33" i="7"/>
  <c r="U34" i="7"/>
  <c r="N39" i="8"/>
  <c r="N45" i="8"/>
  <c r="N42" i="8"/>
  <c r="C42" i="8"/>
  <c r="D42" i="8"/>
  <c r="E39" i="8"/>
  <c r="E42" i="8"/>
  <c r="F42" i="8"/>
  <c r="G42" i="8"/>
  <c r="H42" i="8"/>
  <c r="I42" i="8"/>
  <c r="J42" i="8"/>
  <c r="K42" i="8"/>
  <c r="L42" i="8"/>
  <c r="M42" i="8"/>
  <c r="O42" i="8"/>
  <c r="N43" i="8"/>
  <c r="U24" i="8"/>
  <c r="G43" i="8"/>
  <c r="U25" i="8"/>
  <c r="J43" i="8"/>
  <c r="U26" i="8"/>
  <c r="F43" i="8"/>
  <c r="U27" i="8"/>
  <c r="E43" i="8"/>
  <c r="U28" i="8"/>
  <c r="D43" i="8"/>
  <c r="U29" i="8"/>
  <c r="K43" i="8"/>
  <c r="U30" i="8"/>
  <c r="I43" i="8"/>
  <c r="U31" i="8"/>
  <c r="H43" i="8"/>
  <c r="U32" i="8"/>
  <c r="C43" i="8"/>
  <c r="U33" i="8"/>
  <c r="U34" i="8"/>
  <c r="N39" i="9"/>
  <c r="N45" i="9"/>
  <c r="N42" i="9"/>
  <c r="C39" i="9"/>
  <c r="C23" i="9"/>
  <c r="C42" i="9"/>
  <c r="D42" i="9"/>
  <c r="E42" i="9"/>
  <c r="F23" i="9"/>
  <c r="F42" i="9"/>
  <c r="G23" i="9"/>
  <c r="G42" i="9"/>
  <c r="H42" i="9"/>
  <c r="I42" i="9"/>
  <c r="J42" i="9"/>
  <c r="K42" i="9"/>
  <c r="L42" i="9"/>
  <c r="M42" i="9"/>
  <c r="O42" i="9"/>
  <c r="N43" i="9"/>
  <c r="U24" i="9"/>
  <c r="G43" i="9"/>
  <c r="U25" i="9"/>
  <c r="J43" i="9"/>
  <c r="U26" i="9"/>
  <c r="F43" i="9"/>
  <c r="U27" i="9"/>
  <c r="E43" i="9"/>
  <c r="U28" i="9"/>
  <c r="D43" i="9"/>
  <c r="U29" i="9"/>
  <c r="K43" i="9"/>
  <c r="U30" i="9"/>
  <c r="I43" i="9"/>
  <c r="U31" i="9"/>
  <c r="H43" i="9"/>
  <c r="U32" i="9"/>
  <c r="C43" i="9"/>
  <c r="U33" i="9"/>
  <c r="U34" i="9"/>
  <c r="N39" i="10"/>
  <c r="N45" i="10"/>
  <c r="N42" i="10"/>
  <c r="C42" i="10"/>
  <c r="D42" i="10"/>
  <c r="E42" i="10"/>
  <c r="F42" i="10"/>
  <c r="G42" i="10"/>
  <c r="H42" i="10"/>
  <c r="I42" i="10"/>
  <c r="J42" i="10"/>
  <c r="K42" i="10"/>
  <c r="L42" i="10"/>
  <c r="M42" i="10"/>
  <c r="O42" i="10"/>
  <c r="N43" i="10"/>
  <c r="U24" i="10"/>
  <c r="G43" i="10"/>
  <c r="U25" i="10"/>
  <c r="J43" i="10"/>
  <c r="U26" i="10"/>
  <c r="F43" i="10"/>
  <c r="U27" i="10"/>
  <c r="E43" i="10"/>
  <c r="U28" i="10"/>
  <c r="D43" i="10"/>
  <c r="U29" i="10"/>
  <c r="K43" i="10"/>
  <c r="U30" i="10"/>
  <c r="I43" i="10"/>
  <c r="U31" i="10"/>
  <c r="H43" i="10"/>
  <c r="U32" i="10"/>
  <c r="C43" i="10"/>
  <c r="U33" i="10"/>
  <c r="U34" i="10"/>
  <c r="N39" i="11"/>
  <c r="N45" i="11"/>
  <c r="N42" i="11"/>
  <c r="C39" i="11"/>
  <c r="C42" i="11"/>
  <c r="D42" i="11"/>
  <c r="E42" i="11"/>
  <c r="F42" i="11"/>
  <c r="G23" i="11"/>
  <c r="G42" i="11"/>
  <c r="H42" i="11"/>
  <c r="I42" i="11"/>
  <c r="J42" i="11"/>
  <c r="K42" i="11"/>
  <c r="L23" i="11"/>
  <c r="L42" i="11"/>
  <c r="M42" i="11"/>
  <c r="O42" i="11"/>
  <c r="N43" i="11"/>
  <c r="U24" i="11"/>
  <c r="G43" i="11"/>
  <c r="U25" i="11"/>
  <c r="J43" i="11"/>
  <c r="U26" i="11"/>
  <c r="F43" i="11"/>
  <c r="U27" i="11"/>
  <c r="E43" i="11"/>
  <c r="U28" i="11"/>
  <c r="D43" i="11"/>
  <c r="U29" i="11"/>
  <c r="K43" i="11"/>
  <c r="U30" i="11"/>
  <c r="I43" i="11"/>
  <c r="U31" i="11"/>
  <c r="H43" i="11"/>
  <c r="U32" i="11"/>
  <c r="C43" i="11"/>
  <c r="U33" i="11"/>
  <c r="U34" i="11"/>
  <c r="N39" i="12"/>
  <c r="N45" i="12"/>
  <c r="N42" i="12"/>
  <c r="C39" i="12"/>
  <c r="C42" i="12"/>
  <c r="D42" i="12"/>
  <c r="E42" i="12"/>
  <c r="F42" i="12"/>
  <c r="G42" i="12"/>
  <c r="H42" i="12"/>
  <c r="I42" i="12"/>
  <c r="J42" i="12"/>
  <c r="K42" i="12"/>
  <c r="L42" i="12"/>
  <c r="M42" i="12"/>
  <c r="O42" i="12"/>
  <c r="N43" i="12"/>
  <c r="U24" i="12"/>
  <c r="G43" i="12"/>
  <c r="U25" i="12"/>
  <c r="J43" i="12"/>
  <c r="U26" i="12"/>
  <c r="F43" i="12"/>
  <c r="U27" i="12"/>
  <c r="E43" i="12"/>
  <c r="U28" i="12"/>
  <c r="D43" i="12"/>
  <c r="U29" i="12"/>
  <c r="K43" i="12"/>
  <c r="U30" i="12"/>
  <c r="I43" i="12"/>
  <c r="U31" i="12"/>
  <c r="H43" i="12"/>
  <c r="U32" i="12"/>
  <c r="C43" i="12"/>
  <c r="U33" i="12"/>
  <c r="U34" i="12"/>
  <c r="N23" i="13"/>
  <c r="N45" i="13"/>
  <c r="N42" i="13"/>
  <c r="C42" i="13"/>
  <c r="D42" i="13"/>
  <c r="E42" i="13"/>
  <c r="F42" i="13"/>
  <c r="G42" i="13"/>
  <c r="H42" i="13"/>
  <c r="I42" i="13"/>
  <c r="J42" i="13"/>
  <c r="K42" i="13"/>
  <c r="L42" i="13"/>
  <c r="M42" i="13"/>
  <c r="O42" i="13"/>
  <c r="N43" i="13"/>
  <c r="U24" i="13"/>
  <c r="G43" i="13"/>
  <c r="U25" i="13"/>
  <c r="J43" i="13"/>
  <c r="U26" i="13"/>
  <c r="F43" i="13"/>
  <c r="U27" i="13"/>
  <c r="E43" i="13"/>
  <c r="U28" i="13"/>
  <c r="D43" i="13"/>
  <c r="U29" i="13"/>
  <c r="K43" i="13"/>
  <c r="U30" i="13"/>
  <c r="I43" i="13"/>
  <c r="U31" i="13"/>
  <c r="H43" i="13"/>
  <c r="U32" i="13"/>
  <c r="C43" i="13"/>
  <c r="U33" i="13"/>
  <c r="U34" i="13"/>
  <c r="N45" i="14"/>
  <c r="N42" i="14"/>
  <c r="C42" i="14"/>
  <c r="D42" i="14"/>
  <c r="E42" i="14"/>
  <c r="F42" i="14"/>
  <c r="G42" i="14"/>
  <c r="H42" i="14"/>
  <c r="I42" i="14"/>
  <c r="J42" i="14"/>
  <c r="K42" i="14"/>
  <c r="L42" i="14"/>
  <c r="M42" i="14"/>
  <c r="O42" i="14"/>
  <c r="N43" i="14"/>
  <c r="U24" i="14"/>
  <c r="G43" i="14"/>
  <c r="U25" i="14"/>
  <c r="J43" i="14"/>
  <c r="U26" i="14"/>
  <c r="F43" i="14"/>
  <c r="U27" i="14"/>
  <c r="E43" i="14"/>
  <c r="U28" i="14"/>
  <c r="D43" i="14"/>
  <c r="U29" i="14"/>
  <c r="K43" i="14"/>
  <c r="U30" i="14"/>
  <c r="I43" i="14"/>
  <c r="U31" i="14"/>
  <c r="H43" i="14"/>
  <c r="U32" i="14"/>
  <c r="C43" i="14"/>
  <c r="U33" i="14"/>
  <c r="U34" i="14"/>
  <c r="N23" i="15"/>
  <c r="N45" i="15"/>
  <c r="N42" i="15"/>
  <c r="C23" i="15"/>
  <c r="C42" i="15"/>
  <c r="D42" i="15"/>
  <c r="E42" i="15"/>
  <c r="F42" i="15"/>
  <c r="G23" i="15"/>
  <c r="G42" i="15"/>
  <c r="H42" i="15"/>
  <c r="I42" i="15"/>
  <c r="J42" i="15"/>
  <c r="K42" i="15"/>
  <c r="L42" i="15"/>
  <c r="M42" i="15"/>
  <c r="O42" i="15"/>
  <c r="N43" i="15"/>
  <c r="U24" i="15"/>
  <c r="G43" i="15"/>
  <c r="U25" i="15"/>
  <c r="J43" i="15"/>
  <c r="U26" i="15"/>
  <c r="F43" i="15"/>
  <c r="U27" i="15"/>
  <c r="E43" i="15"/>
  <c r="U28" i="15"/>
  <c r="D43" i="15"/>
  <c r="U29" i="15"/>
  <c r="K43" i="15"/>
  <c r="U30" i="15"/>
  <c r="I43" i="15"/>
  <c r="U31" i="15"/>
  <c r="H43" i="15"/>
  <c r="U32" i="15"/>
  <c r="C43" i="15"/>
  <c r="U33" i="15"/>
  <c r="U34" i="15"/>
  <c r="N45" i="16"/>
  <c r="N42" i="16"/>
  <c r="C42" i="16"/>
  <c r="D42" i="16"/>
  <c r="E42" i="16"/>
  <c r="F42" i="16"/>
  <c r="G42" i="16"/>
  <c r="H42" i="16"/>
  <c r="I42" i="16"/>
  <c r="J42" i="16"/>
  <c r="K42" i="16"/>
  <c r="L42" i="16"/>
  <c r="M42" i="16"/>
  <c r="O42" i="16"/>
  <c r="N43" i="16"/>
  <c r="U24" i="16"/>
  <c r="G43" i="16"/>
  <c r="U25" i="16"/>
  <c r="J43" i="16"/>
  <c r="U26" i="16"/>
  <c r="F43" i="16"/>
  <c r="U27" i="16"/>
  <c r="E43" i="16"/>
  <c r="U28" i="16"/>
  <c r="D43" i="16"/>
  <c r="U29" i="16"/>
  <c r="K43" i="16"/>
  <c r="U30" i="16"/>
  <c r="I43" i="16"/>
  <c r="U31" i="16"/>
  <c r="H43" i="16"/>
  <c r="U32" i="16"/>
  <c r="C43" i="16"/>
  <c r="U33" i="16"/>
  <c r="U34" i="16"/>
  <c r="N45" i="17"/>
  <c r="N42" i="17"/>
  <c r="C42" i="17"/>
  <c r="D42" i="17"/>
  <c r="E42" i="17"/>
  <c r="F42" i="17"/>
  <c r="G42" i="17"/>
  <c r="H42" i="17"/>
  <c r="I42" i="17"/>
  <c r="J42" i="17"/>
  <c r="K42" i="17"/>
  <c r="L42" i="17"/>
  <c r="M42" i="17"/>
  <c r="O42" i="17"/>
  <c r="N43" i="17"/>
  <c r="U24" i="17"/>
  <c r="G43" i="17"/>
  <c r="U25" i="17"/>
  <c r="J43" i="17"/>
  <c r="U26" i="17"/>
  <c r="F43" i="17"/>
  <c r="U27" i="17"/>
  <c r="E43" i="17"/>
  <c r="U28" i="17"/>
  <c r="D43" i="17"/>
  <c r="U29" i="17"/>
  <c r="K43" i="17"/>
  <c r="U30" i="17"/>
  <c r="I43" i="17"/>
  <c r="U31" i="17"/>
  <c r="H43" i="17"/>
  <c r="U32" i="17"/>
  <c r="C43" i="17"/>
  <c r="U33" i="17"/>
  <c r="U34" i="17"/>
  <c r="O42" i="18"/>
  <c r="N43" i="18"/>
  <c r="U24" i="18"/>
  <c r="G43" i="18"/>
  <c r="U25" i="18"/>
  <c r="J43" i="18"/>
  <c r="U26" i="18"/>
  <c r="F43" i="18"/>
  <c r="U27" i="18"/>
  <c r="E43" i="18"/>
  <c r="U28" i="18"/>
  <c r="D43" i="18"/>
  <c r="U29" i="18"/>
  <c r="K43" i="18"/>
  <c r="U30" i="18"/>
  <c r="I43" i="18"/>
  <c r="U31" i="18"/>
  <c r="H43" i="18"/>
  <c r="U32" i="18"/>
  <c r="C43" i="18"/>
  <c r="U33" i="18"/>
  <c r="U34" i="18"/>
  <c r="N43" i="19"/>
  <c r="U24" i="19"/>
  <c r="G43" i="19"/>
  <c r="U25" i="19"/>
  <c r="J43" i="19"/>
  <c r="U26" i="19"/>
  <c r="F43" i="19"/>
  <c r="U27" i="19"/>
  <c r="E43" i="19"/>
  <c r="U28" i="19"/>
  <c r="D43" i="19"/>
  <c r="K43" i="19"/>
  <c r="U30" i="19"/>
  <c r="I43" i="19"/>
  <c r="U31" i="19"/>
  <c r="H43" i="19"/>
  <c r="U32" i="19"/>
  <c r="C43" i="19"/>
  <c r="U33" i="19"/>
  <c r="U34" i="19"/>
  <c r="N39" i="20"/>
  <c r="N45" i="20"/>
  <c r="N42" i="20"/>
  <c r="C23" i="20"/>
  <c r="C42" i="20"/>
  <c r="D42" i="20"/>
  <c r="E42" i="20"/>
  <c r="F23" i="20"/>
  <c r="F42" i="20"/>
  <c r="G39" i="20"/>
  <c r="G23" i="20"/>
  <c r="G42" i="20"/>
  <c r="H42" i="20"/>
  <c r="I42" i="20"/>
  <c r="J42" i="20"/>
  <c r="K42" i="20"/>
  <c r="L42" i="20"/>
  <c r="M42" i="20"/>
  <c r="O42" i="20"/>
  <c r="N43" i="20"/>
  <c r="U24" i="20"/>
  <c r="G43" i="20"/>
  <c r="U25" i="20"/>
  <c r="J43" i="20"/>
  <c r="U26" i="20"/>
  <c r="F43" i="20"/>
  <c r="U27" i="20"/>
  <c r="E43" i="20"/>
  <c r="U28" i="20"/>
  <c r="D43" i="20"/>
  <c r="U29" i="20"/>
  <c r="K43" i="20"/>
  <c r="U30" i="20"/>
  <c r="I43" i="20"/>
  <c r="U31" i="20"/>
  <c r="H43" i="20"/>
  <c r="U32" i="20"/>
  <c r="C43" i="20"/>
  <c r="U33" i="20"/>
  <c r="U34" i="20"/>
  <c r="N39" i="21"/>
  <c r="N45" i="21"/>
  <c r="N42" i="21"/>
  <c r="C23" i="21"/>
  <c r="C42" i="21"/>
  <c r="D23" i="21"/>
  <c r="D42" i="21"/>
  <c r="E23" i="21"/>
  <c r="E42" i="21"/>
  <c r="F23" i="21"/>
  <c r="F42" i="21"/>
  <c r="G23" i="21"/>
  <c r="G42" i="21"/>
  <c r="H42" i="21"/>
  <c r="I42" i="21"/>
  <c r="J42" i="21"/>
  <c r="K42" i="21"/>
  <c r="L42" i="21"/>
  <c r="M42" i="21"/>
  <c r="O42" i="21"/>
  <c r="N43" i="21"/>
  <c r="U24" i="21"/>
  <c r="G43" i="21"/>
  <c r="U25" i="21"/>
  <c r="J43" i="21"/>
  <c r="U26" i="21"/>
  <c r="F43" i="21"/>
  <c r="U27" i="21"/>
  <c r="E43" i="21"/>
  <c r="U28" i="21"/>
  <c r="D43" i="21"/>
  <c r="U29" i="21"/>
  <c r="K43" i="21"/>
  <c r="U30" i="21"/>
  <c r="I43" i="21"/>
  <c r="U31" i="21"/>
  <c r="H43" i="21"/>
  <c r="U32" i="21"/>
  <c r="C43" i="21"/>
  <c r="U33" i="21"/>
  <c r="U34" i="21"/>
  <c r="N39" i="22"/>
  <c r="N23" i="22"/>
  <c r="N45" i="22"/>
  <c r="N42" i="22"/>
  <c r="C23" i="22"/>
  <c r="C42" i="22"/>
  <c r="D23" i="22"/>
  <c r="D42" i="22"/>
  <c r="E23" i="22"/>
  <c r="E42" i="22"/>
  <c r="F23" i="22"/>
  <c r="F42" i="22"/>
  <c r="G23" i="22"/>
  <c r="G42" i="22"/>
  <c r="H23" i="22"/>
  <c r="H42" i="22"/>
  <c r="I42" i="22"/>
  <c r="J42" i="22"/>
  <c r="K42" i="22"/>
  <c r="L42" i="22"/>
  <c r="M42" i="22"/>
  <c r="O42" i="22"/>
  <c r="N43" i="22"/>
  <c r="U24" i="22"/>
  <c r="G43" i="22"/>
  <c r="U25" i="22"/>
  <c r="J43" i="22"/>
  <c r="U26" i="22"/>
  <c r="F43" i="22"/>
  <c r="U27" i="22"/>
  <c r="E43" i="22"/>
  <c r="U28" i="22"/>
  <c r="D43" i="22"/>
  <c r="U29" i="22"/>
  <c r="K43" i="22"/>
  <c r="U30" i="22"/>
  <c r="I43" i="22"/>
  <c r="U31" i="22"/>
  <c r="H43" i="22"/>
  <c r="U32" i="22"/>
  <c r="C43" i="22"/>
  <c r="U33" i="22"/>
  <c r="U34" i="22"/>
  <c r="N23" i="23"/>
  <c r="N45" i="23"/>
  <c r="N42" i="23"/>
  <c r="C23" i="23"/>
  <c r="C42" i="23"/>
  <c r="D42" i="23"/>
  <c r="E42" i="23"/>
  <c r="F42" i="23"/>
  <c r="G23" i="23"/>
  <c r="G42" i="23"/>
  <c r="H42" i="23"/>
  <c r="I42" i="23"/>
  <c r="J42" i="23"/>
  <c r="K42" i="23"/>
  <c r="L42" i="23"/>
  <c r="M42" i="23"/>
  <c r="O42" i="23"/>
  <c r="N43" i="23"/>
  <c r="U24" i="23"/>
  <c r="G43" i="23"/>
  <c r="U25" i="23"/>
  <c r="J43" i="23"/>
  <c r="U26" i="23"/>
  <c r="F43" i="23"/>
  <c r="U27" i="23"/>
  <c r="E43" i="23"/>
  <c r="U28" i="23"/>
  <c r="D43" i="23"/>
  <c r="U29" i="23"/>
  <c r="K43" i="23"/>
  <c r="U30" i="23"/>
  <c r="I43" i="23"/>
  <c r="U31" i="23"/>
  <c r="H43" i="23"/>
  <c r="U32" i="23"/>
  <c r="C43" i="23"/>
  <c r="U33" i="23"/>
  <c r="U34" i="23"/>
  <c r="N23" i="24"/>
  <c r="N45" i="24"/>
  <c r="N42" i="24"/>
  <c r="C42" i="24"/>
  <c r="D42" i="24"/>
  <c r="E42" i="24"/>
  <c r="F42" i="24"/>
  <c r="G42" i="24"/>
  <c r="H42" i="24"/>
  <c r="I42" i="24"/>
  <c r="J42" i="24"/>
  <c r="K42" i="24"/>
  <c r="L42" i="24"/>
  <c r="M42" i="24"/>
  <c r="O42" i="24"/>
  <c r="N43" i="24"/>
  <c r="U24" i="24"/>
  <c r="G43" i="24"/>
  <c r="U25" i="24"/>
  <c r="J43" i="24"/>
  <c r="U26" i="24"/>
  <c r="F43" i="24"/>
  <c r="U27" i="24"/>
  <c r="E43" i="24"/>
  <c r="U28" i="24"/>
  <c r="D43" i="24"/>
  <c r="U29" i="24"/>
  <c r="K43" i="24"/>
  <c r="U30" i="24"/>
  <c r="I43" i="24"/>
  <c r="U31" i="24"/>
  <c r="H43" i="24"/>
  <c r="U32" i="24"/>
  <c r="C43" i="24"/>
  <c r="U33" i="24"/>
  <c r="U34" i="24"/>
  <c r="N39" i="25"/>
  <c r="N23" i="25"/>
  <c r="N45" i="25"/>
  <c r="N42" i="25"/>
  <c r="C42" i="25"/>
  <c r="D42" i="25"/>
  <c r="E42" i="25"/>
  <c r="F42" i="25"/>
  <c r="G42" i="25"/>
  <c r="H42" i="25"/>
  <c r="I42" i="25"/>
  <c r="J42" i="25"/>
  <c r="K42" i="25"/>
  <c r="L42" i="25"/>
  <c r="M42" i="25"/>
  <c r="O42" i="25"/>
  <c r="N43" i="25"/>
  <c r="U24" i="25"/>
  <c r="G43" i="25"/>
  <c r="U25" i="25"/>
  <c r="J43" i="25"/>
  <c r="U26" i="25"/>
  <c r="F43" i="25"/>
  <c r="U27" i="25"/>
  <c r="E43" i="25"/>
  <c r="U28" i="25"/>
  <c r="D43" i="25"/>
  <c r="U29" i="25"/>
  <c r="K43" i="25"/>
  <c r="U30" i="25"/>
  <c r="I43" i="25"/>
  <c r="U31" i="25"/>
  <c r="H43" i="25"/>
  <c r="U32" i="25"/>
  <c r="C43" i="25"/>
  <c r="U33" i="25"/>
  <c r="U34" i="25"/>
  <c r="N45" i="26"/>
  <c r="N42" i="26"/>
  <c r="C23" i="26"/>
  <c r="C42" i="26"/>
  <c r="D23" i="26"/>
  <c r="D42" i="26"/>
  <c r="E23" i="26"/>
  <c r="E42" i="26"/>
  <c r="F23" i="26"/>
  <c r="F42" i="26"/>
  <c r="G23" i="26"/>
  <c r="G42" i="26"/>
  <c r="H23" i="26"/>
  <c r="H42" i="26"/>
  <c r="I42" i="26"/>
  <c r="J42" i="26"/>
  <c r="K23" i="26"/>
  <c r="K42" i="26"/>
  <c r="L42" i="26"/>
  <c r="M42" i="26"/>
  <c r="O42" i="26"/>
  <c r="N43" i="26"/>
  <c r="U24" i="26"/>
  <c r="G43" i="26"/>
  <c r="U25" i="26"/>
  <c r="J43" i="26"/>
  <c r="U26" i="26"/>
  <c r="F43" i="26"/>
  <c r="U27" i="26"/>
  <c r="E43" i="26"/>
  <c r="U28" i="26"/>
  <c r="D43" i="26"/>
  <c r="U29" i="26"/>
  <c r="K43" i="26"/>
  <c r="U30" i="26"/>
  <c r="I43" i="26"/>
  <c r="U31" i="26"/>
  <c r="H43" i="26"/>
  <c r="U32" i="26"/>
  <c r="C43" i="26"/>
  <c r="U33" i="26"/>
  <c r="U34" i="26"/>
  <c r="L42" i="27"/>
  <c r="I42" i="27"/>
  <c r="C39" i="27"/>
  <c r="C23" i="27"/>
  <c r="C42" i="27"/>
  <c r="D42" i="27"/>
  <c r="E39" i="27"/>
  <c r="E42" i="27"/>
  <c r="F42" i="27"/>
  <c r="G23" i="27"/>
  <c r="G42" i="27"/>
  <c r="H42" i="27"/>
  <c r="J42" i="27"/>
  <c r="K23" i="27"/>
  <c r="K42" i="27"/>
  <c r="M42" i="27"/>
  <c r="N39" i="27"/>
  <c r="N23" i="27"/>
  <c r="N45" i="27"/>
  <c r="N42" i="27"/>
  <c r="O42" i="27"/>
  <c r="N43" i="27"/>
  <c r="U24" i="27"/>
  <c r="G43" i="27"/>
  <c r="U25" i="27"/>
  <c r="J43" i="27"/>
  <c r="U26" i="27"/>
  <c r="F43" i="27"/>
  <c r="U27" i="27"/>
  <c r="E43" i="27"/>
  <c r="U28" i="27"/>
  <c r="D43" i="27"/>
  <c r="U29" i="27"/>
  <c r="K43" i="27"/>
  <c r="U30" i="27"/>
  <c r="I43" i="27"/>
  <c r="U31" i="27"/>
  <c r="H43" i="27"/>
  <c r="U32" i="27"/>
  <c r="C43" i="27"/>
  <c r="U33" i="27"/>
  <c r="U34" i="27"/>
  <c r="N43" i="28"/>
  <c r="U24" i="28"/>
  <c r="J43" i="28"/>
  <c r="U26" i="28"/>
  <c r="F43" i="28"/>
  <c r="U27" i="28"/>
  <c r="D43" i="28"/>
  <c r="U29" i="28"/>
  <c r="K43" i="28"/>
  <c r="U30" i="28"/>
  <c r="H43" i="28"/>
  <c r="U34" i="28"/>
  <c r="C43" i="28"/>
  <c r="U35" i="28"/>
  <c r="U36" i="28"/>
  <c r="T24" i="2"/>
  <c r="T25" i="2"/>
  <c r="T26" i="2"/>
  <c r="T27" i="2"/>
  <c r="T28" i="2"/>
  <c r="T29" i="2"/>
  <c r="T30" i="2"/>
  <c r="T31" i="2"/>
  <c r="T32" i="2"/>
  <c r="T33" i="2"/>
  <c r="T34" i="2"/>
  <c r="T24" i="3"/>
  <c r="T25" i="3"/>
  <c r="T26" i="3"/>
  <c r="T27" i="3"/>
  <c r="T28" i="3"/>
  <c r="T29" i="3"/>
  <c r="T30" i="3"/>
  <c r="T31" i="3"/>
  <c r="T32" i="3"/>
  <c r="T33" i="3"/>
  <c r="T34" i="3"/>
  <c r="T24" i="4"/>
  <c r="T25" i="4"/>
  <c r="T26" i="4"/>
  <c r="T27" i="4"/>
  <c r="T28" i="4"/>
  <c r="T29" i="4"/>
  <c r="T30" i="4"/>
  <c r="T31" i="4"/>
  <c r="T32" i="4"/>
  <c r="T33" i="4"/>
  <c r="T34" i="4"/>
  <c r="T24" i="5"/>
  <c r="T25" i="5"/>
  <c r="T26" i="5"/>
  <c r="T27" i="5"/>
  <c r="T28" i="5"/>
  <c r="T29" i="5"/>
  <c r="T30" i="5"/>
  <c r="T31" i="5"/>
  <c r="T32" i="5"/>
  <c r="T33" i="5"/>
  <c r="T34" i="5"/>
  <c r="T24" i="6"/>
  <c r="T25" i="6"/>
  <c r="T26" i="6"/>
  <c r="T27" i="6"/>
  <c r="T28" i="6"/>
  <c r="T29" i="6"/>
  <c r="T30" i="6"/>
  <c r="T31" i="6"/>
  <c r="T32" i="6"/>
  <c r="T33" i="6"/>
  <c r="T34" i="6"/>
  <c r="T24" i="7"/>
  <c r="T25" i="7"/>
  <c r="T26" i="7"/>
  <c r="T27" i="7"/>
  <c r="T28" i="7"/>
  <c r="T29" i="7"/>
  <c r="T30" i="7"/>
  <c r="T31" i="7"/>
  <c r="T32" i="7"/>
  <c r="T33" i="7"/>
  <c r="T34" i="7"/>
  <c r="T24" i="8"/>
  <c r="T25" i="8"/>
  <c r="T26" i="8"/>
  <c r="T27" i="8"/>
  <c r="T28" i="8"/>
  <c r="T29" i="8"/>
  <c r="T30" i="8"/>
  <c r="T31" i="8"/>
  <c r="T32" i="8"/>
  <c r="T33" i="8"/>
  <c r="T34" i="8"/>
  <c r="T24" i="9"/>
  <c r="T25" i="9"/>
  <c r="T26" i="9"/>
  <c r="T27" i="9"/>
  <c r="T28" i="9"/>
  <c r="T29" i="9"/>
  <c r="T30" i="9"/>
  <c r="T31" i="9"/>
  <c r="T32" i="9"/>
  <c r="T33" i="9"/>
  <c r="T34" i="9"/>
  <c r="T24" i="10"/>
  <c r="T25" i="10"/>
  <c r="T26" i="10"/>
  <c r="T27" i="10"/>
  <c r="T28" i="10"/>
  <c r="T29" i="10"/>
  <c r="T30" i="10"/>
  <c r="T31" i="10"/>
  <c r="T32" i="10"/>
  <c r="T33" i="10"/>
  <c r="T34" i="10"/>
  <c r="T24" i="11"/>
  <c r="T25" i="11"/>
  <c r="T26" i="11"/>
  <c r="T27" i="11"/>
  <c r="T28" i="11"/>
  <c r="T29" i="11"/>
  <c r="T30" i="11"/>
  <c r="T31" i="11"/>
  <c r="T32" i="11"/>
  <c r="T33" i="11"/>
  <c r="T34" i="11"/>
  <c r="T24" i="12"/>
  <c r="T25" i="12"/>
  <c r="T26" i="12"/>
  <c r="T27" i="12"/>
  <c r="T28" i="12"/>
  <c r="T29" i="12"/>
  <c r="T30" i="12"/>
  <c r="T31" i="12"/>
  <c r="T32" i="12"/>
  <c r="T33" i="12"/>
  <c r="T34" i="12"/>
  <c r="T24" i="13"/>
  <c r="T25" i="13"/>
  <c r="T26" i="13"/>
  <c r="T27" i="13"/>
  <c r="T28" i="13"/>
  <c r="T29" i="13"/>
  <c r="T30" i="13"/>
  <c r="T31" i="13"/>
  <c r="T32" i="13"/>
  <c r="T33" i="13"/>
  <c r="T34" i="13"/>
  <c r="T24" i="14"/>
  <c r="T25" i="14"/>
  <c r="T26" i="14"/>
  <c r="T27" i="14"/>
  <c r="T28" i="14"/>
  <c r="T29" i="14"/>
  <c r="T30" i="14"/>
  <c r="T31" i="14"/>
  <c r="T32" i="14"/>
  <c r="T33" i="14"/>
  <c r="T34" i="14"/>
  <c r="T24" i="15"/>
  <c r="T25" i="15"/>
  <c r="T26" i="15"/>
  <c r="T27" i="15"/>
  <c r="T28" i="15"/>
  <c r="T29" i="15"/>
  <c r="T30" i="15"/>
  <c r="T31" i="15"/>
  <c r="T32" i="15"/>
  <c r="T33" i="15"/>
  <c r="T34" i="15"/>
  <c r="T24" i="16"/>
  <c r="T25" i="16"/>
  <c r="T26" i="16"/>
  <c r="T27" i="16"/>
  <c r="T28" i="16"/>
  <c r="T29" i="16"/>
  <c r="T30" i="16"/>
  <c r="T31" i="16"/>
  <c r="T32" i="16"/>
  <c r="T33" i="16"/>
  <c r="T34" i="16"/>
  <c r="T24" i="17"/>
  <c r="T25" i="17"/>
  <c r="T26" i="17"/>
  <c r="T27" i="17"/>
  <c r="T28" i="17"/>
  <c r="T29" i="17"/>
  <c r="T30" i="17"/>
  <c r="T31" i="17"/>
  <c r="T32" i="17"/>
  <c r="T33" i="17"/>
  <c r="T34" i="17"/>
  <c r="T24" i="18"/>
  <c r="T25" i="18"/>
  <c r="T26" i="18"/>
  <c r="T27" i="18"/>
  <c r="T28" i="18"/>
  <c r="T29" i="18"/>
  <c r="T30" i="18"/>
  <c r="T31" i="18"/>
  <c r="T32" i="18"/>
  <c r="T33" i="18"/>
  <c r="T34" i="18"/>
  <c r="T24" i="19"/>
  <c r="T25" i="19"/>
  <c r="T26" i="19"/>
  <c r="T27" i="19"/>
  <c r="T28" i="19"/>
  <c r="T30" i="19"/>
  <c r="T31" i="19"/>
  <c r="T32" i="19"/>
  <c r="T33" i="19"/>
  <c r="T34" i="19"/>
  <c r="T24" i="20"/>
  <c r="T25" i="20"/>
  <c r="T26" i="20"/>
  <c r="T27" i="20"/>
  <c r="T28" i="20"/>
  <c r="T29" i="20"/>
  <c r="T30" i="20"/>
  <c r="T31" i="20"/>
  <c r="T32" i="20"/>
  <c r="T33" i="20"/>
  <c r="T34" i="20"/>
  <c r="T24" i="21"/>
  <c r="T25" i="21"/>
  <c r="T26" i="21"/>
  <c r="T27" i="21"/>
  <c r="T28" i="21"/>
  <c r="T29" i="21"/>
  <c r="T30" i="21"/>
  <c r="T31" i="21"/>
  <c r="T32" i="21"/>
  <c r="T33" i="21"/>
  <c r="T34" i="21"/>
  <c r="T24" i="22"/>
  <c r="T25" i="22"/>
  <c r="T26" i="22"/>
  <c r="T27" i="22"/>
  <c r="T28" i="22"/>
  <c r="T29" i="22"/>
  <c r="T30" i="22"/>
  <c r="T31" i="22"/>
  <c r="T32" i="22"/>
  <c r="T33" i="22"/>
  <c r="T34" i="22"/>
  <c r="T24" i="23"/>
  <c r="T25" i="23"/>
  <c r="T26" i="23"/>
  <c r="T27" i="23"/>
  <c r="T28" i="23"/>
  <c r="T29" i="23"/>
  <c r="T30" i="23"/>
  <c r="T31" i="23"/>
  <c r="T32" i="23"/>
  <c r="T33" i="23"/>
  <c r="T34" i="23"/>
  <c r="T24" i="24"/>
  <c r="T25" i="24"/>
  <c r="T26" i="24"/>
  <c r="T27" i="24"/>
  <c r="T28" i="24"/>
  <c r="T29" i="24"/>
  <c r="T30" i="24"/>
  <c r="T31" i="24"/>
  <c r="T32" i="24"/>
  <c r="T33" i="24"/>
  <c r="T34" i="24"/>
  <c r="T24" i="25"/>
  <c r="T25" i="25"/>
  <c r="T26" i="25"/>
  <c r="T27" i="25"/>
  <c r="T28" i="25"/>
  <c r="T29" i="25"/>
  <c r="T30" i="25"/>
  <c r="T31" i="25"/>
  <c r="T32" i="25"/>
  <c r="T33" i="25"/>
  <c r="T34" i="25"/>
  <c r="T24" i="26"/>
  <c r="T25" i="26"/>
  <c r="T26" i="26"/>
  <c r="T27" i="26"/>
  <c r="T28" i="26"/>
  <c r="T29" i="26"/>
  <c r="T30" i="26"/>
  <c r="T31" i="26"/>
  <c r="T32" i="26"/>
  <c r="T33" i="26"/>
  <c r="T34" i="26"/>
  <c r="T31" i="27"/>
  <c r="T24" i="27"/>
  <c r="T25" i="27"/>
  <c r="T26" i="27"/>
  <c r="T27" i="27"/>
  <c r="T28" i="27"/>
  <c r="T29" i="27"/>
  <c r="T30" i="27"/>
  <c r="T32" i="27"/>
  <c r="T33" i="27"/>
  <c r="T34" i="27"/>
  <c r="T24" i="28"/>
  <c r="T26" i="28"/>
  <c r="T27" i="28"/>
  <c r="T29" i="28"/>
  <c r="T30" i="28"/>
  <c r="T34" i="28"/>
  <c r="T35" i="28"/>
  <c r="T36" i="28"/>
  <c r="M39" i="19"/>
  <c r="B10" i="3"/>
  <c r="B10" i="11"/>
  <c r="B10" i="18"/>
  <c r="B10" i="19"/>
  <c r="O39" i="27"/>
  <c r="B45" i="2"/>
  <c r="B46" i="2"/>
  <c r="O36" i="25"/>
  <c r="O32" i="25"/>
  <c r="O32" i="8"/>
  <c r="O39" i="8"/>
  <c r="B23" i="25"/>
  <c r="B45" i="25"/>
  <c r="O34" i="26"/>
  <c r="O32" i="3"/>
  <c r="O32" i="4"/>
  <c r="O32" i="5"/>
  <c r="O32" i="9"/>
  <c r="O32" i="10"/>
  <c r="O32" i="12"/>
  <c r="O32" i="16"/>
  <c r="O32" i="21"/>
  <c r="O32" i="24"/>
  <c r="O33" i="3"/>
  <c r="O33" i="4"/>
  <c r="O33" i="7"/>
  <c r="O33" i="16"/>
  <c r="O33" i="17"/>
  <c r="O33" i="21"/>
  <c r="O33" i="22"/>
  <c r="O33" i="23"/>
  <c r="O33" i="24"/>
  <c r="O33" i="26"/>
  <c r="O35" i="3"/>
  <c r="O35" i="4"/>
  <c r="O35" i="7"/>
  <c r="O35" i="16"/>
  <c r="O35" i="17"/>
  <c r="O35" i="21"/>
  <c r="O35" i="22"/>
  <c r="O35" i="24"/>
  <c r="O31" i="3"/>
  <c r="O31" i="17"/>
  <c r="O31" i="24"/>
  <c r="O36" i="3"/>
  <c r="O36" i="4"/>
  <c r="O36" i="16"/>
  <c r="O36" i="17"/>
  <c r="O36" i="21"/>
  <c r="O36" i="22"/>
  <c r="O36" i="24"/>
  <c r="O37" i="3"/>
  <c r="O37" i="4"/>
  <c r="O37" i="16"/>
  <c r="O37" i="17"/>
  <c r="O37" i="21"/>
  <c r="O37" i="22"/>
  <c r="O37" i="23"/>
  <c r="O37" i="24"/>
  <c r="O38" i="3"/>
  <c r="B44" i="18"/>
  <c r="B23" i="18"/>
  <c r="B25" i="18"/>
  <c r="B39" i="18"/>
  <c r="B45" i="18"/>
  <c r="B46" i="18"/>
  <c r="B45" i="9"/>
  <c r="B46" i="9"/>
  <c r="B25" i="6"/>
  <c r="B25" i="21"/>
  <c r="B45" i="17"/>
  <c r="B46" i="17"/>
  <c r="B41" i="17"/>
  <c r="B23" i="15"/>
  <c r="B45" i="15"/>
  <c r="B46" i="15"/>
  <c r="B45" i="14"/>
  <c r="B46" i="14"/>
  <c r="B45" i="8"/>
  <c r="B46" i="8"/>
  <c r="B44" i="11"/>
  <c r="O39" i="5"/>
  <c r="L23" i="18"/>
  <c r="M23" i="18"/>
  <c r="K23" i="18"/>
  <c r="B25" i="16"/>
  <c r="B45" i="16"/>
  <c r="B46" i="16"/>
  <c r="O23" i="2"/>
  <c r="O22" i="2"/>
  <c r="O21" i="2"/>
  <c r="O20" i="2"/>
  <c r="O19" i="2"/>
  <c r="O18" i="2"/>
  <c r="O17" i="2"/>
  <c r="O18" i="22"/>
  <c r="O18" i="21"/>
  <c r="O18" i="20"/>
  <c r="O18" i="19"/>
  <c r="O18" i="18"/>
  <c r="O18" i="15"/>
  <c r="O18" i="13"/>
  <c r="O18" i="9"/>
  <c r="O18" i="7"/>
  <c r="O18" i="6"/>
  <c r="O18" i="5"/>
  <c r="O20" i="3"/>
  <c r="O20" i="4"/>
  <c r="O20" i="13"/>
  <c r="O17" i="18"/>
  <c r="O17" i="19"/>
  <c r="O19" i="19"/>
  <c r="O20" i="19"/>
  <c r="O21" i="19"/>
  <c r="O22" i="19"/>
  <c r="O17" i="25"/>
  <c r="O17" i="26"/>
  <c r="O20" i="26"/>
  <c r="O17" i="27"/>
  <c r="B45" i="23"/>
  <c r="B46" i="23"/>
  <c r="P40" i="22"/>
  <c r="N27" i="22"/>
  <c r="B23" i="22"/>
  <c r="B45" i="22"/>
  <c r="O23" i="22"/>
  <c r="O23" i="21"/>
  <c r="B45" i="21"/>
  <c r="B46" i="21"/>
  <c r="B23" i="27"/>
  <c r="B45" i="27"/>
  <c r="B46" i="27"/>
  <c r="B23" i="26"/>
  <c r="B45" i="26"/>
  <c r="O45" i="26"/>
  <c r="T38" i="26"/>
  <c r="O23" i="26"/>
  <c r="B23" i="20"/>
  <c r="O23" i="20"/>
  <c r="B23" i="19"/>
  <c r="B45" i="19"/>
  <c r="O45" i="19"/>
  <c r="T38" i="19"/>
  <c r="O23" i="18"/>
  <c r="N23" i="18"/>
  <c r="C23" i="18"/>
  <c r="D23" i="18"/>
  <c r="E23" i="18"/>
  <c r="F23" i="18"/>
  <c r="G23" i="18"/>
  <c r="B25" i="12"/>
  <c r="B45" i="12"/>
  <c r="B46" i="12"/>
  <c r="B39" i="24"/>
  <c r="B39" i="4"/>
  <c r="O39" i="4"/>
  <c r="B39" i="3"/>
  <c r="O23" i="9"/>
  <c r="O23" i="19"/>
  <c r="O41" i="4"/>
  <c r="O39" i="24"/>
  <c r="N39" i="18"/>
  <c r="O23" i="15"/>
  <c r="O23" i="13"/>
  <c r="O39" i="12"/>
  <c r="B45" i="11"/>
  <c r="O39" i="10"/>
  <c r="B45" i="3"/>
  <c r="B45" i="4"/>
  <c r="B23" i="5"/>
  <c r="B45" i="5"/>
  <c r="B45" i="6"/>
  <c r="B46" i="6"/>
  <c r="B23" i="7"/>
  <c r="B45" i="7"/>
  <c r="B45" i="10"/>
  <c r="B46" i="10"/>
  <c r="B45" i="13"/>
  <c r="B45" i="20"/>
  <c r="B46" i="20"/>
  <c r="B45" i="24"/>
  <c r="B46" i="3"/>
  <c r="B46" i="4"/>
  <c r="B46" i="5"/>
  <c r="B46" i="7"/>
  <c r="B46" i="11"/>
  <c r="B46" i="13"/>
  <c r="B46" i="22"/>
  <c r="B46" i="24"/>
  <c r="B46" i="25"/>
  <c r="T21" i="2"/>
  <c r="O39" i="9"/>
  <c r="O23" i="27"/>
  <c r="O39" i="7"/>
  <c r="O23" i="7"/>
  <c r="O23" i="3"/>
  <c r="O23" i="5"/>
  <c r="O23" i="6"/>
  <c r="T21" i="4"/>
  <c r="T21" i="5"/>
  <c r="T21" i="6"/>
  <c r="T21" i="10"/>
  <c r="T21" i="11"/>
  <c r="T21" i="12"/>
  <c r="T21" i="13"/>
  <c r="T21" i="14"/>
  <c r="T21" i="15"/>
  <c r="T21" i="16"/>
  <c r="T21" i="20"/>
  <c r="T21" i="22"/>
  <c r="T21" i="23"/>
  <c r="T21" i="24"/>
  <c r="T21" i="26"/>
  <c r="O41" i="3"/>
  <c r="T39" i="3"/>
  <c r="T42" i="3"/>
  <c r="T41" i="3"/>
  <c r="T43" i="3"/>
  <c r="T40" i="3"/>
  <c r="T44" i="3"/>
  <c r="O45" i="3"/>
  <c r="T38" i="3"/>
  <c r="P41" i="4"/>
  <c r="U39" i="4"/>
  <c r="P35" i="4"/>
  <c r="U40" i="4"/>
  <c r="P33" i="4"/>
  <c r="U41" i="4"/>
  <c r="P31" i="4"/>
  <c r="U42" i="4"/>
  <c r="P32" i="4"/>
  <c r="U43" i="4"/>
  <c r="P34" i="4"/>
  <c r="U44" i="4"/>
  <c r="U45" i="4"/>
  <c r="T39" i="4"/>
  <c r="T40" i="4"/>
  <c r="T41" i="4"/>
  <c r="T42" i="4"/>
  <c r="T43" i="4"/>
  <c r="T44" i="4"/>
  <c r="T45" i="4"/>
  <c r="O45" i="4"/>
  <c r="T38" i="4"/>
  <c r="O41" i="5"/>
  <c r="P41" i="5"/>
  <c r="U39" i="5"/>
  <c r="P35" i="5"/>
  <c r="U40" i="5"/>
  <c r="P33" i="5"/>
  <c r="U41" i="5"/>
  <c r="P31" i="5"/>
  <c r="U42" i="5"/>
  <c r="P32" i="5"/>
  <c r="U43" i="5"/>
  <c r="P34" i="5"/>
  <c r="U44" i="5"/>
  <c r="U45" i="5"/>
  <c r="T39" i="5"/>
  <c r="T40" i="5"/>
  <c r="T41" i="5"/>
  <c r="T42" i="5"/>
  <c r="T43" i="5"/>
  <c r="T44" i="5"/>
  <c r="T45" i="5"/>
  <c r="O45" i="5"/>
  <c r="T38" i="5"/>
  <c r="O41" i="6"/>
  <c r="P41" i="6"/>
  <c r="U39" i="6"/>
  <c r="P35" i="6"/>
  <c r="U40" i="6"/>
  <c r="P33" i="6"/>
  <c r="U41" i="6"/>
  <c r="P31" i="6"/>
  <c r="U42" i="6"/>
  <c r="P32" i="6"/>
  <c r="U43" i="6"/>
  <c r="P34" i="6"/>
  <c r="U44" i="6"/>
  <c r="U45" i="6"/>
  <c r="T39" i="6"/>
  <c r="T40" i="6"/>
  <c r="T41" i="6"/>
  <c r="T42" i="6"/>
  <c r="T43" i="6"/>
  <c r="T44" i="6"/>
  <c r="T45" i="6"/>
  <c r="O45" i="6"/>
  <c r="T38" i="6"/>
  <c r="O41" i="7"/>
  <c r="P41" i="7"/>
  <c r="U39" i="7"/>
  <c r="P35" i="7"/>
  <c r="U40" i="7"/>
  <c r="P33" i="7"/>
  <c r="U41" i="7"/>
  <c r="P31" i="7"/>
  <c r="U42" i="7"/>
  <c r="P32" i="7"/>
  <c r="U43" i="7"/>
  <c r="P34" i="7"/>
  <c r="U44" i="7"/>
  <c r="U45" i="7"/>
  <c r="T39" i="7"/>
  <c r="T40" i="7"/>
  <c r="T41" i="7"/>
  <c r="T42" i="7"/>
  <c r="T43" i="7"/>
  <c r="T44" i="7"/>
  <c r="T45" i="7"/>
  <c r="P38" i="7"/>
  <c r="O45" i="7"/>
  <c r="T38" i="7"/>
  <c r="O41" i="8"/>
  <c r="P41" i="8"/>
  <c r="U39" i="8"/>
  <c r="P35" i="8"/>
  <c r="U40" i="8"/>
  <c r="P33" i="8"/>
  <c r="U41" i="8"/>
  <c r="P31" i="8"/>
  <c r="U42" i="8"/>
  <c r="P32" i="8"/>
  <c r="U43" i="8"/>
  <c r="P34" i="8"/>
  <c r="U44" i="8"/>
  <c r="U45" i="8"/>
  <c r="T39" i="8"/>
  <c r="T40" i="8"/>
  <c r="T41" i="8"/>
  <c r="T42" i="8"/>
  <c r="T43" i="8"/>
  <c r="T44" i="8"/>
  <c r="T45" i="8"/>
  <c r="O41" i="9"/>
  <c r="T39" i="9"/>
  <c r="P41" i="9"/>
  <c r="U39" i="9"/>
  <c r="P35" i="9"/>
  <c r="U40" i="9"/>
  <c r="P33" i="9"/>
  <c r="U41" i="9"/>
  <c r="P31" i="9"/>
  <c r="U42" i="9"/>
  <c r="P32" i="9"/>
  <c r="U43" i="9"/>
  <c r="P34" i="9"/>
  <c r="U44" i="9"/>
  <c r="T40" i="9"/>
  <c r="T41" i="9"/>
  <c r="T42" i="9"/>
  <c r="T43" i="9"/>
  <c r="T44" i="9"/>
  <c r="O45" i="9"/>
  <c r="T38" i="9"/>
  <c r="O41" i="10"/>
  <c r="P41" i="10"/>
  <c r="U39" i="10"/>
  <c r="P35" i="10"/>
  <c r="U40" i="10"/>
  <c r="P33" i="10"/>
  <c r="U41" i="10"/>
  <c r="P31" i="10"/>
  <c r="U42" i="10"/>
  <c r="P32" i="10"/>
  <c r="U43" i="10"/>
  <c r="P34" i="10"/>
  <c r="U44" i="10"/>
  <c r="U45" i="10"/>
  <c r="T39" i="10"/>
  <c r="T40" i="10"/>
  <c r="T41" i="10"/>
  <c r="T42" i="10"/>
  <c r="T43" i="10"/>
  <c r="T44" i="10"/>
  <c r="T45" i="10"/>
  <c r="O41" i="11"/>
  <c r="P41" i="11"/>
  <c r="U39" i="11"/>
  <c r="P35" i="11"/>
  <c r="U40" i="11"/>
  <c r="P33" i="11"/>
  <c r="U41" i="11"/>
  <c r="P31" i="11"/>
  <c r="U42" i="11"/>
  <c r="P32" i="11"/>
  <c r="U43" i="11"/>
  <c r="P34" i="11"/>
  <c r="U44" i="11"/>
  <c r="U45" i="11"/>
  <c r="T39" i="11"/>
  <c r="T40" i="11"/>
  <c r="T41" i="11"/>
  <c r="T42" i="11"/>
  <c r="T43" i="11"/>
  <c r="T44" i="11"/>
  <c r="T45" i="11"/>
  <c r="O45" i="11"/>
  <c r="T38" i="11"/>
  <c r="O41" i="12"/>
  <c r="P41" i="12"/>
  <c r="U39" i="12"/>
  <c r="P35" i="12"/>
  <c r="U40" i="12"/>
  <c r="P33" i="12"/>
  <c r="U41" i="12"/>
  <c r="P31" i="12"/>
  <c r="U42" i="12"/>
  <c r="P32" i="12"/>
  <c r="U43" i="12"/>
  <c r="P34" i="12"/>
  <c r="U44" i="12"/>
  <c r="U45" i="12"/>
  <c r="T39" i="12"/>
  <c r="T40" i="12"/>
  <c r="T41" i="12"/>
  <c r="T42" i="12"/>
  <c r="T43" i="12"/>
  <c r="T44" i="12"/>
  <c r="T45" i="12"/>
  <c r="O45" i="12"/>
  <c r="T38" i="12"/>
  <c r="O41" i="13"/>
  <c r="P41" i="13"/>
  <c r="U39" i="13"/>
  <c r="P35" i="13"/>
  <c r="U40" i="13"/>
  <c r="P33" i="13"/>
  <c r="U41" i="13"/>
  <c r="P31" i="13"/>
  <c r="U42" i="13"/>
  <c r="P32" i="13"/>
  <c r="U43" i="13"/>
  <c r="P34" i="13"/>
  <c r="U44" i="13"/>
  <c r="U45" i="13"/>
  <c r="T39" i="13"/>
  <c r="T40" i="13"/>
  <c r="T41" i="13"/>
  <c r="T42" i="13"/>
  <c r="T43" i="13"/>
  <c r="T44" i="13"/>
  <c r="T45" i="13"/>
  <c r="O45" i="13"/>
  <c r="T38" i="13"/>
  <c r="O41" i="14"/>
  <c r="P41" i="14"/>
  <c r="U39" i="14"/>
  <c r="P35" i="14"/>
  <c r="U40" i="14"/>
  <c r="P33" i="14"/>
  <c r="U41" i="14"/>
  <c r="P31" i="14"/>
  <c r="U42" i="14"/>
  <c r="P32" i="14"/>
  <c r="U43" i="14"/>
  <c r="P34" i="14"/>
  <c r="U44" i="14"/>
  <c r="U45" i="14"/>
  <c r="T39" i="14"/>
  <c r="T40" i="14"/>
  <c r="T41" i="14"/>
  <c r="T42" i="14"/>
  <c r="T43" i="14"/>
  <c r="T44" i="14"/>
  <c r="T45" i="14"/>
  <c r="O45" i="14"/>
  <c r="T38" i="14"/>
  <c r="O41" i="15"/>
  <c r="P41" i="15"/>
  <c r="U39" i="15"/>
  <c r="P35" i="15"/>
  <c r="U40" i="15"/>
  <c r="P33" i="15"/>
  <c r="U41" i="15"/>
  <c r="P31" i="15"/>
  <c r="U42" i="15"/>
  <c r="P32" i="15"/>
  <c r="U43" i="15"/>
  <c r="P34" i="15"/>
  <c r="U44" i="15"/>
  <c r="U45" i="15"/>
  <c r="T39" i="15"/>
  <c r="T40" i="15"/>
  <c r="T41" i="15"/>
  <c r="T42" i="15"/>
  <c r="T43" i="15"/>
  <c r="T44" i="15"/>
  <c r="T45" i="15"/>
  <c r="O45" i="15"/>
  <c r="T38" i="15"/>
  <c r="O41" i="16"/>
  <c r="P41" i="16"/>
  <c r="U39" i="16"/>
  <c r="P33" i="16"/>
  <c r="U41" i="16"/>
  <c r="P32" i="16"/>
  <c r="U43" i="16"/>
  <c r="P35" i="16"/>
  <c r="U40" i="16"/>
  <c r="P31" i="16"/>
  <c r="U42" i="16"/>
  <c r="P34" i="16"/>
  <c r="U44" i="16"/>
  <c r="U45" i="16"/>
  <c r="T39" i="16"/>
  <c r="T41" i="16"/>
  <c r="T43" i="16"/>
  <c r="T40" i="16"/>
  <c r="T42" i="16"/>
  <c r="T44" i="16"/>
  <c r="T45" i="16"/>
  <c r="O45" i="16"/>
  <c r="T38" i="16"/>
  <c r="P33" i="17"/>
  <c r="U41" i="17"/>
  <c r="P35" i="17"/>
  <c r="U40" i="17"/>
  <c r="P31" i="17"/>
  <c r="U42" i="17"/>
  <c r="P32" i="17"/>
  <c r="U43" i="17"/>
  <c r="P34" i="17"/>
  <c r="U44" i="17"/>
  <c r="T41" i="17"/>
  <c r="T40" i="17"/>
  <c r="T42" i="17"/>
  <c r="T43" i="17"/>
  <c r="T44" i="17"/>
  <c r="O45" i="17"/>
  <c r="T38" i="17"/>
  <c r="O41" i="18"/>
  <c r="P41" i="18"/>
  <c r="U39" i="18"/>
  <c r="P35" i="18"/>
  <c r="U40" i="18"/>
  <c r="P33" i="18"/>
  <c r="U41" i="18"/>
  <c r="P31" i="18"/>
  <c r="U42" i="18"/>
  <c r="P32" i="18"/>
  <c r="U43" i="18"/>
  <c r="P34" i="18"/>
  <c r="U44" i="18"/>
  <c r="U45" i="18"/>
  <c r="T39" i="18"/>
  <c r="T40" i="18"/>
  <c r="T41" i="18"/>
  <c r="T42" i="18"/>
  <c r="T43" i="18"/>
  <c r="T44" i="18"/>
  <c r="T45" i="18"/>
  <c r="O41" i="19"/>
  <c r="P41" i="19"/>
  <c r="U39" i="19"/>
  <c r="P35" i="19"/>
  <c r="U40" i="19"/>
  <c r="P33" i="19"/>
  <c r="U41" i="19"/>
  <c r="P31" i="19"/>
  <c r="U42" i="19"/>
  <c r="P32" i="19"/>
  <c r="U43" i="19"/>
  <c r="P34" i="19"/>
  <c r="U44" i="19"/>
  <c r="T39" i="19"/>
  <c r="T40" i="19"/>
  <c r="T41" i="19"/>
  <c r="T42" i="19"/>
  <c r="T43" i="19"/>
  <c r="T44" i="19"/>
  <c r="T45" i="19"/>
  <c r="O41" i="20"/>
  <c r="P41" i="20"/>
  <c r="U39" i="20"/>
  <c r="P35" i="20"/>
  <c r="U40" i="20"/>
  <c r="P33" i="20"/>
  <c r="U41" i="20"/>
  <c r="P31" i="20"/>
  <c r="U42" i="20"/>
  <c r="P32" i="20"/>
  <c r="U43" i="20"/>
  <c r="P34" i="20"/>
  <c r="U44" i="20"/>
  <c r="U45" i="20"/>
  <c r="T39" i="20"/>
  <c r="T40" i="20"/>
  <c r="T41" i="20"/>
  <c r="T42" i="20"/>
  <c r="T43" i="20"/>
  <c r="T44" i="20"/>
  <c r="T45" i="20"/>
  <c r="O45" i="20"/>
  <c r="T38" i="20"/>
  <c r="O41" i="21"/>
  <c r="P41" i="21"/>
  <c r="U39" i="21"/>
  <c r="P35" i="21"/>
  <c r="U40" i="21"/>
  <c r="P33" i="21"/>
  <c r="U41" i="21"/>
  <c r="P31" i="21"/>
  <c r="U42" i="21"/>
  <c r="P32" i="21"/>
  <c r="U43" i="21"/>
  <c r="P34" i="21"/>
  <c r="U44" i="21"/>
  <c r="T39" i="21"/>
  <c r="T44" i="21"/>
  <c r="T43" i="21"/>
  <c r="T42" i="21"/>
  <c r="T41" i="21"/>
  <c r="T40" i="21"/>
  <c r="T45" i="21"/>
  <c r="O45" i="21"/>
  <c r="T38" i="21"/>
  <c r="O41" i="22"/>
  <c r="P41" i="22"/>
  <c r="U39" i="22"/>
  <c r="P35" i="22"/>
  <c r="U40" i="22"/>
  <c r="P33" i="22"/>
  <c r="U41" i="22"/>
  <c r="P31" i="22"/>
  <c r="U42" i="22"/>
  <c r="P32" i="22"/>
  <c r="U43" i="22"/>
  <c r="P34" i="22"/>
  <c r="U44" i="22"/>
  <c r="U45" i="22"/>
  <c r="T39" i="22"/>
  <c r="T40" i="22"/>
  <c r="T41" i="22"/>
  <c r="T42" i="22"/>
  <c r="T43" i="22"/>
  <c r="T44" i="22"/>
  <c r="T45" i="22"/>
  <c r="O45" i="22"/>
  <c r="T38" i="22"/>
  <c r="O41" i="23"/>
  <c r="P41" i="23"/>
  <c r="U39" i="23"/>
  <c r="P35" i="23"/>
  <c r="U40" i="23"/>
  <c r="P33" i="23"/>
  <c r="U41" i="23"/>
  <c r="P31" i="23"/>
  <c r="U42" i="23"/>
  <c r="P32" i="23"/>
  <c r="U43" i="23"/>
  <c r="P34" i="23"/>
  <c r="U44" i="23"/>
  <c r="U45" i="23"/>
  <c r="T39" i="23"/>
  <c r="T40" i="23"/>
  <c r="T41" i="23"/>
  <c r="T42" i="23"/>
  <c r="T43" i="23"/>
  <c r="T44" i="23"/>
  <c r="T45" i="23"/>
  <c r="O45" i="23"/>
  <c r="T38" i="23"/>
  <c r="O41" i="24"/>
  <c r="P41" i="24"/>
  <c r="U39" i="24"/>
  <c r="P35" i="24"/>
  <c r="U40" i="24"/>
  <c r="P33" i="24"/>
  <c r="U41" i="24"/>
  <c r="P31" i="24"/>
  <c r="U42" i="24"/>
  <c r="P32" i="24"/>
  <c r="U43" i="24"/>
  <c r="P34" i="24"/>
  <c r="U44" i="24"/>
  <c r="U45" i="24"/>
  <c r="T39" i="24"/>
  <c r="T40" i="24"/>
  <c r="T41" i="24"/>
  <c r="T42" i="24"/>
  <c r="T43" i="24"/>
  <c r="T44" i="24"/>
  <c r="T45" i="24"/>
  <c r="O45" i="24"/>
  <c r="T38" i="24"/>
  <c r="O41" i="25"/>
  <c r="P41" i="25"/>
  <c r="U39" i="25"/>
  <c r="P32" i="25"/>
  <c r="U43" i="25"/>
  <c r="P35" i="25"/>
  <c r="U40" i="25"/>
  <c r="P33" i="25"/>
  <c r="U41" i="25"/>
  <c r="P31" i="25"/>
  <c r="U42" i="25"/>
  <c r="P34" i="25"/>
  <c r="U44" i="25"/>
  <c r="U45" i="25"/>
  <c r="T39" i="25"/>
  <c r="T43" i="25"/>
  <c r="T40" i="25"/>
  <c r="T41" i="25"/>
  <c r="T42" i="25"/>
  <c r="T44" i="25"/>
  <c r="T45" i="25"/>
  <c r="O45" i="25"/>
  <c r="T38" i="25"/>
  <c r="O41" i="26"/>
  <c r="P41" i="26"/>
  <c r="U39" i="26"/>
  <c r="P35" i="26"/>
  <c r="U40" i="26"/>
  <c r="P34" i="26"/>
  <c r="U44" i="26"/>
  <c r="P31" i="26"/>
  <c r="U42" i="26"/>
  <c r="P32" i="26"/>
  <c r="U43" i="26"/>
  <c r="T39" i="26"/>
  <c r="T40" i="26"/>
  <c r="T44" i="26"/>
  <c r="T42" i="26"/>
  <c r="T43" i="26"/>
  <c r="O41" i="27"/>
  <c r="P41" i="27"/>
  <c r="U39" i="27"/>
  <c r="P35" i="27"/>
  <c r="U40" i="27"/>
  <c r="P33" i="27"/>
  <c r="U41" i="27"/>
  <c r="P31" i="27"/>
  <c r="U42" i="27"/>
  <c r="P32" i="27"/>
  <c r="U43" i="27"/>
  <c r="P34" i="27"/>
  <c r="U44" i="27"/>
  <c r="T39" i="27"/>
  <c r="T40" i="27"/>
  <c r="T41" i="27"/>
  <c r="T42" i="27"/>
  <c r="T43" i="27"/>
  <c r="T44" i="27"/>
  <c r="T45" i="27"/>
  <c r="O41" i="2"/>
  <c r="P41" i="2"/>
  <c r="U39" i="2"/>
  <c r="P35" i="2"/>
  <c r="U40" i="2"/>
  <c r="P33" i="2"/>
  <c r="U41" i="2"/>
  <c r="P31" i="2"/>
  <c r="U42" i="2"/>
  <c r="P32" i="2"/>
  <c r="U43" i="2"/>
  <c r="P34" i="2"/>
  <c r="U44" i="2"/>
  <c r="U45" i="2"/>
  <c r="T39" i="2"/>
  <c r="T40" i="2"/>
  <c r="T41" i="2"/>
  <c r="T42" i="2"/>
  <c r="T43" i="2"/>
  <c r="T44" i="2"/>
  <c r="T45" i="2"/>
  <c r="O45" i="2"/>
  <c r="T38" i="2"/>
  <c r="P38" i="4"/>
  <c r="P38" i="5"/>
  <c r="P38" i="6"/>
  <c r="P38" i="8"/>
  <c r="P38" i="10"/>
  <c r="P38" i="11"/>
  <c r="P38" i="12"/>
  <c r="P38" i="13"/>
  <c r="P38" i="14"/>
  <c r="P38" i="15"/>
  <c r="P38" i="16"/>
  <c r="P38" i="17"/>
  <c r="P38" i="18"/>
  <c r="P38" i="19"/>
  <c r="P38" i="20"/>
  <c r="P38" i="22"/>
  <c r="P38" i="23"/>
  <c r="P38" i="24"/>
  <c r="P38" i="25"/>
  <c r="P38" i="2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L43" i="4"/>
  <c r="M43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L43" i="5"/>
  <c r="M43" i="5"/>
  <c r="O43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L43" i="6"/>
  <c r="M43" i="6"/>
  <c r="O43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L43" i="10"/>
  <c r="M43" i="10"/>
  <c r="O43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L43" i="11"/>
  <c r="M43" i="11"/>
  <c r="O43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L43" i="12"/>
  <c r="M43" i="12"/>
  <c r="O43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L43" i="13"/>
  <c r="M43" i="13"/>
  <c r="O43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L43" i="14"/>
  <c r="M43" i="14"/>
  <c r="O43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L43" i="15"/>
  <c r="M43" i="15"/>
  <c r="O43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B41" i="15"/>
  <c r="L43" i="16"/>
  <c r="M43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B41" i="16"/>
  <c r="M41" i="17"/>
  <c r="L41" i="17"/>
  <c r="K41" i="17"/>
  <c r="J41" i="17"/>
  <c r="I41" i="17"/>
  <c r="H41" i="17"/>
  <c r="G41" i="17"/>
  <c r="F41" i="17"/>
  <c r="E41" i="17"/>
  <c r="D41" i="17"/>
  <c r="C41" i="17"/>
  <c r="N41" i="18"/>
  <c r="M41" i="18"/>
  <c r="L41" i="18"/>
  <c r="K41" i="18"/>
  <c r="J41" i="18"/>
  <c r="I41" i="18"/>
  <c r="H41" i="18"/>
  <c r="G41" i="18"/>
  <c r="F41" i="18"/>
  <c r="E41" i="18"/>
  <c r="D41" i="18"/>
  <c r="C41" i="18"/>
  <c r="B41" i="18"/>
  <c r="N41" i="19"/>
  <c r="M41" i="19"/>
  <c r="L41" i="19"/>
  <c r="K41" i="19"/>
  <c r="J41" i="19"/>
  <c r="I41" i="19"/>
  <c r="H41" i="19"/>
  <c r="G41" i="19"/>
  <c r="F41" i="19"/>
  <c r="E41" i="19"/>
  <c r="D41" i="19"/>
  <c r="C41" i="19"/>
  <c r="B41" i="19"/>
  <c r="L43" i="20"/>
  <c r="M43" i="20"/>
  <c r="O43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B41" i="20"/>
  <c r="N41" i="21"/>
  <c r="M41" i="21"/>
  <c r="L41" i="21"/>
  <c r="K41" i="21"/>
  <c r="J41" i="21"/>
  <c r="I41" i="21"/>
  <c r="H41" i="21"/>
  <c r="G41" i="21"/>
  <c r="F41" i="21"/>
  <c r="E41" i="21"/>
  <c r="D41" i="21"/>
  <c r="C41" i="21"/>
  <c r="B41" i="21"/>
  <c r="L43" i="22"/>
  <c r="M43" i="22"/>
  <c r="O43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B41" i="22"/>
  <c r="L43" i="23"/>
  <c r="M43" i="23"/>
  <c r="O43" i="23"/>
  <c r="N41" i="23"/>
  <c r="M41" i="23"/>
  <c r="L41" i="23"/>
  <c r="K41" i="23"/>
  <c r="J41" i="23"/>
  <c r="I41" i="23"/>
  <c r="H41" i="23"/>
  <c r="G41" i="23"/>
  <c r="F41" i="23"/>
  <c r="E41" i="23"/>
  <c r="D41" i="23"/>
  <c r="C41" i="23"/>
  <c r="B41" i="23"/>
  <c r="L43" i="24"/>
  <c r="M43" i="24"/>
  <c r="O43" i="24"/>
  <c r="N41" i="24"/>
  <c r="M41" i="24"/>
  <c r="L41" i="24"/>
  <c r="K41" i="24"/>
  <c r="J41" i="24"/>
  <c r="I41" i="24"/>
  <c r="H41" i="24"/>
  <c r="G41" i="24"/>
  <c r="F41" i="24"/>
  <c r="E41" i="24"/>
  <c r="D41" i="24"/>
  <c r="C41" i="24"/>
  <c r="B41" i="24"/>
  <c r="L43" i="25"/>
  <c r="M43" i="25"/>
  <c r="O43" i="25"/>
  <c r="N41" i="25"/>
  <c r="M41" i="25"/>
  <c r="L41" i="25"/>
  <c r="K41" i="25"/>
  <c r="J41" i="25"/>
  <c r="I41" i="25"/>
  <c r="H41" i="25"/>
  <c r="G41" i="25"/>
  <c r="F41" i="25"/>
  <c r="E41" i="25"/>
  <c r="D41" i="25"/>
  <c r="C41" i="25"/>
  <c r="B41" i="25"/>
  <c r="L43" i="26"/>
  <c r="M43" i="26"/>
  <c r="N41" i="26"/>
  <c r="M41" i="26"/>
  <c r="L41" i="26"/>
  <c r="K41" i="26"/>
  <c r="J41" i="26"/>
  <c r="I41" i="26"/>
  <c r="H41" i="26"/>
  <c r="G41" i="26"/>
  <c r="F41" i="26"/>
  <c r="E41" i="26"/>
  <c r="D41" i="26"/>
  <c r="C41" i="26"/>
  <c r="B41" i="26"/>
  <c r="N41" i="27"/>
  <c r="M41" i="27"/>
  <c r="L41" i="27"/>
  <c r="K41" i="27"/>
  <c r="J41" i="27"/>
  <c r="I41" i="27"/>
  <c r="H41" i="27"/>
  <c r="G41" i="27"/>
  <c r="F41" i="27"/>
  <c r="E41" i="27"/>
  <c r="D41" i="27"/>
  <c r="C41" i="27"/>
  <c r="B41" i="27"/>
  <c r="N41" i="2"/>
  <c r="M41" i="2"/>
  <c r="L41" i="2"/>
  <c r="K41" i="2"/>
  <c r="J41" i="2"/>
  <c r="I41" i="2"/>
  <c r="H41" i="2"/>
  <c r="G41" i="2"/>
  <c r="F41" i="2"/>
  <c r="E41" i="2"/>
  <c r="D41" i="2"/>
  <c r="C41" i="2"/>
  <c r="B41" i="2"/>
  <c r="J41" i="28"/>
  <c r="L41" i="28"/>
  <c r="U45" i="27"/>
  <c r="L43" i="27"/>
  <c r="P38" i="27"/>
  <c r="P38" i="9"/>
  <c r="T45" i="9"/>
  <c r="L43" i="9"/>
  <c r="L43" i="2"/>
  <c r="M43" i="2"/>
  <c r="T21" i="25"/>
  <c r="M43" i="27"/>
  <c r="T21" i="27"/>
  <c r="T21" i="19"/>
  <c r="U45" i="19"/>
  <c r="K41" i="28"/>
  <c r="U45" i="9"/>
  <c r="T44" i="28"/>
  <c r="T21" i="9"/>
  <c r="M43" i="9"/>
  <c r="L43" i="8"/>
  <c r="T21" i="8"/>
  <c r="M43" i="8"/>
  <c r="O43" i="8"/>
  <c r="O43" i="27"/>
  <c r="M43" i="19"/>
  <c r="O43" i="2"/>
  <c r="O43" i="4"/>
  <c r="O43" i="19"/>
  <c r="O43" i="9"/>
  <c r="L43" i="7"/>
  <c r="T21" i="7"/>
  <c r="M43" i="7"/>
  <c r="O43" i="26"/>
  <c r="O43" i="7"/>
  <c r="N45" i="18"/>
  <c r="O45" i="18"/>
  <c r="T38" i="18"/>
  <c r="L43" i="3"/>
  <c r="M43" i="3"/>
  <c r="O43" i="3"/>
  <c r="T21" i="3"/>
  <c r="L43" i="17"/>
  <c r="O41" i="17"/>
  <c r="P41" i="17"/>
  <c r="U39" i="17"/>
  <c r="U45" i="17"/>
  <c r="T39" i="17"/>
  <c r="T45" i="17"/>
  <c r="N41" i="17"/>
  <c r="O41" i="28"/>
  <c r="T41" i="28"/>
  <c r="O39" i="3"/>
  <c r="P33" i="3"/>
  <c r="U41" i="3"/>
  <c r="T45" i="3"/>
  <c r="T45" i="28"/>
  <c r="P38" i="21"/>
  <c r="U45" i="21"/>
  <c r="L43" i="21"/>
  <c r="T21" i="21"/>
  <c r="M43" i="21"/>
  <c r="B46" i="26"/>
  <c r="O45" i="27"/>
  <c r="T38" i="27"/>
  <c r="O45" i="10"/>
  <c r="T38" i="10"/>
  <c r="B45" i="28"/>
  <c r="E41" i="28"/>
  <c r="B41" i="28"/>
  <c r="C41" i="28"/>
  <c r="T46" i="28"/>
  <c r="B46" i="19"/>
  <c r="N41" i="28"/>
  <c r="I41" i="28"/>
  <c r="F41" i="28"/>
  <c r="M41" i="28"/>
  <c r="O45" i="8"/>
  <c r="T38" i="8"/>
  <c r="M43" i="17"/>
  <c r="T21" i="17"/>
  <c r="O45" i="28"/>
  <c r="T40" i="28"/>
  <c r="G41" i="28"/>
  <c r="H41" i="28"/>
  <c r="D41" i="28"/>
  <c r="P31" i="3"/>
  <c r="U42" i="3"/>
  <c r="P34" i="3"/>
  <c r="U44" i="3"/>
  <c r="P31" i="28"/>
  <c r="U44" i="28"/>
  <c r="P32" i="3"/>
  <c r="U43" i="3"/>
  <c r="P41" i="3"/>
  <c r="U39" i="3"/>
  <c r="P35" i="3"/>
  <c r="U40" i="3"/>
  <c r="U45" i="3"/>
  <c r="T42" i="28"/>
  <c r="O43" i="21"/>
  <c r="O43" i="17"/>
  <c r="O43" i="16"/>
  <c r="T21" i="18"/>
  <c r="M43" i="18"/>
  <c r="L43" i="18"/>
  <c r="P35" i="28"/>
  <c r="U42" i="28"/>
  <c r="P32" i="28"/>
  <c r="U45" i="28"/>
  <c r="P34" i="28"/>
  <c r="U46" i="28"/>
  <c r="P41" i="28"/>
  <c r="U41" i="28"/>
  <c r="P38" i="3"/>
  <c r="T41" i="26"/>
  <c r="T45" i="26"/>
  <c r="P33" i="26"/>
  <c r="T21" i="28"/>
  <c r="O43" i="18"/>
  <c r="U41" i="26"/>
  <c r="U45" i="26"/>
  <c r="P38" i="26"/>
  <c r="T43" i="28"/>
  <c r="T47" i="28"/>
  <c r="P33" i="28"/>
  <c r="O43" i="28"/>
  <c r="U43" i="28"/>
  <c r="U47" i="28"/>
  <c r="P38" i="28"/>
</calcChain>
</file>

<file path=xl/comments1.xml><?xml version="1.0" encoding="utf-8"?>
<comments xmlns="http://schemas.openxmlformats.org/spreadsheetml/2006/main">
  <authors>
    <author>Kaj</author>
    <author>www.statistikdatabasen.scb.se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0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1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2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19" author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<sst xmlns="http://schemas.openxmlformats.org/spreadsheetml/2006/main" count="2700" uniqueCount="97">
  <si>
    <t>Elproduktion och bränsleanvändning (MWh) efter tid, region, produktionssätt och bränsletyp</t>
  </si>
  <si>
    <t>0114 Upplands Väsby</t>
  </si>
  <si>
    <t>Elproduktion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</si>
  <si>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</si>
  <si>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</si>
  <si>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</si>
  <si>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</si>
  <si>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</si>
  <si>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</si>
  <si>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</si>
  <si>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</si>
  <si>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</si>
  <si>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</si>
  <si>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</si>
  <si>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</si>
  <si>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</si>
  <si>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</si>
  <si>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</si>
  <si>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</si>
  <si>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</si>
  <si>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</si>
  <si>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</si>
  <si>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</si>
  <si>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</si>
  <si>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</si>
  <si>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</si>
  <si>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</si>
  <si>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</si>
  <si>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</si>
  <si>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</si>
  <si>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</si>
  <si>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</si>
  <si>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</si>
  <si>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</si>
  <si>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</si>
  <si>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</si>
  <si>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</si>
  <si>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</si>
  <si>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</si>
  <si>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</si>
  <si>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</si>
  <si>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</si>
  <si>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</si>
  <si>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</si>
  <si>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</si>
  <si>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</si>
  <si>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</si>
  <si>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</si>
  <si>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</si>
  <si>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</si>
  <si>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</si>
  <si>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</si>
  <si>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</si>
  <si>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</si>
  <si>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</si>
  <si>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</si>
  <si>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</si>
  <si>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</si>
  <si>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</si>
  <si>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0115 Vallentuna</t>
  </si>
  <si>
    <t>0117 Österåker</t>
  </si>
  <si>
    <t>0120 Värmdö</t>
  </si>
  <si>
    <t>0123 Järfälla</t>
  </si>
  <si>
    <t>0125 Ekerö</t>
  </si>
  <si>
    <t>0126 Huddinge</t>
  </si>
  <si>
    <t>0127 Botkyrka</t>
  </si>
  <si>
    <t>0128 Salem</t>
  </si>
  <si>
    <t>0136 Haninge</t>
  </si>
  <si>
    <t>0138 Tyresö</t>
  </si>
  <si>
    <t>0139 Upplands-Bro</t>
  </si>
  <si>
    <t>0140 Nykvarn</t>
  </si>
  <si>
    <t>0160 Täby</t>
  </si>
  <si>
    <t>0162 Danderyd</t>
  </si>
  <si>
    <t>0163 Sollentuna</t>
  </si>
  <si>
    <t>0180 Stockholm</t>
  </si>
  <si>
    <t>0181 Södertälje</t>
  </si>
  <si>
    <t>0182 Nacka</t>
  </si>
  <si>
    <t>0183 Sundbyberg</t>
  </si>
  <si>
    <t>0184 Solna</t>
  </si>
  <si>
    <t>0186 Lidingö</t>
  </si>
  <si>
    <t>0187 Vaxholm</t>
  </si>
  <si>
    <t>0188 Norrtälje</t>
  </si>
  <si>
    <t>0191 Sigtuna</t>
  </si>
  <si>
    <t>0192 Nynäshamn</t>
  </si>
  <si>
    <t>Biobränslen</t>
  </si>
  <si>
    <t>Stockholms län</t>
  </si>
  <si>
    <t>IMPORT</t>
  </si>
  <si>
    <t>export</t>
  </si>
  <si>
    <t>RT-flis</t>
  </si>
  <si>
    <t/>
  </si>
  <si>
    <t>Export</t>
  </si>
  <si>
    <t>Ånga</t>
  </si>
  <si>
    <t>Bränslegas</t>
  </si>
  <si>
    <t>Förluster i %</t>
  </si>
  <si>
    <t>Olivkärnekross</t>
  </si>
  <si>
    <t>Solceller</t>
  </si>
  <si>
    <t>Fossila gaser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</si>
</sst>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* #,##0.00_);_(* \(#,##0.00\);_(* &quot;-&quot;??_);_(@_)"/>
    <numFmt numFmtId="165" formatCode="#,##0.0"/>
    <numFmt numFmtId="166" formatCode="0.0%"/>
    <numFmt numFmtId="167" formatCode="0.0"/>
    <numFmt numFmtId="168" formatCode="_(* #,##0_);_(* \(#,##0\);_(* &quot;-&quot;??_);_(@_)"/>
    <numFmt numFmtId="169" formatCode="#,##0.000"/>
    <numFmt numFmtId="170" formatCode="0.000"/>
  </numFmts>
  <fonts count="3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2"/>
      <color rgb="FF000000"/>
      <name val="Calibri"/>
      <family val="2"/>
    </font>
    <font>
      <i/>
      <sz val="11"/>
      <color rgb="FF000000"/>
      <name val="Calibri"/>
      <family val="2"/>
    </font>
    <font>
      <b/>
      <sz val="9"/>
      <color indexed="81"/>
      <name val="Calibri"/>
      <family val="2"/>
    </font>
    <font>
      <sz val="9"/>
      <color indexed="81"/>
      <name val="Calibri"/>
      <family val="2"/>
    </font>
    <font>
      <sz val="8"/>
      <color rgb="FF000000"/>
      <name val="Tahoma"/>
      <family val="2"/>
    </font>
    <font>
      <u/>
      <sz val="12"/>
      <color theme="1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name val="Calibri"/>
      <family val="2"/>
    </font>
    <font>
      <sz val="11"/>
      <color indexed="8"/>
      <name val="Calibri"/>
      <family val="2"/>
    </font>
    <font>
      <u/>
      <sz val="11"/>
      <color indexed="12"/>
      <name val="Calibri"/>
      <family val="2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b/>
      <u/>
      <sz val="11"/>
      <color rgb="FF000000"/>
      <name val="Calibri"/>
      <family val="2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u/>
      <sz val="11"/>
      <color rgb="FF000000"/>
      <name val="Calibri"/>
      <family val="2"/>
    </font>
    <font>
      <sz val="12"/>
      <name val="Calibri"/>
      <family val="2"/>
      <scheme val="minor"/>
    </font>
    <font>
      <u/>
      <sz val="12"/>
      <color rgb="FF000000"/>
      <name val="Calibri"/>
      <family val="2"/>
    </font>
    <font>
      <u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10">
    <xf numFmtId="0" fontId="0" fillId="0" borderId="0"/>
    <xf numFmtId="0" fontId="4" fillId="0" borderId="0" applyNumberFormat="0" applyBorder="0" applyAlignment="0"/>
    <xf numFmtId="9" fontId="4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95">
    <xf numFmtId="0" fontId="0" fillId="0" borderId="0" xfId="0"/>
    <xf numFmtId="0" fontId="5" fillId="0" borderId="0" xfId="1" applyFont="1" applyFill="1" applyProtection="1"/>
    <xf numFmtId="0" fontId="4" fillId="0" borderId="0" xfId="1" applyFill="1" applyProtection="1"/>
    <xf numFmtId="0" fontId="6" fillId="0" borderId="0" xfId="1" applyFont="1"/>
    <xf numFmtId="0" fontId="7" fillId="0" borderId="0" xfId="0" applyFont="1" applyFill="1" applyProtection="1"/>
    <xf numFmtId="0" fontId="7" fillId="0" borderId="0" xfId="1" applyFont="1" applyFill="1" applyProtection="1"/>
    <xf numFmtId="3" fontId="4" fillId="0" borderId="0" xfId="1" applyNumberFormat="1"/>
    <xf numFmtId="0" fontId="4" fillId="0" borderId="0" xfId="1"/>
    <xf numFmtId="3" fontId="0" fillId="0" borderId="0" xfId="0" applyNumberFormat="1" applyFill="1" applyProtection="1"/>
    <xf numFmtId="3" fontId="4" fillId="0" borderId="0" xfId="1" applyNumberFormat="1" applyFill="1" applyProtection="1"/>
    <xf numFmtId="3" fontId="8" fillId="0" borderId="0" xfId="1" applyNumberFormat="1" applyFont="1" applyFill="1" applyProtection="1"/>
    <xf numFmtId="165" fontId="4" fillId="0" borderId="0" xfId="1" applyNumberFormat="1"/>
    <xf numFmtId="4" fontId="4" fillId="0" borderId="0" xfId="1" applyNumberFormat="1"/>
    <xf numFmtId="166" fontId="4" fillId="0" borderId="0" xfId="1" applyNumberFormat="1"/>
    <xf numFmtId="10" fontId="4" fillId="0" borderId="0" xfId="1" applyNumberFormat="1"/>
    <xf numFmtId="3" fontId="0" fillId="0" borderId="0" xfId="0" applyNumberFormat="1"/>
    <xf numFmtId="3" fontId="0" fillId="0" borderId="0" xfId="0" applyNumberFormat="1" applyAlignment="1">
      <alignment horizontal="right"/>
    </xf>
    <xf numFmtId="166" fontId="9" fillId="0" borderId="0" xfId="1" applyNumberFormat="1" applyFont="1"/>
    <xf numFmtId="166" fontId="6" fillId="0" borderId="0" xfId="1" applyNumberFormat="1" applyFont="1"/>
    <xf numFmtId="167" fontId="4" fillId="0" borderId="0" xfId="1" applyNumberFormat="1"/>
    <xf numFmtId="2" fontId="4" fillId="0" borderId="0" xfId="1" applyNumberFormat="1"/>
    <xf numFmtId="0" fontId="10" fillId="0" borderId="0" xfId="1" applyFont="1"/>
    <xf numFmtId="3" fontId="10" fillId="0" borderId="0" xfId="1" applyNumberFormat="1" applyFont="1"/>
    <xf numFmtId="3" fontId="9" fillId="0" borderId="0" xfId="1" applyNumberFormat="1" applyFont="1"/>
    <xf numFmtId="3" fontId="9" fillId="2" borderId="0" xfId="1" applyNumberFormat="1" applyFont="1" applyFill="1"/>
    <xf numFmtId="3" fontId="11" fillId="2" borderId="0" xfId="1" applyNumberFormat="1" applyFont="1" applyFill="1"/>
    <xf numFmtId="3" fontId="4" fillId="2" borderId="0" xfId="1" applyNumberFormat="1" applyFill="1"/>
    <xf numFmtId="0" fontId="0" fillId="0" borderId="0" xfId="0" applyFill="1" applyProtection="1"/>
    <xf numFmtId="1" fontId="4" fillId="0" borderId="0" xfId="1" applyNumberFormat="1"/>
    <xf numFmtId="166" fontId="9" fillId="0" borderId="0" xfId="2" applyNumberFormat="1" applyFont="1"/>
    <xf numFmtId="166" fontId="3" fillId="0" borderId="0" xfId="2" applyNumberFormat="1" applyFont="1"/>
    <xf numFmtId="3" fontId="11" fillId="0" borderId="0" xfId="1" applyNumberFormat="1" applyFont="1"/>
    <xf numFmtId="9" fontId="11" fillId="0" borderId="0" xfId="2" applyFont="1"/>
    <xf numFmtId="0" fontId="4" fillId="0" borderId="0" xfId="1" applyAlignment="1">
      <alignment horizontal="right"/>
    </xf>
    <xf numFmtId="3" fontId="4" fillId="0" borderId="0" xfId="1" applyNumberFormat="1" applyAlignment="1">
      <alignment horizontal="right"/>
    </xf>
    <xf numFmtId="9" fontId="11" fillId="0" borderId="0" xfId="2" applyNumberFormat="1" applyFont="1"/>
    <xf numFmtId="9" fontId="3" fillId="0" borderId="0" xfId="2" applyFont="1"/>
    <xf numFmtId="0" fontId="13" fillId="0" borderId="0" xfId="0" applyFont="1"/>
    <xf numFmtId="3" fontId="14" fillId="0" borderId="0" xfId="0" applyNumberFormat="1" applyFont="1"/>
    <xf numFmtId="3" fontId="14" fillId="0" borderId="0" xfId="0" applyNumberFormat="1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/>
    <xf numFmtId="3" fontId="16" fillId="0" borderId="0" xfId="1" applyNumberFormat="1" applyFont="1"/>
    <xf numFmtId="3" fontId="17" fillId="0" borderId="0" xfId="1" applyNumberFormat="1" applyFont="1" applyFill="1" applyProtection="1"/>
    <xf numFmtId="0" fontId="17" fillId="0" borderId="0" xfId="1" applyFont="1" applyFill="1" applyProtection="1"/>
    <xf numFmtId="166" fontId="4" fillId="0" borderId="0" xfId="1" applyNumberFormat="1" applyFill="1" applyProtection="1"/>
    <xf numFmtId="3" fontId="15" fillId="0" borderId="0" xfId="0" applyNumberFormat="1" applyFont="1"/>
    <xf numFmtId="166" fontId="2" fillId="0" borderId="0" xfId="2" applyNumberFormat="1" applyFont="1"/>
    <xf numFmtId="3" fontId="0" fillId="0" borderId="0" xfId="1" applyNumberFormat="1" applyFont="1"/>
    <xf numFmtId="0" fontId="14" fillId="0" borderId="0" xfId="3" applyFont="1"/>
    <xf numFmtId="9" fontId="2" fillId="0" borderId="0" xfId="2" applyFont="1"/>
    <xf numFmtId="0" fontId="4" fillId="0" borderId="0" xfId="1" applyFont="1" applyFill="1" applyProtection="1"/>
    <xf numFmtId="3" fontId="0" fillId="0" borderId="0" xfId="0" applyNumberFormat="1" applyFill="1" applyAlignment="1" applyProtection="1">
      <alignment horizontal="right"/>
    </xf>
    <xf numFmtId="3" fontId="21" fillId="0" borderId="0" xfId="0" applyNumberFormat="1" applyFont="1" applyFill="1" applyProtection="1"/>
    <xf numFmtId="3" fontId="7" fillId="0" borderId="0" xfId="1" applyNumberFormat="1" applyFont="1"/>
    <xf numFmtId="3" fontId="22" fillId="0" borderId="0" xfId="0" applyNumberFormat="1" applyFont="1" applyFill="1" applyProtection="1"/>
    <xf numFmtId="0" fontId="23" fillId="0" borderId="0" xfId="1" applyFont="1"/>
    <xf numFmtId="168" fontId="13" fillId="0" borderId="0" xfId="4" applyNumberFormat="1" applyFont="1" applyAlignment="1">
      <alignment horizontal="right"/>
    </xf>
    <xf numFmtId="168" fontId="14" fillId="0" borderId="0" xfId="4" applyNumberFormat="1" applyFont="1" applyAlignment="1">
      <alignment horizontal="right"/>
    </xf>
    <xf numFmtId="3" fontId="4" fillId="0" borderId="0" xfId="1" quotePrefix="1" applyNumberFormat="1" applyFill="1" applyProtection="1"/>
    <xf numFmtId="3" fontId="26" fillId="0" borderId="0" xfId="0" applyNumberFormat="1" applyFont="1" applyFill="1" applyAlignment="1" applyProtection="1">
      <alignment horizontal="right"/>
    </xf>
    <xf numFmtId="3" fontId="21" fillId="0" borderId="0" xfId="0" applyNumberFormat="1" applyFont="1" applyFill="1" applyAlignment="1" applyProtection="1">
      <alignment horizontal="right"/>
    </xf>
    <xf numFmtId="3" fontId="27" fillId="0" borderId="0" xfId="0" applyNumberFormat="1" applyFont="1" applyFill="1" applyAlignment="1" applyProtection="1">
      <alignment horizontal="right"/>
    </xf>
    <xf numFmtId="3" fontId="26" fillId="0" borderId="0" xfId="0" applyNumberFormat="1" applyFont="1" applyFill="1" applyProtection="1"/>
    <xf numFmtId="169" fontId="0" fillId="0" borderId="0" xfId="0" applyNumberFormat="1"/>
    <xf numFmtId="0" fontId="29" fillId="0" borderId="0" xfId="0" applyFont="1" applyFill="1" applyProtection="1"/>
    <xf numFmtId="3" fontId="27" fillId="0" borderId="0" xfId="0" applyNumberFormat="1" applyFont="1" applyFill="1" applyProtection="1"/>
    <xf numFmtId="0" fontId="4" fillId="0" borderId="0" xfId="0" applyFont="1" applyFill="1" applyProtection="1"/>
    <xf numFmtId="3" fontId="30" fillId="0" borderId="0" xfId="0" applyNumberFormat="1" applyFont="1" applyFill="1" applyAlignment="1" applyProtection="1">
      <alignment horizontal="right"/>
    </xf>
    <xf numFmtId="3" fontId="31" fillId="0" borderId="0" xfId="0" applyNumberFormat="1" applyFont="1" applyFill="1" applyAlignment="1" applyProtection="1">
      <alignment horizontal="right"/>
    </xf>
    <xf numFmtId="3" fontId="32" fillId="0" borderId="0" xfId="0" applyNumberFormat="1" applyFont="1" applyFill="1" applyAlignment="1" applyProtection="1">
      <alignment horizontal="right"/>
    </xf>
    <xf numFmtId="3" fontId="30" fillId="0" borderId="0" xfId="0" applyNumberFormat="1" applyFont="1" applyFill="1" applyProtection="1"/>
    <xf numFmtId="3" fontId="31" fillId="0" borderId="0" xfId="0" applyNumberFormat="1" applyFont="1" applyFill="1" applyProtection="1"/>
    <xf numFmtId="9" fontId="4" fillId="0" borderId="0" xfId="8" applyFont="1" applyFill="1"/>
    <xf numFmtId="168" fontId="14" fillId="0" borderId="0" xfId="0" applyNumberFormat="1" applyFont="1"/>
    <xf numFmtId="3" fontId="33" fillId="0" borderId="0" xfId="1" applyNumberFormat="1" applyFont="1"/>
    <xf numFmtId="3" fontId="34" fillId="0" borderId="0" xfId="0" applyNumberFormat="1" applyFont="1" applyFill="1" applyProtection="1"/>
    <xf numFmtId="168" fontId="14" fillId="0" borderId="0" xfId="4" applyNumberFormat="1" applyFont="1"/>
    <xf numFmtId="3" fontId="6" fillId="0" borderId="0" xfId="1" applyNumberFormat="1" applyFont="1"/>
    <xf numFmtId="170" fontId="4" fillId="0" borderId="0" xfId="1" applyNumberFormat="1" applyFill="1" applyProtection="1"/>
    <xf numFmtId="1" fontId="4" fillId="0" borderId="0" xfId="1" applyNumberFormat="1" applyFill="1" applyProtection="1"/>
    <xf numFmtId="3" fontId="33" fillId="0" borderId="0" xfId="1" applyNumberFormat="1" applyFont="1" applyFill="1" applyProtection="1"/>
    <xf numFmtId="3" fontId="0" fillId="0" borderId="0" xfId="0" applyNumberFormat="1" applyFont="1" applyFill="1" applyProtection="1"/>
    <xf numFmtId="9" fontId="28" fillId="0" borderId="0" xfId="8" applyFont="1" applyFill="1"/>
    <xf numFmtId="3" fontId="4" fillId="0" borderId="0" xfId="1" applyNumberFormat="1" applyFill="1"/>
    <xf numFmtId="3" fontId="36" fillId="0" borderId="0" xfId="0" applyNumberFormat="1" applyFont="1" applyAlignment="1">
      <alignment horizontal="right"/>
    </xf>
    <xf numFmtId="3" fontId="22" fillId="0" borderId="0" xfId="0" applyNumberFormat="1" applyFont="1" applyFill="1" applyAlignment="1" applyProtection="1">
      <alignment horizontal="right"/>
    </xf>
    <xf numFmtId="3" fontId="23" fillId="0" borderId="0" xfId="1" applyNumberFormat="1" applyFont="1"/>
    <xf numFmtId="3" fontId="35" fillId="0" borderId="0" xfId="1" applyNumberFormat="1" applyFont="1"/>
    <xf numFmtId="3" fontId="28" fillId="0" borderId="0" xfId="1" applyNumberFormat="1" applyFont="1" applyFill="1" applyProtection="1"/>
    <xf numFmtId="3" fontId="7" fillId="0" borderId="0" xfId="0" applyNumberFormat="1" applyFont="1" applyFill="1" applyProtection="1"/>
    <xf numFmtId="168" fontId="26" fillId="0" borderId="0" xfId="9" applyNumberFormat="1" applyFont="1" applyFill="1"/>
    <xf numFmtId="3" fontId="28" fillId="0" borderId="0" xfId="1" applyNumberFormat="1" applyFont="1" applyFill="1"/>
    <xf numFmtId="168" fontId="26" fillId="0" borderId="0" xfId="9" applyNumberFormat="1" applyFont="1"/>
  </cellXfs>
  <cellStyles count="10">
    <cellStyle name="Comma 2" xfId="9"/>
    <cellStyle name="Hyperlink 2" xfId="6"/>
    <cellStyle name="Komma" xfId="4" builtinId="3"/>
    <cellStyle name="Normal" xfId="0" builtinId="0"/>
    <cellStyle name="Normal 2" xfId="1"/>
    <cellStyle name="Normal 3" xfId="3"/>
    <cellStyle name="Normal 4" xfId="5"/>
    <cellStyle name="Percent 2" xfId="2"/>
    <cellStyle name="Percent 3" xfId="7"/>
    <cellStyle name="Procent" xfId="8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1" Type="http://schemas.openxmlformats.org/officeDocument/2006/relationships/worksheet" Target="worksheets/sheet21.xml"/><Relationship Id="rId3" Type="http://schemas.openxmlformats.org/officeDocument/2006/relationships/worksheet" Target="worksheets/sheet3.xml"/><Relationship Id="rId34" Type="http://schemas.openxmlformats.org/officeDocument/2006/relationships/customXml" Target="../customXml/item3.xml"/><Relationship Id="rId25" Type="http://schemas.openxmlformats.org/officeDocument/2006/relationships/worksheet" Target="worksheets/sheet2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7" Type="http://schemas.openxmlformats.org/officeDocument/2006/relationships/worksheet" Target="worksheets/sheet7.xml"/><Relationship Id="rId33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24" Type="http://schemas.openxmlformats.org/officeDocument/2006/relationships/worksheet" Target="worksheets/sheet24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32" Type="http://schemas.openxmlformats.org/officeDocument/2006/relationships/customXml" Target="../customXml/item1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3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9" Type="http://schemas.openxmlformats.org/officeDocument/2006/relationships/worksheet" Target="worksheets/sheet9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vmlDrawing" Target="../drawings/vmlDrawing10.vml"/><Relationship Id="rId3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vmlDrawing" Target="../drawings/vmlDrawing11.vml"/><Relationship Id="rId3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4.vml"/><Relationship Id="rId2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vmlDrawing" Target="../drawings/vmlDrawing15.vml"/><Relationship Id="rId3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vmlDrawing" Target="../drawings/vmlDrawing16.vml"/><Relationship Id="rId3" Type="http://schemas.openxmlformats.org/officeDocument/2006/relationships/comments" Target="../comments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7.vml"/><Relationship Id="rId2" Type="http://schemas.openxmlformats.org/officeDocument/2006/relationships/comments" Target="../comments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8.vml"/><Relationship Id="rId2" Type="http://schemas.openxmlformats.org/officeDocument/2006/relationships/comments" Target="../comments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vmlDrawing" Target="../drawings/vmlDrawing19.vml"/><Relationship Id="rId3" Type="http://schemas.openxmlformats.org/officeDocument/2006/relationships/comments" Target="../comments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vmlDrawing" Target="../drawings/vmlDrawing20.vml"/><Relationship Id="rId3" Type="http://schemas.openxmlformats.org/officeDocument/2006/relationships/comments" Target="../comments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vmlDrawing" Target="../drawings/vmlDrawing21.vml"/><Relationship Id="rId3" Type="http://schemas.openxmlformats.org/officeDocument/2006/relationships/comments" Target="../comments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vmlDrawing" Target="../drawings/vmlDrawing22.vml"/><Relationship Id="rId3" Type="http://schemas.openxmlformats.org/officeDocument/2006/relationships/comments" Target="../comments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vmlDrawing" Target="../drawings/vmlDrawing23.vml"/><Relationship Id="rId3" Type="http://schemas.openxmlformats.org/officeDocument/2006/relationships/comments" Target="../comments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Relationship Id="rId2" Type="http://schemas.openxmlformats.org/officeDocument/2006/relationships/vmlDrawing" Target="../drawings/vmlDrawing24.vml"/><Relationship Id="rId3" Type="http://schemas.openxmlformats.org/officeDocument/2006/relationships/comments" Target="../comments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5.vml"/><Relationship Id="rId2" Type="http://schemas.openxmlformats.org/officeDocument/2006/relationships/comments" Target="../comments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Relationship Id="rId2" Type="http://schemas.openxmlformats.org/officeDocument/2006/relationships/vmlDrawing" Target="../drawings/vmlDrawing26.vml"/><Relationship Id="rId3" Type="http://schemas.openxmlformats.org/officeDocument/2006/relationships/comments" Target="../comments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7.vml"/><Relationship Id="rId2" Type="http://schemas.openxmlformats.org/officeDocument/2006/relationships/comments" Target="../comments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3.vml"/><Relationship Id="rId3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6.vml"/><Relationship Id="rId3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8.vml"/><Relationship Id="rId3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opLeftCell="A10" workbookViewId="0">
      <selection activeCell="T28" sqref="T28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1.5" style="2" customWidth="1"/>
    <col min="4" max="5" width="10" style="2" customWidth="1"/>
    <col min="6" max="6" width="11.83203125" style="2" customWidth="1"/>
    <col min="7" max="7" width="10.6640625" style="2" customWidth="1"/>
    <col min="8" max="10" width="8.83203125" style="2"/>
    <col min="11" max="11" width="11.33203125" style="2" customWidth="1"/>
    <col min="12" max="12" width="11.1640625" style="2" customWidth="1"/>
    <col min="13" max="13" width="9.1640625" style="2" customWidth="1"/>
    <col min="14" max="14" width="11.1640625" style="2" customWidth="1"/>
    <col min="15" max="15" width="13.6640625" style="2" customWidth="1"/>
    <col min="16" max="16" width="11.5" style="2" customWidth="1"/>
    <col min="17" max="17" width="11.6640625" style="2" customWidth="1"/>
    <col min="18" max="20" width="8.83203125" style="2"/>
    <col min="21" max="21" width="10" style="2" bestFit="1" customWidth="1"/>
    <col min="22" max="22" width="8.83203125" style="2"/>
    <col min="23" max="23" width="12.1640625" style="2" bestFit="1" customWidth="1"/>
    <col min="24" max="24" width="10.6640625" style="2" bestFit="1" customWidth="1"/>
    <col min="25" max="16384" width="8.832031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37" t="s">
        <v>85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P3" s="3"/>
      <c r="Q3" s="3"/>
      <c r="R3" s="3"/>
      <c r="S3" s="3"/>
      <c r="T3" s="3"/>
      <c r="U3" s="3"/>
    </row>
    <row r="4" spans="1:21" ht="15.75" x14ac:dyDescent="0.25">
      <c r="A4" s="4" t="s">
        <v>95</v>
      </c>
      <c r="B4" s="39">
        <f>SUM('Upplands Väsby:Nynäshamn'!B4)</f>
        <v>14809</v>
      </c>
      <c r="C4" s="38"/>
      <c r="D4" s="9"/>
      <c r="P4" s="3"/>
      <c r="Q4" s="3"/>
      <c r="R4" s="3"/>
      <c r="S4" s="3"/>
      <c r="T4" s="3"/>
      <c r="U4" s="3"/>
    </row>
    <row r="5" spans="1:21" ht="15.75" x14ac:dyDescent="0.25">
      <c r="A5" s="5"/>
      <c r="B5" s="39"/>
      <c r="C5" s="27"/>
      <c r="D5" s="27"/>
      <c r="E5" s="27"/>
      <c r="F5" s="27"/>
      <c r="G5" s="27"/>
      <c r="P5" s="3"/>
      <c r="Q5" s="42"/>
      <c r="R5" s="3"/>
      <c r="S5" s="3"/>
      <c r="T5" s="3"/>
      <c r="U5" s="3"/>
    </row>
    <row r="6" spans="1:21" ht="16" x14ac:dyDescent="0.2">
      <c r="A6" s="4" t="s">
        <v>12</v>
      </c>
      <c r="B6" s="39">
        <f>SUM('Upplands Väsby:Nynäshamn'!B6)</f>
        <v>1573049</v>
      </c>
      <c r="C6" s="39">
        <f>SUM('Upplands Väsby:Nynäshamn'!C6)</f>
        <v>0</v>
      </c>
      <c r="D6" s="39">
        <f>SUM('Upplands Väsby:Nynäshamn'!D6)</f>
        <v>0</v>
      </c>
      <c r="E6" s="39">
        <f>SUM('Upplands Väsby:Nynäshamn'!E6)</f>
        <v>0</v>
      </c>
      <c r="F6" s="39">
        <f>SUM('Upplands Väsby:Nynäshamn'!F6)</f>
        <v>0</v>
      </c>
      <c r="G6" s="39">
        <f>SUM('Upplands Väsby:Nynäshamn'!G6)</f>
        <v>0</v>
      </c>
      <c r="H6" s="39">
        <f>SUM('Upplands Väsby:Nynäshamn'!H6)</f>
        <v>0</v>
      </c>
      <c r="I6" s="39">
        <f>SUM('Upplands Väsby:Nynäshamn'!I6)</f>
        <v>0</v>
      </c>
      <c r="J6" s="39">
        <f>SUM('Upplands Väsby:Nynäshamn'!J6)</f>
        <v>0</v>
      </c>
      <c r="K6" s="39">
        <f>SUM('Upplands Väsby:Nynäshamn'!K6)</f>
        <v>0</v>
      </c>
      <c r="L6" s="39"/>
      <c r="M6" s="39"/>
      <c r="N6" s="39"/>
      <c r="O6" s="39">
        <f>SUM(C6:N6)</f>
        <v>0</v>
      </c>
      <c r="P6" s="3"/>
      <c r="Q6" s="43"/>
      <c r="R6" s="44"/>
      <c r="S6" s="3"/>
      <c r="T6" s="3"/>
      <c r="U6" s="3"/>
    </row>
    <row r="7" spans="1:21" ht="16" x14ac:dyDescent="0.2">
      <c r="A7" s="4" t="s">
        <v>13</v>
      </c>
      <c r="B7" s="39">
        <f>SUM('Upplands Väsby:Nynäshamn'!B7)</f>
        <v>883</v>
      </c>
      <c r="C7" s="39">
        <f>SUM('Upplands Väsby:Nynäshamn'!C7)</f>
        <v>3646</v>
      </c>
      <c r="D7" s="39">
        <f>SUM('Upplands Väsby:Nynäshamn'!D7)</f>
        <v>0</v>
      </c>
      <c r="E7" s="39">
        <f>SUM('Upplands Väsby:Nynäshamn'!E7)</f>
        <v>0</v>
      </c>
      <c r="F7" s="39">
        <f>SUM('Upplands Väsby:Nynäshamn'!F7)</f>
        <v>0</v>
      </c>
      <c r="G7" s="39">
        <f>SUM('Upplands Väsby:Nynäshamn'!G7)</f>
        <v>0</v>
      </c>
      <c r="H7" s="39">
        <f>SUM('Upplands Väsby:Nynäshamn'!H7)</f>
        <v>0</v>
      </c>
      <c r="I7" s="39">
        <f>SUM('Upplands Väsby:Nynäshamn'!I7)</f>
        <v>0</v>
      </c>
      <c r="J7" s="39">
        <f>SUM('Upplands Väsby:Nynäshamn'!J7)</f>
        <v>0</v>
      </c>
      <c r="K7" s="39">
        <f>SUM('Upplands Väsby:Nynäshamn'!K7)</f>
        <v>0</v>
      </c>
      <c r="L7" s="39"/>
      <c r="M7" s="39"/>
      <c r="N7" s="39"/>
      <c r="O7" s="39">
        <f>SUM(C7:N7)</f>
        <v>3646</v>
      </c>
      <c r="P7" s="3"/>
      <c r="Q7" s="43"/>
      <c r="R7" s="44"/>
      <c r="S7" s="3"/>
      <c r="T7" s="3"/>
      <c r="U7" s="3"/>
    </row>
    <row r="8" spans="1:21" ht="15.75" x14ac:dyDescent="0.25">
      <c r="A8" s="4" t="s">
        <v>14</v>
      </c>
      <c r="B8" s="39">
        <f>SUM('Upplands Väsby:Nynäshamn'!B8)</f>
        <v>1269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9"/>
      <c r="P8" s="3"/>
      <c r="Q8" s="3"/>
      <c r="R8" s="3"/>
      <c r="S8" s="3"/>
      <c r="T8" s="3"/>
      <c r="U8" s="3"/>
    </row>
    <row r="9" spans="1:21" ht="15.75" x14ac:dyDescent="0.25">
      <c r="A9" s="4" t="s">
        <v>15</v>
      </c>
      <c r="B9" s="39">
        <f>SUM('Upplands Väsby:Nynäshamn'!B9)</f>
        <v>179937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9"/>
      <c r="P9" s="3"/>
      <c r="Q9" s="3"/>
      <c r="R9" s="3"/>
      <c r="S9" s="3"/>
      <c r="T9" s="3"/>
      <c r="U9" s="3"/>
    </row>
    <row r="10" spans="1:21" ht="16" x14ac:dyDescent="0.2">
      <c r="A10" s="4" t="s">
        <v>16</v>
      </c>
      <c r="B10" s="39">
        <f>SUM(B4:B9)</f>
        <v>1769947</v>
      </c>
      <c r="C10" s="39">
        <f>SUM(C6:C9)</f>
        <v>3646</v>
      </c>
      <c r="D10" s="39">
        <f t="shared" ref="D10:K10" si="0">SUM(D6:D9)</f>
        <v>0</v>
      </c>
      <c r="E10" s="39">
        <f t="shared" si="0"/>
        <v>0</v>
      </c>
      <c r="F10" s="39">
        <f t="shared" si="0"/>
        <v>0</v>
      </c>
      <c r="G10" s="39">
        <f t="shared" si="0"/>
        <v>0</v>
      </c>
      <c r="H10" s="39">
        <f t="shared" si="0"/>
        <v>0</v>
      </c>
      <c r="I10" s="39">
        <f t="shared" si="0"/>
        <v>0</v>
      </c>
      <c r="J10" s="39">
        <f t="shared" si="0"/>
        <v>0</v>
      </c>
      <c r="K10" s="39">
        <f t="shared" si="0"/>
        <v>0</v>
      </c>
      <c r="L10" s="39"/>
      <c r="M10" s="39"/>
      <c r="N10" s="39"/>
      <c r="O10" s="39">
        <f>SUM(O6:O9)</f>
        <v>3646</v>
      </c>
      <c r="P10" s="3"/>
      <c r="Q10" s="3"/>
      <c r="R10" s="3"/>
      <c r="S10" s="3"/>
      <c r="T10" s="3"/>
      <c r="U10" s="3"/>
    </row>
    <row r="11" spans="1:21" ht="15.75" x14ac:dyDescent="0.25">
      <c r="A11" s="45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3"/>
      <c r="Q11" s="3"/>
      <c r="R11" s="3"/>
      <c r="S11" s="3"/>
      <c r="T11" s="3"/>
      <c r="U11" s="3"/>
    </row>
    <row r="12" spans="1:21" ht="15.75" x14ac:dyDescent="0.25"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3"/>
      <c r="Q12" s="3"/>
      <c r="R12" s="3"/>
      <c r="S12" s="3"/>
      <c r="T12" s="3"/>
      <c r="U12" s="3"/>
    </row>
    <row r="13" spans="1:21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3"/>
      <c r="S13" s="3"/>
      <c r="T13" s="3"/>
      <c r="U13" s="3"/>
    </row>
    <row r="14" spans="1:21" ht="15.75" x14ac:dyDescent="0.25">
      <c r="A14" s="37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3"/>
      <c r="S14" s="3"/>
      <c r="T14" s="3"/>
      <c r="U14" s="3"/>
    </row>
    <row r="15" spans="1:21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88</v>
      </c>
      <c r="M15" s="6" t="s">
        <v>94</v>
      </c>
      <c r="N15" s="6" t="s">
        <v>10</v>
      </c>
      <c r="O15" s="9" t="s">
        <v>11</v>
      </c>
      <c r="P15" s="3"/>
      <c r="Q15" s="3"/>
      <c r="R15" s="3"/>
      <c r="S15" s="3"/>
      <c r="T15" s="3"/>
      <c r="U15" s="3"/>
    </row>
    <row r="16" spans="1:21" ht="15.75" x14ac:dyDescent="0.25">
      <c r="B16" s="9"/>
      <c r="C16" s="27"/>
      <c r="D16" s="27"/>
      <c r="E16" s="27"/>
      <c r="F16" s="27"/>
      <c r="G16" s="27"/>
      <c r="H16" s="9"/>
      <c r="I16" s="9"/>
      <c r="J16" s="9"/>
      <c r="K16" s="9"/>
      <c r="L16" s="9"/>
      <c r="M16" s="9"/>
      <c r="N16" s="9"/>
      <c r="O16" s="9"/>
      <c r="P16" s="3"/>
      <c r="Q16" s="42"/>
      <c r="R16" s="3"/>
      <c r="S16" s="3"/>
      <c r="T16" s="3"/>
      <c r="U16" s="3"/>
    </row>
    <row r="17" spans="1:24" ht="16" x14ac:dyDescent="0.2">
      <c r="A17" s="4" t="s">
        <v>20</v>
      </c>
      <c r="B17" s="39">
        <f>SUM('Upplands Väsby:Nynäshamn'!B17)</f>
        <v>8625077</v>
      </c>
      <c r="C17" s="39">
        <f>SUM('Upplands Väsby:Nynäshamn'!C17)</f>
        <v>167042</v>
      </c>
      <c r="D17" s="39">
        <f>SUM('Upplands Väsby:Nynäshamn'!D17)</f>
        <v>1329000</v>
      </c>
      <c r="E17" s="39">
        <f>SUM('Upplands Väsby:Nynäshamn'!E17)</f>
        <v>0</v>
      </c>
      <c r="F17" s="39">
        <f>SUM('Upplands Väsby:Nynäshamn'!F17)</f>
        <v>58713</v>
      </c>
      <c r="G17" s="39">
        <f>SUM('Upplands Väsby:Nynäshamn'!G17)</f>
        <v>2269338.3828290002</v>
      </c>
      <c r="H17" s="39">
        <f>SUM('Upplands Väsby:Nynäshamn'!H17)</f>
        <v>0</v>
      </c>
      <c r="I17" s="39">
        <f>SUM('Upplands Väsby:Nynäshamn'!I17)</f>
        <v>0</v>
      </c>
      <c r="J17" s="39">
        <f>SUM('Upplands Väsby:Nynäshamn'!J17)</f>
        <v>12418</v>
      </c>
      <c r="K17" s="39">
        <f>SUM('Upplands Väsby:Nynäshamn'!K17)</f>
        <v>2417651</v>
      </c>
      <c r="L17" s="39">
        <f>SUM('Upplands Väsby:Nynäshamn'!L17)</f>
        <v>2189628.8289999999</v>
      </c>
      <c r="M17" s="39">
        <f>SUM('Upplands Väsby:Nynäshamn'!M17)</f>
        <v>49400</v>
      </c>
      <c r="N17" s="39">
        <f>SUM('Upplands Väsby:Nynäshamn'!N17)</f>
        <v>493308</v>
      </c>
      <c r="O17" s="39">
        <f>SUM(C17:N17)</f>
        <v>8986499.2118289992</v>
      </c>
      <c r="P17" s="3"/>
      <c r="Q17" s="43"/>
      <c r="R17" s="44"/>
      <c r="S17" s="3"/>
      <c r="T17" s="3"/>
      <c r="U17" s="3"/>
    </row>
    <row r="18" spans="1:24" ht="16" x14ac:dyDescent="0.2">
      <c r="A18" s="4" t="s">
        <v>21</v>
      </c>
      <c r="B18" s="39">
        <f>SUM('Upplands Väsby:Nynäshamn'!B18)</f>
        <v>4009411</v>
      </c>
      <c r="C18" s="39">
        <f>SUM('Upplands Väsby:Nynäshamn'!C18)</f>
        <v>40431</v>
      </c>
      <c r="D18" s="39">
        <f>SUM('Upplands Väsby:Nynäshamn'!D18)</f>
        <v>0</v>
      </c>
      <c r="E18" s="39">
        <f>SUM('Upplands Väsby:Nynäshamn'!E18)</f>
        <v>5500</v>
      </c>
      <c r="F18" s="39">
        <f>SUM('Upplands Väsby:Nynäshamn'!F18)</f>
        <v>366811</v>
      </c>
      <c r="G18" s="39">
        <f>SUM('Upplands Väsby:Nynäshamn'!G18)</f>
        <v>962499.4444444445</v>
      </c>
      <c r="H18" s="39">
        <f>SUM('Upplands Väsby:Nynäshamn'!H18)</f>
        <v>16332</v>
      </c>
      <c r="I18" s="39">
        <f>SUM('Upplands Väsby:Nynäshamn'!I18)</f>
        <v>0</v>
      </c>
      <c r="J18" s="39">
        <f>SUM('Upplands Väsby:Nynäshamn'!J18)</f>
        <v>127030</v>
      </c>
      <c r="K18" s="39">
        <f>SUM('Upplands Väsby:Nynäshamn'!K18)</f>
        <v>432237</v>
      </c>
      <c r="L18" s="39">
        <f>SUM('Upplands Väsby:Nynäshamn'!L18)</f>
        <v>305877</v>
      </c>
      <c r="M18" s="39">
        <f>SUM('Upplands Väsby:Nynäshamn'!M18)</f>
        <v>0</v>
      </c>
      <c r="N18" s="39">
        <f>SUM('Upplands Väsby:Nynäshamn'!N18)</f>
        <v>588482.05000000005</v>
      </c>
      <c r="O18" s="39">
        <f>SUM(C18:N18)</f>
        <v>2845199.4944444448</v>
      </c>
      <c r="P18" s="3"/>
      <c r="Q18" s="43"/>
      <c r="R18" s="44"/>
      <c r="S18" s="3"/>
      <c r="T18" s="3"/>
      <c r="U18" s="3"/>
    </row>
    <row r="19" spans="1:24" ht="15.75" x14ac:dyDescent="0.25">
      <c r="A19" s="4" t="s">
        <v>22</v>
      </c>
      <c r="B19" s="39">
        <f>SUM('Upplands Väsby:Nynäshamn'!B19)</f>
        <v>0</v>
      </c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9"/>
      <c r="O19" s="39"/>
      <c r="P19" s="3"/>
      <c r="Q19" s="3"/>
      <c r="R19" s="3"/>
      <c r="S19" s="3"/>
      <c r="T19" s="3"/>
      <c r="U19" s="3"/>
    </row>
    <row r="20" spans="1:24" ht="16" x14ac:dyDescent="0.2">
      <c r="A20" s="4" t="s">
        <v>23</v>
      </c>
      <c r="B20" s="39">
        <f>SUM('Upplands Väsby:Nynäshamn'!B20)</f>
        <v>0</v>
      </c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9"/>
      <c r="O20" s="39"/>
      <c r="P20" s="3"/>
      <c r="Q20" s="3"/>
      <c r="R20" s="3"/>
      <c r="S20" s="3"/>
      <c r="T20" s="3"/>
      <c r="U20" s="3"/>
    </row>
    <row r="21" spans="1:24" ht="16" x14ac:dyDescent="0.2">
      <c r="A21" s="4" t="s">
        <v>24</v>
      </c>
      <c r="B21" s="39">
        <f>SUM('Upplands Väsby:Nynäshamn'!B21)</f>
        <v>50432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9"/>
      <c r="P21" s="3"/>
      <c r="Q21" s="3"/>
      <c r="R21" s="3"/>
      <c r="S21" s="3" t="s">
        <v>26</v>
      </c>
      <c r="T21" s="11">
        <f>O42/1000</f>
        <v>48212.018490511597</v>
      </c>
      <c r="U21" s="3"/>
    </row>
    <row r="22" spans="1:24" ht="16" x14ac:dyDescent="0.2">
      <c r="A22" s="4" t="s">
        <v>25</v>
      </c>
      <c r="B22" s="39">
        <f>SUM('Upplands Väsby:Nynäshamn'!B22)</f>
        <v>0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9"/>
      <c r="P22" s="3"/>
      <c r="Q22" s="3"/>
      <c r="R22" s="3"/>
      <c r="S22" s="3"/>
      <c r="T22" s="3"/>
      <c r="U22" s="3"/>
    </row>
    <row r="23" spans="1:24" ht="16" x14ac:dyDescent="0.2">
      <c r="A23" s="4" t="s">
        <v>16</v>
      </c>
      <c r="B23" s="39">
        <f>SUM(B17:B22)</f>
        <v>12684920</v>
      </c>
      <c r="C23" s="39">
        <f t="shared" ref="C23:O23" si="1">SUM(C17:C22)</f>
        <v>207473</v>
      </c>
      <c r="D23" s="39">
        <f t="shared" si="1"/>
        <v>1329000</v>
      </c>
      <c r="E23" s="39">
        <f t="shared" si="1"/>
        <v>5500</v>
      </c>
      <c r="F23" s="39">
        <f t="shared" si="1"/>
        <v>425524</v>
      </c>
      <c r="G23" s="39">
        <f t="shared" si="1"/>
        <v>3231837.8272734447</v>
      </c>
      <c r="H23" s="39">
        <f t="shared" si="1"/>
        <v>16332</v>
      </c>
      <c r="I23" s="39">
        <f t="shared" si="1"/>
        <v>0</v>
      </c>
      <c r="J23" s="39">
        <f t="shared" si="1"/>
        <v>139448</v>
      </c>
      <c r="K23" s="39">
        <f t="shared" si="1"/>
        <v>2849888</v>
      </c>
      <c r="L23" s="39">
        <f t="shared" si="1"/>
        <v>2495505.8289999999</v>
      </c>
      <c r="M23" s="39">
        <f t="shared" si="1"/>
        <v>49400</v>
      </c>
      <c r="N23" s="39">
        <f t="shared" si="1"/>
        <v>1081790.05</v>
      </c>
      <c r="O23" s="39">
        <f t="shared" si="1"/>
        <v>11831698.706273444</v>
      </c>
      <c r="P23" s="3"/>
      <c r="Q23" s="3"/>
      <c r="R23" s="3"/>
      <c r="S23" s="3"/>
      <c r="T23" s="3" t="s">
        <v>27</v>
      </c>
      <c r="U23" s="3" t="s">
        <v>28</v>
      </c>
    </row>
    <row r="24" spans="1:24" ht="15.75" x14ac:dyDescent="0.25">
      <c r="A24" s="45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3"/>
      <c r="Q24" s="3"/>
      <c r="R24" s="3"/>
      <c r="S24" s="3" t="s">
        <v>10</v>
      </c>
      <c r="T24" s="12">
        <f>N42/1000</f>
        <v>21642.069834238158</v>
      </c>
      <c r="U24" s="13">
        <f>N43</f>
        <v>0.44889366825613081</v>
      </c>
    </row>
    <row r="25" spans="1:24" ht="16" x14ac:dyDescent="0.2"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3"/>
      <c r="Q25" s="3"/>
      <c r="R25" s="3"/>
      <c r="S25" s="3" t="s">
        <v>84</v>
      </c>
      <c r="T25" s="12">
        <f>(G42+L42+M42)/1000</f>
        <v>6288.7016562734452</v>
      </c>
      <c r="U25" s="14">
        <f>G43+L43+M43</f>
        <v>0.13043846437400453</v>
      </c>
    </row>
    <row r="26" spans="1:24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139.44800000000001</v>
      </c>
      <c r="U26" s="13">
        <f>J43</f>
        <v>2.8923908263132391E-3</v>
      </c>
    </row>
    <row r="27" spans="1:24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1484.884</v>
      </c>
      <c r="U27" s="13">
        <f>F43</f>
        <v>3.0799042365177755E-2</v>
      </c>
    </row>
    <row r="28" spans="1:24" ht="15.75" x14ac:dyDescent="0.25">
      <c r="A28" s="3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96</v>
      </c>
      <c r="T28" s="11">
        <f>(E42+I42)/1000</f>
        <v>767.23699999999997</v>
      </c>
      <c r="U28" s="13">
        <f>E43+I43</f>
        <v>1.5913812033217331E-2</v>
      </c>
    </row>
    <row r="29" spans="1:24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92</v>
      </c>
      <c r="J29" s="6" t="s">
        <v>7</v>
      </c>
      <c r="K29" s="6" t="s">
        <v>8</v>
      </c>
      <c r="L29" s="6" t="s">
        <v>9</v>
      </c>
      <c r="M29" s="6" t="s">
        <v>91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1329</v>
      </c>
      <c r="U29" s="46">
        <f>D43</f>
        <v>2.7565740693092013E-2</v>
      </c>
    </row>
    <row r="30" spans="1:24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2849.8879999999999</v>
      </c>
      <c r="U30" s="46">
        <f>K43</f>
        <v>5.9111567804631004E-2</v>
      </c>
      <c r="W30" s="42"/>
    </row>
    <row r="31" spans="1:24" ht="16" x14ac:dyDescent="0.2">
      <c r="A31" s="5" t="s">
        <v>33</v>
      </c>
      <c r="B31" s="39">
        <f>SUM('Upplands Väsby:Nynäshamn'!B31)</f>
        <v>0</v>
      </c>
      <c r="C31" s="39">
        <f>SUM('Upplands Väsby:Nynäshamn'!C31)</f>
        <v>70942</v>
      </c>
      <c r="D31" s="39">
        <f>SUM('Upplands Väsby:Nynäshamn'!D31)</f>
        <v>0</v>
      </c>
      <c r="E31" s="39">
        <f>SUM('Upplands Väsby:Nynäshamn'!E31)</f>
        <v>0</v>
      </c>
      <c r="F31" s="39">
        <f>SUM('Upplands Väsby:Nynäshamn'!F31)</f>
        <v>6263</v>
      </c>
      <c r="G31" s="39">
        <f>SUM('Upplands Väsby:Nynäshamn'!G31)</f>
        <v>0</v>
      </c>
      <c r="H31" s="39">
        <f>SUM('Upplands Väsby:Nynäshamn'!H31)</f>
        <v>0</v>
      </c>
      <c r="I31" s="39">
        <f>SUM('Upplands Väsby:Nynäshamn'!I31)</f>
        <v>0</v>
      </c>
      <c r="J31" s="39">
        <f>SUM('Upplands Väsby:Nynäshamn'!J31)</f>
        <v>0</v>
      </c>
      <c r="K31" s="39">
        <f>SUM('Upplands Väsby:Nynäshamn'!K31)</f>
        <v>0</v>
      </c>
      <c r="L31" s="39">
        <f>SUM('Upplands Väsby:Nynäshamn'!L31)</f>
        <v>0</v>
      </c>
      <c r="M31" s="39">
        <f>SUM('Upplands Väsby:Nynäshamn'!M31)</f>
        <v>0</v>
      </c>
      <c r="N31" s="39">
        <f>SUM('Upplands Väsby:Nynäshamn'!N31)</f>
        <v>144242</v>
      </c>
      <c r="O31" s="39">
        <f>SUM(B31:N31)</f>
        <v>221447</v>
      </c>
      <c r="P31" s="17">
        <f>O31/O$39</f>
        <v>4.6076660640331571E-3</v>
      </c>
      <c r="Q31" s="18" t="s">
        <v>34</v>
      </c>
      <c r="R31" s="3"/>
      <c r="S31" s="3" t="s">
        <v>9</v>
      </c>
      <c r="T31" s="12">
        <v>0</v>
      </c>
      <c r="U31" s="13">
        <v>0</v>
      </c>
      <c r="W31" s="44"/>
      <c r="X31" s="44"/>
    </row>
    <row r="32" spans="1:24" ht="16" x14ac:dyDescent="0.2">
      <c r="A32" s="5" t="s">
        <v>36</v>
      </c>
      <c r="B32" s="39">
        <f>SUM('Upplands Väsby:Nynäshamn'!B32)</f>
        <v>707468</v>
      </c>
      <c r="C32" s="39">
        <f>SUM('Upplands Väsby:Nynäshamn'!C32)</f>
        <v>344603</v>
      </c>
      <c r="D32" s="39">
        <f>SUM('Upplands Väsby:Nynäshamn'!D32)</f>
        <v>0</v>
      </c>
      <c r="E32" s="39">
        <f>SUM('Upplands Väsby:Nynäshamn'!E32)</f>
        <v>403382</v>
      </c>
      <c r="F32" s="39">
        <f>SUM('Upplands Väsby:Nynäshamn'!F32)</f>
        <v>282</v>
      </c>
      <c r="G32" s="39">
        <f>SUM('Upplands Väsby:Nynäshamn'!G32)</f>
        <v>7052</v>
      </c>
      <c r="H32" s="39">
        <f>SUM('Upplands Väsby:Nynäshamn'!H32)</f>
        <v>0</v>
      </c>
      <c r="I32" s="39">
        <f>SUM('Upplands Väsby:Nynäshamn'!I32)</f>
        <v>204202</v>
      </c>
      <c r="J32" s="39">
        <f>SUM('Upplands Väsby:Nynäshamn'!J32)</f>
        <v>0</v>
      </c>
      <c r="K32" s="39">
        <f>SUM('Upplands Väsby:Nynäshamn'!K32)</f>
        <v>0</v>
      </c>
      <c r="L32" s="39">
        <f>SUM('Upplands Väsby:Nynäshamn'!L32)</f>
        <v>0</v>
      </c>
      <c r="M32" s="39">
        <f>SUM('Upplands Väsby:Nynäshamn'!M32)</f>
        <v>55829</v>
      </c>
      <c r="N32" s="39">
        <f>SUM('Upplands Väsby:Nynäshamn'!N32)</f>
        <v>3258536.5409612549</v>
      </c>
      <c r="O32" s="39">
        <f t="shared" ref="O32:O38" si="2">SUM(B32:N32)</f>
        <v>4981354.5409612544</v>
      </c>
      <c r="P32" s="17">
        <f>O32/O$39</f>
        <v>0.10364745637242608</v>
      </c>
      <c r="Q32" s="18" t="s">
        <v>37</v>
      </c>
      <c r="R32" s="3"/>
      <c r="S32" s="6" t="s">
        <v>9</v>
      </c>
      <c r="T32" s="12">
        <v>0</v>
      </c>
      <c r="U32" s="13">
        <v>0</v>
      </c>
      <c r="W32" s="44"/>
      <c r="X32" s="44"/>
    </row>
    <row r="33" spans="1:48" ht="16" x14ac:dyDescent="0.2">
      <c r="A33" s="5" t="s">
        <v>38</v>
      </c>
      <c r="B33" s="39">
        <f>SUM('Upplands Väsby:Nynäshamn'!B33)</f>
        <v>1119694.8394240001</v>
      </c>
      <c r="C33" s="39">
        <f>SUM('Upplands Väsby:Nynäshamn'!C33)</f>
        <v>61833</v>
      </c>
      <c r="D33" s="39">
        <f>SUM('Upplands Väsby:Nynäshamn'!D33)</f>
        <v>0</v>
      </c>
      <c r="E33" s="39">
        <f>SUM('Upplands Väsby:Nynäshamn'!E33)</f>
        <v>8750</v>
      </c>
      <c r="F33" s="39">
        <f>SUM('Upplands Väsby:Nynäshamn'!F33)</f>
        <v>0</v>
      </c>
      <c r="G33" s="39">
        <f>SUM('Upplands Väsby:Nynäshamn'!G33)</f>
        <v>0</v>
      </c>
      <c r="H33" s="39">
        <f>SUM('Upplands Väsby:Nynäshamn'!H33)</f>
        <v>0</v>
      </c>
      <c r="I33" s="39">
        <f>SUM('Upplands Väsby:Nynäshamn'!I33)</f>
        <v>0</v>
      </c>
      <c r="J33" s="39">
        <f>SUM('Upplands Väsby:Nynäshamn'!J33)</f>
        <v>0</v>
      </c>
      <c r="K33" s="39">
        <f>SUM('Upplands Väsby:Nynäshamn'!K33)</f>
        <v>0</v>
      </c>
      <c r="L33" s="39">
        <f>SUM('Upplands Väsby:Nynäshamn'!L33)</f>
        <v>0</v>
      </c>
      <c r="M33" s="39">
        <f>SUM('Upplands Väsby:Nynäshamn'!M33)</f>
        <v>0</v>
      </c>
      <c r="N33" s="39">
        <f>SUM('Upplands Väsby:Nynäshamn'!N33)</f>
        <v>1520997</v>
      </c>
      <c r="O33" s="39">
        <f t="shared" si="2"/>
        <v>2711274.8394240001</v>
      </c>
      <c r="P33" s="17">
        <f>O33/O$39</f>
        <v>5.6413720067921051E-2</v>
      </c>
      <c r="Q33" s="18" t="s">
        <v>39</v>
      </c>
      <c r="R33" s="3"/>
      <c r="S33" s="6" t="s">
        <v>9</v>
      </c>
      <c r="T33" s="12">
        <v>0</v>
      </c>
      <c r="U33" s="13">
        <v>0</v>
      </c>
      <c r="W33" s="44"/>
      <c r="X33" s="44"/>
    </row>
    <row r="34" spans="1:48" ht="16" x14ac:dyDescent="0.2">
      <c r="A34" s="5" t="s">
        <v>40</v>
      </c>
      <c r="B34" s="39">
        <f>SUM('Upplands Väsby:Nynäshamn'!B34)</f>
        <v>0</v>
      </c>
      <c r="C34" s="39">
        <f>SUM('Upplands Väsby:Nynäshamn'!C34)</f>
        <v>11169372</v>
      </c>
      <c r="D34" s="39">
        <f>SUM('Upplands Väsby:Nynäshamn'!D34)</f>
        <v>0</v>
      </c>
      <c r="E34" s="86">
        <v>101603</v>
      </c>
      <c r="F34" s="39">
        <f>SUM('Upplands Väsby:Nynäshamn'!F34)</f>
        <v>1052815</v>
      </c>
      <c r="G34" s="39">
        <f>SUM('Upplands Väsby:Nynäshamn'!G34)</f>
        <v>0</v>
      </c>
      <c r="H34" s="86">
        <v>260639</v>
      </c>
      <c r="I34" s="39">
        <f>SUM('Upplands Väsby:Nynäshamn'!I34)</f>
        <v>0</v>
      </c>
      <c r="J34" s="39">
        <f>SUM('Upplands Väsby:Nynäshamn'!J34)</f>
        <v>0</v>
      </c>
      <c r="K34" s="39">
        <f>SUM('Upplands Väsby:Nynäshamn'!K34)</f>
        <v>0</v>
      </c>
      <c r="L34" s="39">
        <f>SUM('Upplands Väsby:Nynäshamn'!L34)</f>
        <v>0</v>
      </c>
      <c r="M34" s="39">
        <f>SUM('Upplands Väsby:Nynäshamn'!M34)</f>
        <v>0</v>
      </c>
      <c r="N34" s="39">
        <f>SUM('Upplands Väsby:Nynäshamn'!N34)</f>
        <v>883183.16057599999</v>
      </c>
      <c r="O34" s="39">
        <f t="shared" si="2"/>
        <v>13467612.160576001</v>
      </c>
      <c r="P34" s="17">
        <f>O34/O$39</f>
        <v>0.28022172129604966</v>
      </c>
      <c r="Q34" s="18" t="s">
        <v>41</v>
      </c>
      <c r="R34" s="3"/>
      <c r="S34" s="3" t="s">
        <v>6</v>
      </c>
      <c r="T34" s="12">
        <f>H42/1000</f>
        <v>276.971</v>
      </c>
      <c r="U34" s="13">
        <f>H43</f>
        <v>5.7448538491394942E-3</v>
      </c>
      <c r="W34" s="44"/>
      <c r="X34" s="44"/>
    </row>
    <row r="35" spans="1:48" ht="16" x14ac:dyDescent="0.2">
      <c r="A35" s="5" t="s">
        <v>42</v>
      </c>
      <c r="B35" s="39">
        <f>SUM('Upplands Väsby:Nynäshamn'!B35)</f>
        <v>2202060.1605759999</v>
      </c>
      <c r="C35" s="39">
        <f>SUM('Upplands Väsby:Nynäshamn'!C35)</f>
        <v>1520897</v>
      </c>
      <c r="D35" s="39">
        <f>SUM('Upplands Väsby:Nynäshamn'!D35)</f>
        <v>0</v>
      </c>
      <c r="E35" s="39">
        <f>SUM('Upplands Väsby:Nynäshamn'!E35)</f>
        <v>17500</v>
      </c>
      <c r="F35" s="39">
        <f>SUM('Upplands Väsby:Nynäshamn'!F35)</f>
        <v>0</v>
      </c>
      <c r="G35" s="39">
        <f>SUM('Upplands Väsby:Nynäshamn'!G35)</f>
        <v>0</v>
      </c>
      <c r="H35" s="39">
        <f>SUM('Upplands Väsby:Nynäshamn'!H35)</f>
        <v>0</v>
      </c>
      <c r="I35" s="39">
        <f>SUM('Upplands Väsby:Nynäshamn'!I35)</f>
        <v>0</v>
      </c>
      <c r="J35" s="39">
        <f>SUM('Upplands Väsby:Nynäshamn'!J35)</f>
        <v>0</v>
      </c>
      <c r="K35" s="39">
        <f>SUM('Upplands Väsby:Nynäshamn'!K35)</f>
        <v>0</v>
      </c>
      <c r="L35" s="39">
        <f>SUM('Upplands Väsby:Nynäshamn'!L35)</f>
        <v>0</v>
      </c>
      <c r="M35" s="39">
        <f>SUM('Upplands Väsby:Nynäshamn'!M35)</f>
        <v>0</v>
      </c>
      <c r="N35" s="39">
        <f>SUM('Upplands Väsby:Nynäshamn'!N35)</f>
        <v>8239326.8394240001</v>
      </c>
      <c r="O35" s="39">
        <f t="shared" si="2"/>
        <v>11979784</v>
      </c>
      <c r="P35" s="17">
        <f>O35/O$39</f>
        <v>0.24926435757200319</v>
      </c>
      <c r="Q35" s="18" t="s">
        <v>43</v>
      </c>
      <c r="R35" s="18"/>
      <c r="S35" s="3" t="s">
        <v>35</v>
      </c>
      <c r="T35" s="12">
        <f>C42/1000</f>
        <v>13433.819</v>
      </c>
      <c r="U35" s="14">
        <f>C43</f>
        <v>0.27864045979829394</v>
      </c>
      <c r="W35" s="44"/>
      <c r="X35" s="44"/>
    </row>
    <row r="36" spans="1:48" ht="16" x14ac:dyDescent="0.2">
      <c r="A36" s="5" t="s">
        <v>44</v>
      </c>
      <c r="B36" s="39">
        <f>SUM('Upplands Väsby:Nynäshamn'!B36)</f>
        <v>456438</v>
      </c>
      <c r="C36" s="39">
        <f>SUM('Upplands Väsby:Nynäshamn'!C36)</f>
        <v>34284</v>
      </c>
      <c r="D36" s="39">
        <f>SUM('Upplands Väsby:Nynäshamn'!D36)</f>
        <v>0</v>
      </c>
      <c r="E36" s="39">
        <f>SUM('Upplands Väsby:Nynäshamn'!E36)</f>
        <v>15600</v>
      </c>
      <c r="F36" s="39">
        <f>SUM('Upplands Väsby:Nynäshamn'!F36)</f>
        <v>0</v>
      </c>
      <c r="G36" s="39">
        <f>SUM('Upplands Väsby:Nynäshamn'!G36)</f>
        <v>504906</v>
      </c>
      <c r="H36" s="39">
        <f>SUM('Upplands Väsby:Nynäshamn'!H36)</f>
        <v>0</v>
      </c>
      <c r="I36" s="39">
        <f>SUM('Upplands Väsby:Nynäshamn'!I36)</f>
        <v>0</v>
      </c>
      <c r="J36" s="39">
        <f>SUM('Upplands Väsby:Nynäshamn'!J36)</f>
        <v>0</v>
      </c>
      <c r="K36" s="39">
        <f>SUM('Upplands Väsby:Nynäshamn'!K36)</f>
        <v>0</v>
      </c>
      <c r="L36" s="39">
        <f>SUM('Upplands Väsby:Nynäshamn'!L36)</f>
        <v>0</v>
      </c>
      <c r="M36" s="39">
        <f>SUM('Upplands Väsby:Nynäshamn'!M36)</f>
        <v>0</v>
      </c>
      <c r="N36" s="39">
        <f>SUM('Upplands Väsby:Nynäshamn'!N36)</f>
        <v>4080201</v>
      </c>
      <c r="O36" s="39">
        <f t="shared" si="2"/>
        <v>5091429</v>
      </c>
      <c r="P36" s="18"/>
      <c r="Q36" s="18"/>
      <c r="R36" s="3"/>
      <c r="S36" s="3"/>
      <c r="T36" s="12">
        <f>SUM(T24:T35)</f>
        <v>48212.018490511604</v>
      </c>
      <c r="U36" s="13">
        <f>SUM(U24:U35)</f>
        <v>1</v>
      </c>
      <c r="W36" s="44"/>
      <c r="X36" s="44"/>
    </row>
    <row r="37" spans="1:48" ht="16" x14ac:dyDescent="0.2">
      <c r="A37" s="5" t="s">
        <v>45</v>
      </c>
      <c r="B37" s="39">
        <f>SUM('Upplands Väsby:Nynäshamn'!B37)</f>
        <v>7208033</v>
      </c>
      <c r="C37" s="39">
        <f>SUM('Upplands Väsby:Nynäshamn'!C37)</f>
        <v>20769</v>
      </c>
      <c r="D37" s="39">
        <f>SUM('Upplands Väsby:Nynäshamn'!D37)</f>
        <v>0</v>
      </c>
      <c r="E37" s="39">
        <f>SUM('Upplands Väsby:Nynäshamn'!E37)</f>
        <v>10700</v>
      </c>
      <c r="F37" s="39">
        <f>SUM('Upplands Väsby:Nynäshamn'!F37)</f>
        <v>0</v>
      </c>
      <c r="G37" s="39">
        <f>SUM('Upplands Väsby:Nynäshamn'!G37)</f>
        <v>0</v>
      </c>
      <c r="H37" s="39">
        <f>SUM('Upplands Väsby:Nynäshamn'!H37)</f>
        <v>0</v>
      </c>
      <c r="I37" s="39">
        <f>SUM('Upplands Väsby:Nynäshamn'!I37)</f>
        <v>0</v>
      </c>
      <c r="J37" s="39">
        <f>SUM('Upplands Väsby:Nynäshamn'!J37)</f>
        <v>0</v>
      </c>
      <c r="K37" s="39">
        <f>SUM('Upplands Väsby:Nynäshamn'!K37)</f>
        <v>0</v>
      </c>
      <c r="L37" s="39">
        <f>SUM('Upplands Väsby:Nynäshamn'!L37)</f>
        <v>0</v>
      </c>
      <c r="M37" s="39">
        <f>SUM('Upplands Väsby:Nynäshamn'!M37)</f>
        <v>0</v>
      </c>
      <c r="N37" s="39">
        <f>SUM('Upplands Väsby:Nynäshamn'!N37)</f>
        <v>1816281</v>
      </c>
      <c r="O37" s="39">
        <f t="shared" si="2"/>
        <v>9055783</v>
      </c>
      <c r="P37" s="18"/>
      <c r="Q37" s="18"/>
      <c r="R37" s="3"/>
      <c r="W37" s="44"/>
      <c r="X37" s="44"/>
    </row>
    <row r="38" spans="1:48" ht="16" x14ac:dyDescent="0.2">
      <c r="A38" s="5" t="s">
        <v>46</v>
      </c>
      <c r="B38" s="39">
        <f>SUM('Upplands Väsby:Nynäshamn'!B38)</f>
        <v>0</v>
      </c>
      <c r="C38" s="39">
        <f>SUM('Upplands Väsby:Nynäshamn'!C38)</f>
        <v>0</v>
      </c>
      <c r="D38" s="39">
        <f>SUM('Upplands Väsby:Nynäshamn'!D38)</f>
        <v>0</v>
      </c>
      <c r="E38" s="39">
        <f>SUM('Upplands Väsby:Nynäshamn'!E38)</f>
        <v>0</v>
      </c>
      <c r="F38" s="39">
        <f>SUM('Upplands Väsby:Nynäshamn'!F38)</f>
        <v>0</v>
      </c>
      <c r="G38" s="39">
        <f>SUM('Upplands Väsby:Nynäshamn'!G38)</f>
        <v>0</v>
      </c>
      <c r="H38" s="39">
        <f>SUM('Upplands Väsby:Nynäshamn'!H38)</f>
        <v>0</v>
      </c>
      <c r="I38" s="39">
        <f>SUM('Upplands Väsby:Nynäshamn'!I38)</f>
        <v>0</v>
      </c>
      <c r="J38" s="39">
        <f>SUM('Upplands Väsby:Nynäshamn'!J38)</f>
        <v>0</v>
      </c>
      <c r="K38" s="39">
        <f>SUM('Upplands Väsby:Nynäshamn'!K38)</f>
        <v>0</v>
      </c>
      <c r="L38" s="39">
        <f>SUM('Upplands Väsby:Nynäshamn'!L38)</f>
        <v>0</v>
      </c>
      <c r="M38" s="39">
        <f>SUM('Upplands Väsby:Nynäshamn'!M38)</f>
        <v>0</v>
      </c>
      <c r="N38" s="39">
        <f>SUM('Upplands Väsby:Nynäshamn'!N38)</f>
        <v>551873</v>
      </c>
      <c r="O38" s="39">
        <f t="shared" si="2"/>
        <v>551873</v>
      </c>
      <c r="P38" s="18">
        <f>SUM(P31:P35)</f>
        <v>0.69415492137243318</v>
      </c>
      <c r="Q38" s="18"/>
      <c r="R38" s="3"/>
      <c r="S38" s="7"/>
      <c r="T38" s="7"/>
      <c r="U38" s="7"/>
      <c r="W38" s="44"/>
      <c r="X38" s="44"/>
    </row>
    <row r="39" spans="1:48" ht="16" x14ac:dyDescent="0.2">
      <c r="A39" s="5" t="s">
        <v>16</v>
      </c>
      <c r="B39" s="39">
        <f>SUM(B31:B38)</f>
        <v>11693694</v>
      </c>
      <c r="C39" s="39">
        <f>SUM(C31:C38)</f>
        <v>13222700</v>
      </c>
      <c r="D39" s="39">
        <f t="shared" ref="D39:N39" si="3">SUM(D31:D38)</f>
        <v>0</v>
      </c>
      <c r="E39" s="39">
        <f t="shared" si="3"/>
        <v>557535</v>
      </c>
      <c r="F39" s="39">
        <f t="shared" si="3"/>
        <v>1059360</v>
      </c>
      <c r="G39" s="39">
        <f t="shared" si="3"/>
        <v>511958</v>
      </c>
      <c r="H39" s="39">
        <f t="shared" si="3"/>
        <v>260639</v>
      </c>
      <c r="I39" s="39">
        <f t="shared" si="3"/>
        <v>204202</v>
      </c>
      <c r="J39" s="39">
        <f t="shared" si="3"/>
        <v>0</v>
      </c>
      <c r="K39" s="39">
        <f t="shared" si="3"/>
        <v>0</v>
      </c>
      <c r="L39" s="39">
        <f t="shared" si="3"/>
        <v>0</v>
      </c>
      <c r="M39" s="39">
        <f t="shared" si="3"/>
        <v>55829</v>
      </c>
      <c r="N39" s="39">
        <f t="shared" si="3"/>
        <v>20494640.540961254</v>
      </c>
      <c r="O39" s="39">
        <f>SUM(O31:O38)</f>
        <v>48060557.540961251</v>
      </c>
      <c r="P39" s="3"/>
      <c r="Q39" s="3"/>
      <c r="R39" s="3"/>
      <c r="S39" s="7"/>
      <c r="T39" s="7" t="s">
        <v>27</v>
      </c>
      <c r="U39" s="7" t="s">
        <v>28</v>
      </c>
    </row>
    <row r="40" spans="1:48" x14ac:dyDescent="0.2">
      <c r="S40" s="7" t="s">
        <v>47</v>
      </c>
      <c r="T40" s="19">
        <f>O45/1000</f>
        <v>2630.7972432769006</v>
      </c>
      <c r="U40" s="7"/>
    </row>
    <row r="41" spans="1:48" ht="16" x14ac:dyDescent="0.2">
      <c r="A41" s="21" t="s">
        <v>50</v>
      </c>
      <c r="B41" s="22">
        <f>B38+B37+B36</f>
        <v>7664471</v>
      </c>
      <c r="C41" s="22">
        <f t="shared" ref="C41:O41" si="4">C38+C37+C36</f>
        <v>55053</v>
      </c>
      <c r="D41" s="22">
        <f t="shared" si="4"/>
        <v>0</v>
      </c>
      <c r="E41" s="22">
        <f t="shared" si="4"/>
        <v>26300</v>
      </c>
      <c r="F41" s="22">
        <f t="shared" si="4"/>
        <v>0</v>
      </c>
      <c r="G41" s="22">
        <f t="shared" si="4"/>
        <v>504906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6448355</v>
      </c>
      <c r="O41" s="22">
        <f t="shared" si="4"/>
        <v>14699085</v>
      </c>
      <c r="P41" s="17">
        <f>O41/O$39</f>
        <v>0.30584507862756694</v>
      </c>
      <c r="Q41" s="17" t="s">
        <v>51</v>
      </c>
      <c r="R41" s="7"/>
      <c r="S41" s="7" t="s">
        <v>48</v>
      </c>
      <c r="T41" s="20">
        <f>O41/1000</f>
        <v>14699.084999999999</v>
      </c>
      <c r="U41" s="13">
        <f>P41</f>
        <v>0.30584507862756694</v>
      </c>
    </row>
    <row r="42" spans="1:48" ht="16" x14ac:dyDescent="0.2">
      <c r="A42" s="23" t="s">
        <v>53</v>
      </c>
      <c r="B42" s="22"/>
      <c r="C42" s="24">
        <f>C39+C23+C10</f>
        <v>13433819</v>
      </c>
      <c r="D42" s="24">
        <f t="shared" ref="D42:L42" si="5">D39+D23+D10</f>
        <v>1329000</v>
      </c>
      <c r="E42" s="24">
        <f t="shared" si="5"/>
        <v>563035</v>
      </c>
      <c r="F42" s="24">
        <f t="shared" si="5"/>
        <v>1484884</v>
      </c>
      <c r="G42" s="24">
        <f t="shared" si="5"/>
        <v>3743795.8272734447</v>
      </c>
      <c r="H42" s="24">
        <f t="shared" si="5"/>
        <v>276971</v>
      </c>
      <c r="I42" s="24">
        <f t="shared" si="5"/>
        <v>204202</v>
      </c>
      <c r="J42" s="24">
        <f t="shared" si="5"/>
        <v>139448</v>
      </c>
      <c r="K42" s="24">
        <f t="shared" si="5"/>
        <v>2849888</v>
      </c>
      <c r="L42" s="24">
        <f t="shared" si="5"/>
        <v>2495505.8289999999</v>
      </c>
      <c r="M42" s="24">
        <f>M23+M10</f>
        <v>49400</v>
      </c>
      <c r="N42" s="24">
        <f>N39+N23-B6-B7+N45</f>
        <v>21642069.834238157</v>
      </c>
      <c r="O42" s="25">
        <f>SUM(C42:N42)</f>
        <v>48212018.490511596</v>
      </c>
      <c r="P42" s="7"/>
      <c r="Q42" s="7"/>
      <c r="R42" s="7"/>
      <c r="S42" s="7" t="s">
        <v>49</v>
      </c>
      <c r="T42" s="20">
        <f>O35/1000</f>
        <v>11979.784</v>
      </c>
      <c r="U42" s="14">
        <f>P35</f>
        <v>0.24926435757200319</v>
      </c>
    </row>
    <row r="43" spans="1:48" ht="16" x14ac:dyDescent="0.2">
      <c r="A43" s="23" t="s">
        <v>54</v>
      </c>
      <c r="B43" s="22"/>
      <c r="C43" s="17">
        <f t="shared" ref="C43:N43" si="6">C42/$O42</f>
        <v>0.27864045979829394</v>
      </c>
      <c r="D43" s="17">
        <f t="shared" si="6"/>
        <v>2.7565740693092013E-2</v>
      </c>
      <c r="E43" s="17">
        <f t="shared" si="6"/>
        <v>1.1678312122750233E-2</v>
      </c>
      <c r="F43" s="17">
        <f t="shared" si="6"/>
        <v>3.0799042365177755E-2</v>
      </c>
      <c r="G43" s="17">
        <f t="shared" si="6"/>
        <v>7.7652750174943316E-2</v>
      </c>
      <c r="H43" s="17">
        <f t="shared" si="6"/>
        <v>5.7448538491394942E-3</v>
      </c>
      <c r="I43" s="17">
        <f t="shared" si="6"/>
        <v>4.2354999104670995E-3</v>
      </c>
      <c r="J43" s="17">
        <f t="shared" si="6"/>
        <v>2.8923908263132391E-3</v>
      </c>
      <c r="K43" s="17">
        <f t="shared" si="6"/>
        <v>5.9111567804631004E-2</v>
      </c>
      <c r="L43" s="17">
        <f t="shared" si="6"/>
        <v>5.1761073423862762E-2</v>
      </c>
      <c r="M43" s="17">
        <f t="shared" si="6"/>
        <v>1.0246407751984541E-3</v>
      </c>
      <c r="N43" s="17">
        <f t="shared" si="6"/>
        <v>0.44889366825613081</v>
      </c>
      <c r="O43" s="17">
        <f>SUM(C43:N43)</f>
        <v>1.0000000000000002</v>
      </c>
      <c r="P43" s="7"/>
      <c r="Q43" s="7"/>
      <c r="R43" s="7"/>
      <c r="S43" s="7" t="s">
        <v>52</v>
      </c>
      <c r="T43" s="20">
        <f>O33/1000</f>
        <v>2711.2748394240002</v>
      </c>
      <c r="U43" s="13">
        <f>P33</f>
        <v>5.6413720067921051E-2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34</v>
      </c>
      <c r="T44" s="20">
        <f>O31/1000</f>
        <v>221.447</v>
      </c>
      <c r="U44" s="13">
        <f>P31</f>
        <v>4.6076660640331571E-3</v>
      </c>
    </row>
    <row r="45" spans="1:48" ht="16" x14ac:dyDescent="0.2">
      <c r="A45" s="6" t="s">
        <v>57</v>
      </c>
      <c r="B45" s="6">
        <f>B23-B39</f>
        <v>991226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1639571.2432769004</v>
      </c>
      <c r="O45" s="25">
        <f>B45+N45</f>
        <v>2630797.2432769006</v>
      </c>
      <c r="P45" s="7"/>
      <c r="Q45" s="7"/>
      <c r="R45" s="7"/>
      <c r="S45" s="7" t="s">
        <v>55</v>
      </c>
      <c r="T45" s="20">
        <f>O32/1000</f>
        <v>4981.3545409612543</v>
      </c>
      <c r="U45" s="14">
        <f>P32</f>
        <v>0.10364745637242608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  <c r="S46" s="7" t="s">
        <v>56</v>
      </c>
      <c r="T46" s="20">
        <f>O34/1000</f>
        <v>13467.612160576</v>
      </c>
      <c r="U46" s="14">
        <f>P34</f>
        <v>0.28022172129604966</v>
      </c>
    </row>
    <row r="47" spans="1:48" x14ac:dyDescent="0.2">
      <c r="A47" s="42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38"/>
      <c r="Q47" s="40"/>
      <c r="R47" s="37"/>
      <c r="S47" s="7" t="s">
        <v>58</v>
      </c>
      <c r="T47" s="20">
        <f>SUM(T41:T46)</f>
        <v>48060.55754096125</v>
      </c>
      <c r="U47" s="13">
        <f>SUM(U41:U46)</f>
        <v>1</v>
      </c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1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2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0"/>
      <c r="Q48" s="40"/>
      <c r="R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8"/>
      <c r="C49" s="41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1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8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44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8"/>
      <c r="C52" s="41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1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8"/>
      <c r="C53" s="41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1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40"/>
      <c r="C55" s="40"/>
      <c r="D55" s="40"/>
      <c r="E55" s="41"/>
      <c r="F55" s="41"/>
      <c r="G55" s="41"/>
      <c r="H55" s="41"/>
      <c r="I55" s="41"/>
      <c r="J55" s="41"/>
      <c r="K55" s="41"/>
      <c r="L55" s="41"/>
      <c r="M55" s="41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1"/>
      <c r="F56" s="41"/>
      <c r="G56" s="41"/>
      <c r="H56" s="41"/>
      <c r="I56" s="6"/>
      <c r="J56" s="41"/>
      <c r="K56" s="41"/>
      <c r="L56" s="41"/>
      <c r="M56" s="41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40"/>
      <c r="G57" s="40"/>
      <c r="H57" s="28"/>
      <c r="I57" s="38"/>
      <c r="J57" s="40"/>
      <c r="K57" s="28"/>
      <c r="L57" s="6"/>
      <c r="M57" s="6"/>
      <c r="N57" s="29"/>
      <c r="O57" s="7"/>
      <c r="P57" s="6"/>
      <c r="Q57" s="13"/>
      <c r="R57" s="7"/>
      <c r="S57" s="37"/>
      <c r="T57" s="40"/>
      <c r="U57" s="40"/>
    </row>
    <row r="58" spans="1:48" ht="16" x14ac:dyDescent="0.2">
      <c r="A58" s="7"/>
      <c r="B58" s="7"/>
      <c r="C58" s="28"/>
      <c r="D58" s="28"/>
      <c r="E58" s="28"/>
      <c r="F58" s="41"/>
      <c r="G58" s="40"/>
      <c r="H58" s="28"/>
      <c r="I58" s="38"/>
      <c r="J58" s="40"/>
      <c r="K58" s="28"/>
      <c r="L58" s="6"/>
      <c r="M58" s="6"/>
      <c r="N58" s="29"/>
      <c r="O58" s="7"/>
      <c r="P58" s="6"/>
      <c r="Q58" s="13"/>
      <c r="R58" s="7"/>
      <c r="S58" s="37"/>
      <c r="T58" s="40"/>
      <c r="U58" s="40"/>
    </row>
    <row r="59" spans="1:48" ht="16" x14ac:dyDescent="0.2">
      <c r="A59" s="7"/>
      <c r="B59" s="7"/>
      <c r="C59" s="28"/>
      <c r="D59" s="28"/>
      <c r="E59" s="28"/>
      <c r="F59" s="40"/>
      <c r="G59" s="40"/>
      <c r="H59" s="28"/>
      <c r="I59" s="38"/>
      <c r="J59" s="40"/>
      <c r="K59" s="28"/>
      <c r="L59" s="6"/>
      <c r="M59" s="6"/>
      <c r="N59" s="29"/>
      <c r="O59" s="7"/>
      <c r="P59" s="6"/>
      <c r="Q59" s="13"/>
      <c r="R59" s="7"/>
      <c r="S59" s="7"/>
      <c r="T59" s="6"/>
      <c r="U59" s="48"/>
    </row>
    <row r="60" spans="1:48" ht="16" x14ac:dyDescent="0.2">
      <c r="A60" s="23"/>
      <c r="B60" s="7"/>
      <c r="C60" s="28"/>
      <c r="D60" s="28"/>
      <c r="E60" s="28"/>
      <c r="F60" s="40"/>
      <c r="G60" s="40"/>
      <c r="H60" s="28"/>
      <c r="I60" s="38"/>
      <c r="J60" s="40"/>
      <c r="K60" s="28"/>
      <c r="L60" s="6"/>
      <c r="M60" s="6"/>
      <c r="N60" s="29"/>
      <c r="O60" s="7"/>
      <c r="P60" s="6"/>
      <c r="Q60" s="13"/>
      <c r="R60" s="7"/>
      <c r="S60" s="7"/>
      <c r="T60" s="6"/>
      <c r="U60" s="48"/>
    </row>
    <row r="61" spans="1:48" ht="16" x14ac:dyDescent="0.2">
      <c r="A61" s="7"/>
      <c r="B61" s="7"/>
      <c r="C61" s="7"/>
      <c r="D61" s="7"/>
      <c r="E61" s="7"/>
      <c r="F61" s="40"/>
      <c r="G61" s="40"/>
      <c r="H61" s="7"/>
      <c r="I61" s="38"/>
      <c r="J61" s="40"/>
      <c r="K61" s="6"/>
      <c r="L61" s="6"/>
      <c r="M61" s="6"/>
      <c r="N61" s="29"/>
      <c r="O61" s="7"/>
      <c r="P61" s="6"/>
      <c r="Q61" s="13"/>
      <c r="R61" s="7"/>
      <c r="S61" s="7"/>
      <c r="T61" s="6"/>
      <c r="U61" s="48"/>
    </row>
    <row r="62" spans="1:48" ht="16" x14ac:dyDescent="0.2">
      <c r="A62" s="7"/>
      <c r="B62" s="7"/>
      <c r="C62" s="7"/>
      <c r="D62" s="7"/>
      <c r="E62" s="7"/>
      <c r="F62" s="40"/>
      <c r="G62" s="40"/>
      <c r="H62" s="7"/>
      <c r="I62" s="38"/>
      <c r="J62" s="40"/>
      <c r="K62" s="7"/>
      <c r="L62" s="7"/>
      <c r="M62" s="7"/>
      <c r="N62" s="7"/>
      <c r="O62" s="7"/>
      <c r="P62" s="7"/>
      <c r="Q62" s="7"/>
      <c r="R62" s="7"/>
      <c r="S62" s="7"/>
      <c r="T62" s="6"/>
      <c r="U62" s="48"/>
    </row>
    <row r="63" spans="1:48" ht="16" x14ac:dyDescent="0.2">
      <c r="A63" s="7"/>
      <c r="B63" s="33"/>
      <c r="C63" s="33"/>
      <c r="D63" s="33"/>
      <c r="E63" s="33"/>
      <c r="F63" s="33"/>
      <c r="G63" s="33"/>
      <c r="H63" s="33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1"/>
      <c r="U63" s="32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7"/>
      <c r="U64" s="6"/>
    </row>
    <row r="65" spans="1:21" ht="16" x14ac:dyDescent="0.2">
      <c r="A65" s="7"/>
      <c r="B65" s="6"/>
      <c r="C65" s="7"/>
      <c r="D65" s="6"/>
      <c r="E65" s="49"/>
      <c r="F65" s="49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33"/>
      <c r="U65" s="34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48"/>
    </row>
    <row r="67" spans="1:21" ht="16" x14ac:dyDescent="0.2">
      <c r="A67" s="50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48"/>
    </row>
    <row r="68" spans="1:21" ht="16" x14ac:dyDescent="0.2">
      <c r="D68" s="9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48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48"/>
    </row>
    <row r="70" spans="1:21" ht="16" x14ac:dyDescent="0.2">
      <c r="A70" s="7"/>
      <c r="B70" s="31"/>
      <c r="C70" s="23"/>
      <c r="D70" s="23"/>
      <c r="E70" s="6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7"/>
      <c r="T70" s="6"/>
      <c r="U70" s="48"/>
    </row>
    <row r="71" spans="1:21" ht="16" x14ac:dyDescent="0.2">
      <c r="C71" s="52"/>
      <c r="D71" s="52"/>
      <c r="E71" s="6"/>
      <c r="S71" s="7"/>
      <c r="T71" s="6"/>
      <c r="U71" s="48"/>
    </row>
    <row r="72" spans="1:21" ht="16" x14ac:dyDescent="0.2">
      <c r="E72" s="6"/>
      <c r="S72" s="51"/>
      <c r="T72" s="31"/>
      <c r="U72" s="35"/>
    </row>
    <row r="73" spans="1:21" x14ac:dyDescent="0.2">
      <c r="E73" s="6"/>
    </row>
    <row r="74" spans="1:21" x14ac:dyDescent="0.2">
      <c r="D74" s="9"/>
      <c r="E74" s="9"/>
      <c r="F74" s="9"/>
    </row>
  </sheetData>
  <conditionalFormatting sqref="B12:O12">
    <cfRule type="colorScale" priority="8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O25">
    <cfRule type="colorScale" priority="7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25:N25">
    <cfRule type="colorScale" priority="6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48:O48">
    <cfRule type="colorScale" priority="5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X31:X38">
    <cfRule type="colorScale" priority="4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17:R18">
    <cfRule type="colorScale" priority="3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R6:R7">
    <cfRule type="colorScale" priority="2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conditionalFormatting sqref="B51">
    <cfRule type="colorScale" priority="1">
      <colorScale>
        <cfvo type="num" val="-3"/>
        <cfvo type="num" val="0"/>
        <cfvo type="num" val="3"/>
        <color rgb="FFFF7128"/>
        <color rgb="FFFFEB84"/>
        <color rgb="FFFF6600"/>
      </colorScale>
    </cfRule>
  </conditionalFormatting>
  <pageMargins left="0.75" right="0.75" top="0.75" bottom="0.5" header="0.5" footer="0.75"/>
  <legacy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66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76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76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66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0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146.60344000000001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/>
      <c r="J23" s="8"/>
      <c r="K23" s="8"/>
      <c r="L23" s="8"/>
      <c r="M23" s="8"/>
      <c r="N23" s="8"/>
      <c r="O23" s="8">
        <v>0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85.123440000000002</v>
      </c>
      <c r="U24" s="13">
        <f>N43</f>
        <v>0.58063739841302497</v>
      </c>
    </row>
    <row r="25" spans="1:21" ht="16" x14ac:dyDescent="0.2">
      <c r="A25" s="5" t="s">
        <v>86</v>
      </c>
      <c r="B25" s="90">
        <v>45846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2.0640000000000001</v>
      </c>
      <c r="U25" s="14">
        <f>G43</f>
        <v>1.4078796513915363E-2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3.9710000000000001</v>
      </c>
      <c r="U27" s="13">
        <f>F43</f>
        <v>2.7086676820134645E-2</v>
      </c>
    </row>
    <row r="28" spans="1:21" ht="15.75" x14ac:dyDescent="0.25">
      <c r="A28" s="37" t="s">
        <v>66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349</v>
      </c>
      <c r="D31" s="8">
        <v>0</v>
      </c>
      <c r="E31" s="8">
        <v>0</v>
      </c>
      <c r="F31" s="8">
        <v>36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258</v>
      </c>
      <c r="O31" s="8">
        <v>642</v>
      </c>
      <c r="P31" s="17">
        <f>O31/O$39</f>
        <v>3.5012707103980103E-3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550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v>814</v>
      </c>
      <c r="O32" s="61">
        <f>N32+B32</f>
        <v>1364</v>
      </c>
      <c r="P32" s="17">
        <f>O32/O$39</f>
        <v>7.4388368364219411E-3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7196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7168</v>
      </c>
      <c r="O33" s="8">
        <v>14364</v>
      </c>
      <c r="P33" s="17">
        <f>O33/O$39</f>
        <v>7.8336841875633986E-2</v>
      </c>
      <c r="Q33" s="18" t="s">
        <v>39</v>
      </c>
      <c r="R33" s="3"/>
      <c r="S33" s="3" t="s">
        <v>35</v>
      </c>
      <c r="T33" s="12">
        <f>C42/1000</f>
        <v>55.445</v>
      </c>
      <c r="U33" s="14">
        <f>C43</f>
        <v>0.37819712825292501</v>
      </c>
    </row>
    <row r="34" spans="1:48" ht="15.75" x14ac:dyDescent="0.25">
      <c r="A34" s="4" t="s">
        <v>40</v>
      </c>
      <c r="B34" s="8">
        <v>0</v>
      </c>
      <c r="C34" s="8">
        <v>54530</v>
      </c>
      <c r="D34" s="8">
        <v>0</v>
      </c>
      <c r="E34" s="8">
        <v>0</v>
      </c>
      <c r="F34" s="8">
        <v>3935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54</v>
      </c>
      <c r="O34" s="8">
        <v>58519</v>
      </c>
      <c r="P34" s="17">
        <f>O34/O$39</f>
        <v>0.31914464283766536</v>
      </c>
      <c r="Q34" s="18" t="s">
        <v>41</v>
      </c>
      <c r="R34" s="3"/>
      <c r="S34" s="3"/>
      <c r="T34" s="12">
        <f>SUM(T24:T33)</f>
        <v>146.60344000000001</v>
      </c>
      <c r="U34" s="13">
        <f>SUM(U24:U33)</f>
        <v>1</v>
      </c>
    </row>
    <row r="35" spans="1:48" ht="16" x14ac:dyDescent="0.2">
      <c r="A35" s="4" t="s">
        <v>42</v>
      </c>
      <c r="B35" s="8">
        <v>1015</v>
      </c>
      <c r="C35" s="8">
        <v>139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7023</v>
      </c>
      <c r="O35" s="8">
        <v>8177</v>
      </c>
      <c r="P35" s="17">
        <f>O35/O$39</f>
        <v>4.4594845169664381E-2</v>
      </c>
      <c r="Q35" s="18" t="s">
        <v>43</v>
      </c>
      <c r="R35" s="18"/>
    </row>
    <row r="36" spans="1:48" ht="16" x14ac:dyDescent="0.2">
      <c r="A36" s="4" t="s">
        <v>44</v>
      </c>
      <c r="B36" s="8">
        <v>7020</v>
      </c>
      <c r="C36" s="8">
        <v>244</v>
      </c>
      <c r="D36" s="8">
        <v>0</v>
      </c>
      <c r="E36" s="8">
        <v>0</v>
      </c>
      <c r="F36" s="8">
        <v>0</v>
      </c>
      <c r="G36" s="8">
        <v>2064</v>
      </c>
      <c r="H36" s="8">
        <v>0</v>
      </c>
      <c r="I36" s="8"/>
      <c r="J36" s="8"/>
      <c r="K36" s="8"/>
      <c r="L36" s="8"/>
      <c r="M36" s="27"/>
      <c r="N36" s="8">
        <v>55736</v>
      </c>
      <c r="O36" s="8">
        <v>65064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27284</v>
      </c>
      <c r="C37" s="8">
        <v>183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6717</v>
      </c>
      <c r="O37" s="8">
        <v>34184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1048</v>
      </c>
      <c r="O38" s="8">
        <v>1048</v>
      </c>
      <c r="P38" s="18">
        <f>SUM(P31:P35)</f>
        <v>0.4530164374297837</v>
      </c>
      <c r="Q38" s="18"/>
      <c r="R38" s="3"/>
      <c r="S38" s="7" t="s">
        <v>47</v>
      </c>
      <c r="T38" s="19">
        <f>O45/1000</f>
        <v>9.0864399999999996</v>
      </c>
      <c r="U38" s="7"/>
    </row>
    <row r="39" spans="1:48" ht="16" x14ac:dyDescent="0.2">
      <c r="A39" s="4" t="s">
        <v>16</v>
      </c>
      <c r="B39" s="8">
        <v>43065</v>
      </c>
      <c r="C39" s="8">
        <v>55445</v>
      </c>
      <c r="D39" s="8">
        <v>0</v>
      </c>
      <c r="E39" s="8">
        <v>0</v>
      </c>
      <c r="F39" s="8">
        <v>3971</v>
      </c>
      <c r="G39" s="8">
        <v>2064</v>
      </c>
      <c r="H39" s="8">
        <v>0</v>
      </c>
      <c r="I39" s="8"/>
      <c r="J39" s="8"/>
      <c r="K39" s="8"/>
      <c r="L39" s="8"/>
      <c r="M39" s="27"/>
      <c r="N39" s="61">
        <f>SUM(N31:N38)</f>
        <v>78818</v>
      </c>
      <c r="O39" s="61">
        <f>SUM(O31:O38)</f>
        <v>183362</v>
      </c>
      <c r="P39" s="3"/>
      <c r="Q39" s="3"/>
      <c r="R39" s="3"/>
      <c r="S39" s="7" t="s">
        <v>48</v>
      </c>
      <c r="T39" s="20">
        <f>O41/1000</f>
        <v>100.29600000000001</v>
      </c>
      <c r="U39" s="13">
        <f>P41</f>
        <v>0.5469835625702163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8.1769999999999996</v>
      </c>
      <c r="U40" s="14">
        <f>P35</f>
        <v>4.4594845169664381E-2</v>
      </c>
    </row>
    <row r="41" spans="1:48" ht="16" x14ac:dyDescent="0.2">
      <c r="A41" s="21" t="s">
        <v>50</v>
      </c>
      <c r="B41" s="22">
        <f>B38+B37+B36</f>
        <v>34304</v>
      </c>
      <c r="C41" s="22">
        <f t="shared" ref="C41:O41" si="0">C38+C37+C36</f>
        <v>427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2064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63501</v>
      </c>
      <c r="O41" s="22">
        <f t="shared" si="0"/>
        <v>100296</v>
      </c>
      <c r="P41" s="17">
        <f>O41/O$39</f>
        <v>0.5469835625702163</v>
      </c>
      <c r="Q41" s="17" t="s">
        <v>51</v>
      </c>
      <c r="R41" s="7"/>
      <c r="S41" s="7" t="s">
        <v>52</v>
      </c>
      <c r="T41" s="20">
        <f>O33/1000</f>
        <v>14.364000000000001</v>
      </c>
      <c r="U41" s="13">
        <f>P33</f>
        <v>7.8336841875633986E-2</v>
      </c>
    </row>
    <row r="42" spans="1:48" ht="16" x14ac:dyDescent="0.2">
      <c r="A42" s="23" t="s">
        <v>53</v>
      </c>
      <c r="B42" s="22"/>
      <c r="C42" s="24">
        <f>C39+C23+C10</f>
        <v>55445</v>
      </c>
      <c r="D42" s="24">
        <f t="shared" ref="D42:M42" si="1">D39+D23+D10</f>
        <v>0</v>
      </c>
      <c r="E42" s="24">
        <f t="shared" si="1"/>
        <v>0</v>
      </c>
      <c r="F42" s="24">
        <f t="shared" si="1"/>
        <v>3971</v>
      </c>
      <c r="G42" s="24">
        <f t="shared" si="1"/>
        <v>2064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85123.44</v>
      </c>
      <c r="O42" s="25">
        <f>SUM(C42:N42)</f>
        <v>146603.44</v>
      </c>
      <c r="P42" s="7"/>
      <c r="Q42" s="7"/>
      <c r="R42" s="7"/>
      <c r="S42" s="7" t="s">
        <v>34</v>
      </c>
      <c r="T42" s="20">
        <f>O31/1000</f>
        <v>0.64200000000000002</v>
      </c>
      <c r="U42" s="13">
        <f>P31</f>
        <v>3.5012707103980103E-3</v>
      </c>
    </row>
    <row r="43" spans="1:48" ht="16" x14ac:dyDescent="0.2">
      <c r="A43" s="23" t="s">
        <v>54</v>
      </c>
      <c r="B43" s="22"/>
      <c r="C43" s="17">
        <f t="shared" ref="C43:N43" si="2">C42/$O42</f>
        <v>0.37819712825292501</v>
      </c>
      <c r="D43" s="17">
        <f t="shared" si="2"/>
        <v>0</v>
      </c>
      <c r="E43" s="17">
        <f t="shared" si="2"/>
        <v>0</v>
      </c>
      <c r="F43" s="17">
        <f t="shared" si="2"/>
        <v>2.7086676820134645E-2</v>
      </c>
      <c r="G43" s="17">
        <f t="shared" si="2"/>
        <v>1.4078796513915363E-2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0.58063739841302497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1.3640000000000001</v>
      </c>
      <c r="U43" s="14">
        <f>P32</f>
        <v>7.4388368364219411E-3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58.518999999999998</v>
      </c>
      <c r="U44" s="14">
        <f>P34</f>
        <v>0.31914464283766536</v>
      </c>
    </row>
    <row r="45" spans="1:48" ht="16" x14ac:dyDescent="0.2">
      <c r="A45" s="6" t="s">
        <v>57</v>
      </c>
      <c r="B45" s="6">
        <f>B23+B25-B39</f>
        <v>2781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6305.4400000000005</v>
      </c>
      <c r="O45" s="25">
        <f>B45+N45</f>
        <v>9086.44</v>
      </c>
      <c r="P45" s="7"/>
      <c r="Q45" s="7"/>
      <c r="R45" s="7"/>
      <c r="S45" s="7" t="s">
        <v>58</v>
      </c>
      <c r="T45" s="20">
        <f>SUM(T39:T44)</f>
        <v>183.36200000000002</v>
      </c>
      <c r="U45" s="13">
        <f>SUM(U39:U44)</f>
        <v>1</v>
      </c>
    </row>
    <row r="46" spans="1:48" ht="16" x14ac:dyDescent="0.2">
      <c r="A46" s="6" t="s">
        <v>93</v>
      </c>
      <c r="B46" s="74">
        <f>B45/B25</f>
        <v>6.065959952885748E-2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5" width="8.83203125" style="2"/>
    <col min="6" max="6" width="9.5" style="2" bestFit="1" customWidth="1"/>
    <col min="7" max="7" width="11.33203125" style="2" bestFit="1" customWidth="1"/>
    <col min="8" max="11" width="8.83203125" style="2"/>
    <col min="12" max="12" width="8.83203125" style="2" customWidth="1"/>
    <col min="13" max="13" width="5.33203125" style="2" customWidth="1"/>
    <col min="14" max="14" width="8.83203125" style="2"/>
    <col min="15" max="15" width="11.33203125" style="2" bestFit="1" customWidth="1"/>
    <col min="16" max="16" width="10.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67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956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54">
        <v>117600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f>SUM(B3:B8)</f>
        <v>118556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67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88</v>
      </c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486450</v>
      </c>
      <c r="C17" s="8">
        <v>0</v>
      </c>
      <c r="D17" s="8">
        <v>0</v>
      </c>
      <c r="E17" s="8">
        <v>0</v>
      </c>
      <c r="F17" s="8">
        <v>4693</v>
      </c>
      <c r="G17" s="8">
        <f>0.2727273*703730</f>
        <v>191926.38282900001</v>
      </c>
      <c r="H17" s="8">
        <v>0</v>
      </c>
      <c r="I17" s="8"/>
      <c r="J17" s="8"/>
      <c r="K17" s="8"/>
      <c r="L17" s="54">
        <f>0.7273*703730</f>
        <v>511822.82899999997</v>
      </c>
      <c r="M17" s="8"/>
      <c r="O17" s="79">
        <v>708442.21182899992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0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1775.3764118289998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486450</v>
      </c>
      <c r="C23" s="8">
        <v>0</v>
      </c>
      <c r="D23" s="8">
        <v>0</v>
      </c>
      <c r="E23" s="8">
        <v>0</v>
      </c>
      <c r="F23" s="8">
        <v>4693</v>
      </c>
      <c r="G23" s="8">
        <f>0.2727273*703730</f>
        <v>191926.38282900001</v>
      </c>
      <c r="H23" s="8">
        <v>0</v>
      </c>
      <c r="I23" s="8"/>
      <c r="J23" s="8"/>
      <c r="K23" s="8"/>
      <c r="L23" s="54">
        <f>L17</f>
        <v>511822.82899999997</v>
      </c>
      <c r="M23" s="8"/>
      <c r="N23" s="8"/>
      <c r="O23" s="8">
        <v>708442.21182899992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580.50119999999993</v>
      </c>
      <c r="U24" s="13">
        <f>N43</f>
        <v>0.32697359057618958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232.98338282900002</v>
      </c>
      <c r="U25" s="14">
        <f>G43</f>
        <v>0.131230414731589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37.993000000000002</v>
      </c>
      <c r="U27" s="13">
        <f>F43</f>
        <v>2.1399968900600329E-2</v>
      </c>
    </row>
    <row r="28" spans="1:21" ht="15.75" x14ac:dyDescent="0.25">
      <c r="A28" s="37" t="s">
        <v>67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3.9E-2</v>
      </c>
      <c r="U28" s="13">
        <f>E43</f>
        <v>2.1967172561351115E-5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2116</v>
      </c>
      <c r="D31" s="8">
        <v>0</v>
      </c>
      <c r="E31" s="8">
        <v>0</v>
      </c>
      <c r="F31" s="8">
        <v>173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5370</v>
      </c>
      <c r="O31" s="8">
        <v>7660</v>
      </c>
      <c r="P31" s="17">
        <f>O31/O$39</f>
        <v>5.2996810505268549E-3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19009</v>
      </c>
      <c r="C32" s="61">
        <v>8077</v>
      </c>
      <c r="D32" s="8">
        <v>0</v>
      </c>
      <c r="E32" s="8">
        <v>39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v>27023</v>
      </c>
      <c r="O32" s="8">
        <v>54148</v>
      </c>
      <c r="P32" s="17">
        <f>O32/O$39</f>
        <v>3.7463071739416202E-2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17726</v>
      </c>
      <c r="C33" s="8">
        <v>70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32766</v>
      </c>
      <c r="O33" s="8">
        <v>50561</v>
      </c>
      <c r="P33" s="17">
        <f>O33/O$39</f>
        <v>3.4981354255311792E-2</v>
      </c>
      <c r="Q33" s="18" t="s">
        <v>39</v>
      </c>
      <c r="R33" s="3"/>
      <c r="S33" s="3" t="s">
        <v>35</v>
      </c>
      <c r="T33" s="12">
        <f>C42/1000</f>
        <v>412.03699999999998</v>
      </c>
      <c r="U33" s="14">
        <f>C43</f>
        <v>0.23208430463234433</v>
      </c>
    </row>
    <row r="34" spans="1:48" ht="15.75" x14ac:dyDescent="0.25">
      <c r="A34" s="4" t="s">
        <v>40</v>
      </c>
      <c r="B34" s="8">
        <v>0</v>
      </c>
      <c r="C34" s="8">
        <v>397423</v>
      </c>
      <c r="D34" s="8">
        <v>0</v>
      </c>
      <c r="E34" s="8">
        <v>0</v>
      </c>
      <c r="F34" s="8">
        <v>33127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3980</v>
      </c>
      <c r="O34" s="8">
        <v>434530</v>
      </c>
      <c r="P34" s="17">
        <f>O34/O$39</f>
        <v>0.30063582335318983</v>
      </c>
      <c r="Q34" s="18" t="s">
        <v>41</v>
      </c>
      <c r="R34" s="3"/>
      <c r="S34" s="3"/>
      <c r="T34" s="12">
        <f>SUM(T24:T33)</f>
        <v>1263.5535828289999</v>
      </c>
      <c r="U34" s="13">
        <f>SUM(U24:U33)</f>
        <v>0.71171024601328459</v>
      </c>
    </row>
    <row r="35" spans="1:48" ht="16" x14ac:dyDescent="0.2">
      <c r="A35" s="4" t="s">
        <v>42</v>
      </c>
      <c r="B35" s="8">
        <v>73327</v>
      </c>
      <c r="C35" s="8">
        <v>3248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255630</v>
      </c>
      <c r="O35" s="8">
        <v>332204</v>
      </c>
      <c r="P35" s="17">
        <f>O35/O$39</f>
        <v>0.22984011014480721</v>
      </c>
      <c r="Q35" s="18" t="s">
        <v>43</v>
      </c>
      <c r="R35" s="18"/>
    </row>
    <row r="36" spans="1:48" ht="16" x14ac:dyDescent="0.2">
      <c r="A36" s="4" t="s">
        <v>44</v>
      </c>
      <c r="B36" s="8">
        <v>4343</v>
      </c>
      <c r="C36" s="8">
        <v>828</v>
      </c>
      <c r="D36" s="8">
        <v>0</v>
      </c>
      <c r="E36" s="8">
        <v>0</v>
      </c>
      <c r="F36" s="8">
        <v>0</v>
      </c>
      <c r="G36" s="8">
        <v>41057</v>
      </c>
      <c r="H36" s="8">
        <v>0</v>
      </c>
      <c r="I36" s="8"/>
      <c r="J36" s="8"/>
      <c r="K36" s="8"/>
      <c r="L36" s="8"/>
      <c r="M36" s="27"/>
      <c r="N36" s="8">
        <v>224096</v>
      </c>
      <c r="O36" s="8">
        <v>270325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198142</v>
      </c>
      <c r="C37" s="8">
        <v>275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50763</v>
      </c>
      <c r="O37" s="8">
        <v>249179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46762</v>
      </c>
      <c r="O38" s="8">
        <v>46762</v>
      </c>
      <c r="P38" s="18">
        <f>SUM(P31:P35)</f>
        <v>0.60822004054325185</v>
      </c>
      <c r="Q38" s="18"/>
      <c r="R38" s="3"/>
      <c r="S38" s="7" t="s">
        <v>47</v>
      </c>
      <c r="T38" s="19">
        <f>O45/1000</f>
        <v>91.561200000000014</v>
      </c>
      <c r="U38" s="7"/>
    </row>
    <row r="39" spans="1:48" ht="16" x14ac:dyDescent="0.2">
      <c r="A39" s="4" t="s">
        <v>16</v>
      </c>
      <c r="B39" s="8">
        <v>312547</v>
      </c>
      <c r="C39" s="61">
        <f>SUM(C31:C38)</f>
        <v>412037</v>
      </c>
      <c r="D39" s="8">
        <v>0</v>
      </c>
      <c r="E39" s="8">
        <v>39</v>
      </c>
      <c r="F39" s="8">
        <v>33300</v>
      </c>
      <c r="G39" s="8">
        <v>41057</v>
      </c>
      <c r="H39" s="8">
        <v>0</v>
      </c>
      <c r="I39" s="8"/>
      <c r="J39" s="8"/>
      <c r="K39" s="8"/>
      <c r="L39" s="8"/>
      <c r="M39" s="27"/>
      <c r="N39" s="61">
        <f>SUM(N31:N38)</f>
        <v>646390</v>
      </c>
      <c r="O39" s="8">
        <v>1445370</v>
      </c>
      <c r="P39" s="3"/>
      <c r="Q39" s="3"/>
      <c r="R39" s="3"/>
      <c r="S39" s="7" t="s">
        <v>48</v>
      </c>
      <c r="T39" s="20">
        <f>O41/1000</f>
        <v>566.26599999999996</v>
      </c>
      <c r="U39" s="13">
        <f>P41</f>
        <v>0.39177926759238119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332.20400000000001</v>
      </c>
      <c r="U40" s="14">
        <f>P35</f>
        <v>0.22984011014480721</v>
      </c>
    </row>
    <row r="41" spans="1:48" ht="16" x14ac:dyDescent="0.2">
      <c r="A41" s="21" t="s">
        <v>50</v>
      </c>
      <c r="B41" s="22">
        <f>B38+B37+B36</f>
        <v>202485</v>
      </c>
      <c r="C41" s="22">
        <f t="shared" ref="C41:O41" si="0">C38+C37+C36</f>
        <v>1103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41057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321621</v>
      </c>
      <c r="O41" s="22">
        <f t="shared" si="0"/>
        <v>566266</v>
      </c>
      <c r="P41" s="17">
        <f>O41/O$39</f>
        <v>0.39177926759238119</v>
      </c>
      <c r="Q41" s="17" t="s">
        <v>51</v>
      </c>
      <c r="R41" s="7"/>
      <c r="S41" s="7" t="s">
        <v>52</v>
      </c>
      <c r="T41" s="20">
        <f>O33/1000</f>
        <v>50.561</v>
      </c>
      <c r="U41" s="13">
        <f>P33</f>
        <v>3.4981354255311792E-2</v>
      </c>
    </row>
    <row r="42" spans="1:48" ht="16" x14ac:dyDescent="0.2">
      <c r="A42" s="23" t="s">
        <v>53</v>
      </c>
      <c r="B42" s="22"/>
      <c r="C42" s="24">
        <f>C39+C23+C10</f>
        <v>412037</v>
      </c>
      <c r="D42" s="24">
        <f t="shared" ref="D42:M42" si="1">D39+D23+D10</f>
        <v>0</v>
      </c>
      <c r="E42" s="24">
        <f t="shared" si="1"/>
        <v>39</v>
      </c>
      <c r="F42" s="24">
        <f t="shared" si="1"/>
        <v>37993</v>
      </c>
      <c r="G42" s="24">
        <f t="shared" si="1"/>
        <v>232983.38282900001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511822.82899999997</v>
      </c>
      <c r="M42" s="24">
        <f t="shared" si="1"/>
        <v>0</v>
      </c>
      <c r="N42" s="24">
        <f>N39+N23-B6+N45</f>
        <v>580501.19999999995</v>
      </c>
      <c r="O42" s="25">
        <f>SUM(C42:N42)</f>
        <v>1775376.4118289999</v>
      </c>
      <c r="P42" s="7"/>
      <c r="Q42" s="7"/>
      <c r="R42" s="7"/>
      <c r="S42" s="7" t="s">
        <v>34</v>
      </c>
      <c r="T42" s="20">
        <f>O31/1000</f>
        <v>7.66</v>
      </c>
      <c r="U42" s="13">
        <f>P31</f>
        <v>5.2996810505268549E-3</v>
      </c>
    </row>
    <row r="43" spans="1:48" ht="16" x14ac:dyDescent="0.2">
      <c r="A43" s="23" t="s">
        <v>54</v>
      </c>
      <c r="B43" s="22"/>
      <c r="C43" s="17">
        <f t="shared" ref="C43:N43" si="2">C42/$O42</f>
        <v>0.23208430463234433</v>
      </c>
      <c r="D43" s="17">
        <f t="shared" si="2"/>
        <v>0</v>
      </c>
      <c r="E43" s="17">
        <f t="shared" si="2"/>
        <v>2.1967172561351115E-5</v>
      </c>
      <c r="F43" s="17">
        <f t="shared" si="2"/>
        <v>2.1399968900600329E-2</v>
      </c>
      <c r="G43" s="17">
        <f t="shared" si="2"/>
        <v>0.131230414731589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0.28828975398671541</v>
      </c>
      <c r="M43" s="17">
        <f t="shared" si="2"/>
        <v>0</v>
      </c>
      <c r="N43" s="17">
        <f t="shared" si="2"/>
        <v>0.32697359057618958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54.148000000000003</v>
      </c>
      <c r="U43" s="14">
        <f>P32</f>
        <v>3.7463071739416202E-2</v>
      </c>
    </row>
    <row r="44" spans="1:48" x14ac:dyDescent="0.2">
      <c r="A44" s="55" t="s">
        <v>87</v>
      </c>
      <c r="B44" s="76">
        <f>446600-B39</f>
        <v>134053</v>
      </c>
      <c r="C44" s="85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434.53</v>
      </c>
      <c r="U44" s="14">
        <f>P34</f>
        <v>0.30063582335318983</v>
      </c>
    </row>
    <row r="45" spans="1:48" ht="16" x14ac:dyDescent="0.2">
      <c r="A45" s="6" t="s">
        <v>57</v>
      </c>
      <c r="B45" s="6">
        <f>B23+B25-B39-B44</f>
        <v>39850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51711.200000000004</v>
      </c>
      <c r="O45" s="25">
        <f>B45+N45</f>
        <v>91561.200000000012</v>
      </c>
      <c r="P45" s="7"/>
      <c r="Q45" s="7"/>
      <c r="R45" s="7"/>
      <c r="S45" s="7" t="s">
        <v>58</v>
      </c>
      <c r="T45" s="20">
        <f>SUM(T39:T44)</f>
        <v>1445.3690000000001</v>
      </c>
      <c r="U45" s="13">
        <f>SUM(U39:U44)</f>
        <v>0.99999930813563298</v>
      </c>
    </row>
    <row r="46" spans="1:48" ht="16" x14ac:dyDescent="0.2">
      <c r="A46" s="6" t="s">
        <v>93</v>
      </c>
      <c r="B46" s="74">
        <f>B45/B23</f>
        <v>8.1920032891355743E-2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58"/>
      <c r="C49" s="59"/>
      <c r="D49" s="59"/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41"/>
      <c r="Q49" s="59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75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68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151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61">
        <v>1269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63">
        <v>1420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68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3944</v>
      </c>
      <c r="C18" s="8">
        <v>0</v>
      </c>
      <c r="D18" s="8">
        <v>0</v>
      </c>
      <c r="E18" s="8">
        <v>0</v>
      </c>
      <c r="F18" s="8">
        <v>4498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4498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570.31171999999992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3944</v>
      </c>
      <c r="C23" s="8">
        <v>0</v>
      </c>
      <c r="D23" s="8">
        <v>0</v>
      </c>
      <c r="E23" s="8">
        <v>0</v>
      </c>
      <c r="F23" s="8">
        <v>4498</v>
      </c>
      <c r="G23" s="8">
        <v>0</v>
      </c>
      <c r="H23" s="8">
        <v>0</v>
      </c>
      <c r="I23" s="8"/>
      <c r="J23" s="8"/>
      <c r="K23" s="8"/>
      <c r="L23" s="8"/>
      <c r="M23" s="8"/>
      <c r="N23" s="8"/>
      <c r="O23" s="8">
        <v>4498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311.40071999999998</v>
      </c>
      <c r="U24" s="13">
        <f>N43</f>
        <v>0.54601844759564122</v>
      </c>
    </row>
    <row r="25" spans="1:21" ht="16" x14ac:dyDescent="0.2">
      <c r="A25" s="5" t="s">
        <v>86</v>
      </c>
      <c r="B25" s="54">
        <f>Haninge!B44</f>
        <v>134053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21.638000000000002</v>
      </c>
      <c r="U25" s="14">
        <f>G43</f>
        <v>3.7940654630067926E-2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38.156999999999996</v>
      </c>
      <c r="U27" s="13">
        <f>F43</f>
        <v>6.6905516162284032E-2</v>
      </c>
    </row>
    <row r="28" spans="1:21" ht="16" x14ac:dyDescent="0.2">
      <c r="A28" s="37" t="s">
        <v>68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324</v>
      </c>
      <c r="O31" s="8">
        <v>324</v>
      </c>
      <c r="P31" s="17">
        <f>O31/O$39</f>
        <v>4.7875452895873843E-4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273</v>
      </c>
      <c r="C32" s="61">
        <v>3713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v>11263</v>
      </c>
      <c r="O32" s="61">
        <f>SUM(B32:N32)</f>
        <v>15249</v>
      </c>
      <c r="P32" s="17">
        <f>O32/O$39</f>
        <v>2.2532493247196923E-2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9087</v>
      </c>
      <c r="C33" s="8">
        <v>56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20059</v>
      </c>
      <c r="O33" s="8">
        <v>29202</v>
      </c>
      <c r="P33" s="17">
        <f>O33/O$39</f>
        <v>4.3149968378558889E-2</v>
      </c>
      <c r="Q33" s="18" t="s">
        <v>39</v>
      </c>
      <c r="R33" s="3"/>
      <c r="S33" s="3" t="s">
        <v>35</v>
      </c>
      <c r="T33" s="12">
        <f>C42/1000</f>
        <v>199.11600000000001</v>
      </c>
      <c r="U33" s="14">
        <f>C43</f>
        <v>0.34913538161200686</v>
      </c>
    </row>
    <row r="34" spans="1:48" ht="15.75" x14ac:dyDescent="0.25">
      <c r="A34" s="4" t="s">
        <v>40</v>
      </c>
      <c r="B34" s="8">
        <v>0</v>
      </c>
      <c r="C34" s="8">
        <v>193500</v>
      </c>
      <c r="D34" s="8">
        <v>0</v>
      </c>
      <c r="E34" s="8">
        <v>0</v>
      </c>
      <c r="F34" s="8">
        <v>33659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1202</v>
      </c>
      <c r="O34" s="8">
        <v>228360</v>
      </c>
      <c r="P34" s="17">
        <f>O34/O$39</f>
        <v>0.33743328466980715</v>
      </c>
      <c r="Q34" s="18" t="s">
        <v>41</v>
      </c>
      <c r="R34" s="3"/>
      <c r="S34" s="3"/>
      <c r="T34" s="12">
        <f>SUM(T24:T33)</f>
        <v>570.31171999999992</v>
      </c>
      <c r="U34" s="13">
        <f>SUM(U24:U33)</f>
        <v>1</v>
      </c>
    </row>
    <row r="35" spans="1:48" ht="16" x14ac:dyDescent="0.2">
      <c r="A35" s="4" t="s">
        <v>42</v>
      </c>
      <c r="B35" s="8">
        <v>29414</v>
      </c>
      <c r="C35" s="8">
        <v>1088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67697</v>
      </c>
      <c r="O35" s="8">
        <v>98199</v>
      </c>
      <c r="P35" s="17">
        <f>O35/O$39</f>
        <v>0.1451025184852443</v>
      </c>
      <c r="Q35" s="18" t="s">
        <v>43</v>
      </c>
      <c r="R35" s="18"/>
    </row>
    <row r="36" spans="1:48" ht="16" x14ac:dyDescent="0.2">
      <c r="A36" s="4" t="s">
        <v>44</v>
      </c>
      <c r="B36" s="8">
        <v>408</v>
      </c>
      <c r="C36" s="8">
        <v>590</v>
      </c>
      <c r="D36" s="8">
        <v>0</v>
      </c>
      <c r="E36" s="8">
        <v>0</v>
      </c>
      <c r="F36" s="8">
        <v>0</v>
      </c>
      <c r="G36" s="8">
        <v>21638</v>
      </c>
      <c r="H36" s="8">
        <v>0</v>
      </c>
      <c r="I36" s="8"/>
      <c r="J36" s="8"/>
      <c r="K36" s="8"/>
      <c r="L36" s="8"/>
      <c r="M36" s="27"/>
      <c r="N36" s="8">
        <v>151772</v>
      </c>
      <c r="O36" s="8">
        <v>174408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94828</v>
      </c>
      <c r="C37" s="8">
        <v>169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19273</v>
      </c>
      <c r="O37" s="8">
        <v>114270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16744</v>
      </c>
      <c r="O38" s="8">
        <v>16744</v>
      </c>
      <c r="P38" s="18">
        <f>SUM(P31:P35)</f>
        <v>0.548697019309766</v>
      </c>
      <c r="Q38" s="18"/>
      <c r="R38" s="3"/>
      <c r="S38" s="7" t="s">
        <v>47</v>
      </c>
      <c r="T38" s="19">
        <f>O45/1000</f>
        <v>27.053720000000002</v>
      </c>
      <c r="U38" s="7"/>
    </row>
    <row r="39" spans="1:48" ht="16" x14ac:dyDescent="0.2">
      <c r="A39" s="4" t="s">
        <v>16</v>
      </c>
      <c r="B39" s="8">
        <v>134010</v>
      </c>
      <c r="C39" s="61">
        <f>SUM(C31:C38)</f>
        <v>199116</v>
      </c>
      <c r="D39" s="8">
        <v>0</v>
      </c>
      <c r="E39" s="8">
        <v>0</v>
      </c>
      <c r="F39" s="8">
        <v>33659</v>
      </c>
      <c r="G39" s="8">
        <v>21638</v>
      </c>
      <c r="H39" s="8">
        <v>0</v>
      </c>
      <c r="I39" s="8"/>
      <c r="J39" s="8"/>
      <c r="K39" s="8"/>
      <c r="L39" s="8"/>
      <c r="M39" s="27"/>
      <c r="N39" s="61">
        <f>SUM(N31:N38)</f>
        <v>288334</v>
      </c>
      <c r="O39" s="61">
        <f>SUM(O31:O38)</f>
        <v>676756</v>
      </c>
      <c r="P39" s="3"/>
      <c r="Q39" s="3"/>
      <c r="R39" s="3"/>
      <c r="S39" s="7" t="s">
        <v>48</v>
      </c>
      <c r="T39" s="20">
        <f>O41/1000</f>
        <v>305.42200000000003</v>
      </c>
      <c r="U39" s="13">
        <f>P41</f>
        <v>0.451302980690234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98.198999999999998</v>
      </c>
      <c r="U40" s="14">
        <f>P35</f>
        <v>0.1451025184852443</v>
      </c>
    </row>
    <row r="41" spans="1:48" ht="16" x14ac:dyDescent="0.2">
      <c r="A41" s="21" t="s">
        <v>50</v>
      </c>
      <c r="B41" s="22">
        <f>B38+B37+B36</f>
        <v>95236</v>
      </c>
      <c r="C41" s="22">
        <f t="shared" ref="C41:O41" si="0">C38+C37+C36</f>
        <v>759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21638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187789</v>
      </c>
      <c r="O41" s="22">
        <f t="shared" si="0"/>
        <v>305422</v>
      </c>
      <c r="P41" s="17">
        <f>O41/O$39</f>
        <v>0.451302980690234</v>
      </c>
      <c r="Q41" s="17" t="s">
        <v>51</v>
      </c>
      <c r="R41" s="7"/>
      <c r="S41" s="7" t="s">
        <v>52</v>
      </c>
      <c r="T41" s="20">
        <f>O33/1000</f>
        <v>29.202000000000002</v>
      </c>
      <c r="U41" s="13">
        <f>P33</f>
        <v>4.3149968378558889E-2</v>
      </c>
    </row>
    <row r="42" spans="1:48" ht="16" x14ac:dyDescent="0.2">
      <c r="A42" s="23" t="s">
        <v>53</v>
      </c>
      <c r="B42" s="22"/>
      <c r="C42" s="24">
        <f>C39+C23+C10</f>
        <v>199116</v>
      </c>
      <c r="D42" s="24">
        <f t="shared" ref="D42:M42" si="1">D39+D23+D10</f>
        <v>0</v>
      </c>
      <c r="E42" s="24">
        <f t="shared" si="1"/>
        <v>0</v>
      </c>
      <c r="F42" s="24">
        <f t="shared" si="1"/>
        <v>38157</v>
      </c>
      <c r="G42" s="24">
        <f t="shared" si="1"/>
        <v>21638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311400.71999999997</v>
      </c>
      <c r="O42" s="25">
        <f>SUM(C42:N42)</f>
        <v>570311.72</v>
      </c>
      <c r="P42" s="7"/>
      <c r="Q42" s="7"/>
      <c r="R42" s="7"/>
      <c r="S42" s="7" t="s">
        <v>34</v>
      </c>
      <c r="T42" s="20">
        <f>O31/1000</f>
        <v>0.32400000000000001</v>
      </c>
      <c r="U42" s="13">
        <f>P31</f>
        <v>4.7875452895873843E-4</v>
      </c>
    </row>
    <row r="43" spans="1:48" ht="16" x14ac:dyDescent="0.2">
      <c r="A43" s="23" t="s">
        <v>54</v>
      </c>
      <c r="B43" s="22"/>
      <c r="C43" s="17">
        <f t="shared" ref="C43:N43" si="2">C42/$O42</f>
        <v>0.34913538161200686</v>
      </c>
      <c r="D43" s="17">
        <f t="shared" si="2"/>
        <v>0</v>
      </c>
      <c r="E43" s="17">
        <f t="shared" si="2"/>
        <v>0</v>
      </c>
      <c r="F43" s="17">
        <f t="shared" si="2"/>
        <v>6.6905516162284032E-2</v>
      </c>
      <c r="G43" s="17">
        <f t="shared" si="2"/>
        <v>3.7940654630067926E-2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0.54601844759564122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15.249000000000001</v>
      </c>
      <c r="U43" s="14">
        <f>P32</f>
        <v>2.2532493247196923E-2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228.36</v>
      </c>
      <c r="U44" s="14">
        <f>P34</f>
        <v>0.33743328466980715</v>
      </c>
    </row>
    <row r="45" spans="1:48" ht="16" x14ac:dyDescent="0.2">
      <c r="A45" s="6" t="s">
        <v>57</v>
      </c>
      <c r="B45" s="6">
        <f>B23+B25-B39</f>
        <v>3987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23066.720000000001</v>
      </c>
      <c r="O45" s="25">
        <f>B45+N45</f>
        <v>27053.72</v>
      </c>
      <c r="P45" s="7"/>
      <c r="Q45" s="7"/>
      <c r="R45" s="7"/>
      <c r="S45" s="7" t="s">
        <v>58</v>
      </c>
      <c r="T45" s="20">
        <f>SUM(T39:T44)</f>
        <v>676.75600000000009</v>
      </c>
      <c r="U45" s="13">
        <f>SUM(U39:U44)</f>
        <v>1</v>
      </c>
    </row>
    <row r="46" spans="1:48" ht="16" x14ac:dyDescent="0.2">
      <c r="A46" s="6" t="s">
        <v>93</v>
      </c>
      <c r="B46" s="74">
        <f>B45/(B25+B23)</f>
        <v>2.8891932433313769E-2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3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4" width="12.83203125" style="2" customWidth="1"/>
    <col min="5" max="5" width="8.83203125" style="2"/>
    <col min="6" max="6" width="10.83203125" style="2" bestFit="1" customWidth="1"/>
    <col min="7" max="11" width="8.83203125" style="2"/>
    <col min="12" max="13" width="5.33203125" style="2" customWidth="1"/>
    <col min="14" max="14" width="8.83203125" style="2"/>
    <col min="15" max="15" width="13.5" style="2" bestFit="1" customWidth="1"/>
    <col min="16" max="18" width="8.83203125" style="2"/>
    <col min="19" max="19" width="12.5" style="2" customWidth="1"/>
    <col min="20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69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283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283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69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94372</v>
      </c>
      <c r="C18" s="8">
        <v>269</v>
      </c>
      <c r="D18" s="8">
        <v>0</v>
      </c>
      <c r="E18" s="8">
        <v>0</v>
      </c>
      <c r="F18" s="8">
        <v>12478</v>
      </c>
      <c r="G18" s="8">
        <v>72511</v>
      </c>
      <c r="H18" s="8">
        <v>7000</v>
      </c>
      <c r="I18" s="8"/>
      <c r="J18" s="8"/>
      <c r="K18" s="8"/>
      <c r="L18" s="8"/>
      <c r="M18" s="8"/>
      <c r="N18" s="54">
        <v>7612</v>
      </c>
      <c r="O18" s="54">
        <f>SUM(C18:N18)</f>
        <v>99870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64"/>
      <c r="O20" s="77">
        <f>SUM(N20)</f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518.47579999999994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94372</v>
      </c>
      <c r="C23" s="8">
        <v>269</v>
      </c>
      <c r="D23" s="8">
        <v>0</v>
      </c>
      <c r="E23" s="8">
        <v>0</v>
      </c>
      <c r="F23" s="8">
        <v>12478</v>
      </c>
      <c r="G23" s="8">
        <v>72511</v>
      </c>
      <c r="H23" s="8">
        <v>7000</v>
      </c>
      <c r="I23" s="8"/>
      <c r="J23" s="8"/>
      <c r="K23" s="8"/>
      <c r="L23" s="8"/>
      <c r="M23" s="8"/>
      <c r="N23" s="56">
        <f>SUM(N17:N20)</f>
        <v>7612</v>
      </c>
      <c r="O23" s="56">
        <f>O18+O20</f>
        <v>99870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249.16479999999999</v>
      </c>
      <c r="U24" s="13">
        <f>N43</f>
        <v>0.48057170652902215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81.043999999999997</v>
      </c>
      <c r="U25" s="14">
        <f>G43</f>
        <v>0.15631202073462253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22.739000000000001</v>
      </c>
      <c r="U27" s="13">
        <f>F43</f>
        <v>4.3857398937423887E-2</v>
      </c>
    </row>
    <row r="28" spans="1:21" ht="15.75" x14ac:dyDescent="0.25">
      <c r="A28" s="37" t="s">
        <v>69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1E-3</v>
      </c>
      <c r="U28" s="13">
        <f>E43</f>
        <v>1.9287303283971981E-6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2265</v>
      </c>
      <c r="D31" s="8">
        <v>0</v>
      </c>
      <c r="E31" s="8">
        <v>0</v>
      </c>
      <c r="F31" s="8">
        <v>229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4832</v>
      </c>
      <c r="O31" s="8">
        <v>7325</v>
      </c>
      <c r="P31" s="17">
        <f>O31/O$39</f>
        <v>1.5038473856665379E-2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56">
        <v>7646</v>
      </c>
      <c r="C32" s="8">
        <v>17325</v>
      </c>
      <c r="D32" s="8">
        <v>0</v>
      </c>
      <c r="E32" s="8">
        <v>1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32961</v>
      </c>
      <c r="O32" s="54">
        <v>57933</v>
      </c>
      <c r="P32" s="17">
        <f>O32/O$39</f>
        <v>0.11893841719292771</v>
      </c>
      <c r="Q32" s="18" t="s">
        <v>37</v>
      </c>
      <c r="R32" s="3"/>
      <c r="S32" s="3" t="s">
        <v>6</v>
      </c>
      <c r="T32" s="12">
        <f>H42/1000</f>
        <v>7</v>
      </c>
      <c r="U32" s="13">
        <f>H43</f>
        <v>1.3501112298780387E-2</v>
      </c>
    </row>
    <row r="33" spans="1:48" ht="15.75" x14ac:dyDescent="0.25">
      <c r="A33" s="4" t="s">
        <v>38</v>
      </c>
      <c r="B33" s="56">
        <v>8918</v>
      </c>
      <c r="C33" s="8">
        <v>365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26867</v>
      </c>
      <c r="O33" s="54">
        <v>36150</v>
      </c>
      <c r="P33" s="17">
        <f>O33/O$39</f>
        <v>7.4217178145863955E-2</v>
      </c>
      <c r="Q33" s="18" t="s">
        <v>39</v>
      </c>
      <c r="R33" s="3"/>
      <c r="S33" s="3" t="s">
        <v>35</v>
      </c>
      <c r="T33" s="12">
        <f>C42/1000</f>
        <v>158.52699999999999</v>
      </c>
      <c r="U33" s="14">
        <f>C43</f>
        <v>0.30575583276982266</v>
      </c>
    </row>
    <row r="34" spans="1:48" ht="15.75" x14ac:dyDescent="0.25">
      <c r="A34" s="4" t="s">
        <v>40</v>
      </c>
      <c r="B34" s="8">
        <v>0</v>
      </c>
      <c r="C34" s="8">
        <v>134201</v>
      </c>
      <c r="D34" s="8">
        <v>0</v>
      </c>
      <c r="E34" s="8">
        <v>0</v>
      </c>
      <c r="F34" s="8">
        <v>10033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5235</v>
      </c>
      <c r="O34" s="8">
        <v>149469</v>
      </c>
      <c r="P34" s="17">
        <f>O34/O$39</f>
        <v>0.30686493500094442</v>
      </c>
      <c r="Q34" s="18" t="s">
        <v>41</v>
      </c>
      <c r="R34" s="3"/>
      <c r="S34" s="3"/>
      <c r="T34" s="12">
        <f>SUM(T24:T33)</f>
        <v>518.47579999999994</v>
      </c>
      <c r="U34" s="13">
        <f>SUM(U24:U33)</f>
        <v>1</v>
      </c>
    </row>
    <row r="35" spans="1:48" ht="16" x14ac:dyDescent="0.2">
      <c r="A35" s="4" t="s">
        <v>42</v>
      </c>
      <c r="B35" s="56">
        <v>15415</v>
      </c>
      <c r="C35" s="8">
        <v>3773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61573</v>
      </c>
      <c r="O35" s="54">
        <v>80761</v>
      </c>
      <c r="P35" s="17">
        <f>O35/O$39</f>
        <v>0.16580507674240993</v>
      </c>
      <c r="Q35" s="18" t="s">
        <v>43</v>
      </c>
      <c r="R35" s="18"/>
    </row>
    <row r="36" spans="1:48" ht="16" x14ac:dyDescent="0.2">
      <c r="A36" s="4" t="s">
        <v>44</v>
      </c>
      <c r="B36" s="56">
        <v>1436</v>
      </c>
      <c r="C36" s="8">
        <v>317</v>
      </c>
      <c r="D36" s="8">
        <v>0</v>
      </c>
      <c r="E36" s="8">
        <v>0</v>
      </c>
      <c r="F36" s="8">
        <v>0</v>
      </c>
      <c r="G36" s="8">
        <v>8533</v>
      </c>
      <c r="H36" s="8">
        <v>0</v>
      </c>
      <c r="I36" s="8"/>
      <c r="J36" s="8"/>
      <c r="K36" s="8"/>
      <c r="L36" s="8"/>
      <c r="M36" s="27"/>
      <c r="N36" s="8">
        <v>71307</v>
      </c>
      <c r="O36" s="54">
        <v>81593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56">
        <v>52957</v>
      </c>
      <c r="C37" s="8">
        <v>12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12905</v>
      </c>
      <c r="O37" s="54">
        <v>65874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7980</v>
      </c>
      <c r="O38" s="8">
        <v>7980</v>
      </c>
      <c r="P38" s="18">
        <f>SUM(P31:P35)</f>
        <v>0.68086408093881146</v>
      </c>
      <c r="Q38" s="18"/>
      <c r="R38" s="3"/>
      <c r="S38" s="7" t="s">
        <v>47</v>
      </c>
      <c r="T38" s="19">
        <f>O45/1000</f>
        <v>25.893799999999999</v>
      </c>
      <c r="U38" s="7"/>
    </row>
    <row r="39" spans="1:48" ht="16" x14ac:dyDescent="0.2">
      <c r="A39" s="4" t="s">
        <v>16</v>
      </c>
      <c r="B39" s="54">
        <v>86371</v>
      </c>
      <c r="C39" s="8">
        <v>158258</v>
      </c>
      <c r="D39" s="8">
        <v>0</v>
      </c>
      <c r="E39" s="8">
        <v>1</v>
      </c>
      <c r="F39" s="8">
        <v>10261</v>
      </c>
      <c r="G39" s="8">
        <v>8533</v>
      </c>
      <c r="H39" s="8">
        <v>0</v>
      </c>
      <c r="I39" s="8"/>
      <c r="J39" s="8"/>
      <c r="K39" s="8"/>
      <c r="L39" s="8"/>
      <c r="M39" s="27"/>
      <c r="N39" s="8">
        <v>223660</v>
      </c>
      <c r="O39" s="54">
        <v>487084</v>
      </c>
      <c r="P39" s="3"/>
      <c r="Q39" s="3"/>
      <c r="R39" s="3"/>
      <c r="S39" s="7" t="s">
        <v>48</v>
      </c>
      <c r="T39" s="20">
        <f>O41/1000</f>
        <v>155.447</v>
      </c>
      <c r="U39" s="13">
        <f>P41</f>
        <v>0.3191379720951622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80.760999999999996</v>
      </c>
      <c r="U40" s="14">
        <f>P35</f>
        <v>0.16580507674240993</v>
      </c>
    </row>
    <row r="41" spans="1:48" ht="16" x14ac:dyDescent="0.2">
      <c r="A41" s="21" t="s">
        <v>50</v>
      </c>
      <c r="B41" s="22">
        <f>B38+B37+B36</f>
        <v>54393</v>
      </c>
      <c r="C41" s="22">
        <f t="shared" ref="C41:O41" si="0">C38+C37+C36</f>
        <v>329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8533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92192</v>
      </c>
      <c r="O41" s="22">
        <f t="shared" si="0"/>
        <v>155447</v>
      </c>
      <c r="P41" s="17">
        <f>O41/O$39</f>
        <v>0.3191379720951622</v>
      </c>
      <c r="Q41" s="17" t="s">
        <v>51</v>
      </c>
      <c r="R41" s="7"/>
      <c r="S41" s="7" t="s">
        <v>52</v>
      </c>
      <c r="T41" s="20">
        <f>O33/1000</f>
        <v>36.15</v>
      </c>
      <c r="U41" s="13">
        <f>P33</f>
        <v>7.4217178145863955E-2</v>
      </c>
    </row>
    <row r="42" spans="1:48" ht="16" x14ac:dyDescent="0.2">
      <c r="A42" s="23" t="s">
        <v>53</v>
      </c>
      <c r="B42" s="22"/>
      <c r="C42" s="24">
        <f>C39+C23+C10</f>
        <v>158527</v>
      </c>
      <c r="D42" s="24">
        <f t="shared" ref="D42:M42" si="1">D39+D23+D10</f>
        <v>0</v>
      </c>
      <c r="E42" s="24">
        <f t="shared" si="1"/>
        <v>1</v>
      </c>
      <c r="F42" s="24">
        <f t="shared" si="1"/>
        <v>22739</v>
      </c>
      <c r="G42" s="24">
        <f t="shared" si="1"/>
        <v>81044</v>
      </c>
      <c r="H42" s="24">
        <f t="shared" si="1"/>
        <v>7000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249164.79999999999</v>
      </c>
      <c r="O42" s="25">
        <f>SUM(C42:N42)</f>
        <v>518475.8</v>
      </c>
      <c r="P42" s="7"/>
      <c r="Q42" s="7"/>
      <c r="R42" s="7"/>
      <c r="S42" s="7" t="s">
        <v>34</v>
      </c>
      <c r="T42" s="20">
        <f>O31/1000</f>
        <v>7.3250000000000002</v>
      </c>
      <c r="U42" s="13">
        <f>P31</f>
        <v>1.5038473856665379E-2</v>
      </c>
    </row>
    <row r="43" spans="1:48" ht="16" x14ac:dyDescent="0.2">
      <c r="A43" s="23" t="s">
        <v>54</v>
      </c>
      <c r="B43" s="22"/>
      <c r="C43" s="17">
        <f t="shared" ref="C43:N43" si="2">C42/$O42</f>
        <v>0.30575583276982266</v>
      </c>
      <c r="D43" s="17">
        <f t="shared" si="2"/>
        <v>0</v>
      </c>
      <c r="E43" s="17">
        <f t="shared" si="2"/>
        <v>1.9287303283971981E-6</v>
      </c>
      <c r="F43" s="17">
        <f t="shared" si="2"/>
        <v>4.3857398937423887E-2</v>
      </c>
      <c r="G43" s="17">
        <f t="shared" si="2"/>
        <v>0.15631202073462253</v>
      </c>
      <c r="H43" s="17">
        <f t="shared" si="2"/>
        <v>1.3501112298780387E-2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0.48057170652902215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57.933</v>
      </c>
      <c r="U43" s="14">
        <f>P32</f>
        <v>0.11893841719292771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149.46899999999999</v>
      </c>
      <c r="U44" s="14">
        <f>P34</f>
        <v>0.30686493500094442</v>
      </c>
    </row>
    <row r="45" spans="1:48" ht="16" x14ac:dyDescent="0.2">
      <c r="A45" s="6" t="s">
        <v>57</v>
      </c>
      <c r="B45" s="6">
        <f>B23+B25-B39</f>
        <v>8001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17892.8</v>
      </c>
      <c r="O45" s="25">
        <f>B45+N45</f>
        <v>25893.8</v>
      </c>
      <c r="P45" s="7"/>
      <c r="Q45" s="7"/>
      <c r="R45" s="7"/>
      <c r="S45" s="7" t="s">
        <v>58</v>
      </c>
      <c r="T45" s="20">
        <f>SUM(T39:T44)</f>
        <v>487.08499999999998</v>
      </c>
      <c r="U45" s="13">
        <f>SUM(U39:U44)</f>
        <v>1.0000020530339735</v>
      </c>
    </row>
    <row r="46" spans="1:48" ht="16" x14ac:dyDescent="0.2">
      <c r="A46" s="6" t="s">
        <v>93</v>
      </c>
      <c r="B46" s="74">
        <f>B45/B23</f>
        <v>8.4781502988174454E-2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37"/>
      <c r="B47" s="37"/>
      <c r="C47" s="40"/>
      <c r="D47" s="41"/>
      <c r="E47" s="40"/>
      <c r="F47" s="40"/>
      <c r="G47" s="41"/>
      <c r="H47" s="40"/>
      <c r="I47" s="40"/>
      <c r="J47" s="8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ht="16" x14ac:dyDescent="0.2">
      <c r="A48" s="4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54"/>
      <c r="O48" s="8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E51" s="40"/>
      <c r="F51" s="40"/>
      <c r="G51" s="40"/>
      <c r="H51" s="40"/>
      <c r="I51" s="40"/>
      <c r="J51" s="38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ht="16" x14ac:dyDescent="0.2">
      <c r="A52" s="40"/>
      <c r="B52" s="8"/>
      <c r="C52" s="8"/>
      <c r="D52" s="8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ht="16" x14ac:dyDescent="0.2">
      <c r="A53" s="40"/>
      <c r="B53" s="8"/>
      <c r="C53" s="8"/>
      <c r="D53" s="8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ht="16" x14ac:dyDescent="0.2">
      <c r="A54" s="40"/>
      <c r="B54" s="8"/>
      <c r="C54" s="8"/>
      <c r="D54" s="8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ht="16" x14ac:dyDescent="0.2">
      <c r="A55" s="40"/>
      <c r="B55" s="8"/>
      <c r="C55" s="8"/>
      <c r="D55" s="8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ht="16" x14ac:dyDescent="0.2">
      <c r="A56" s="40"/>
      <c r="B56" s="8"/>
      <c r="C56" s="8"/>
      <c r="D56" s="8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8"/>
      <c r="C57" s="8"/>
      <c r="D57" s="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8"/>
      <c r="C58" s="8"/>
      <c r="D58" s="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6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4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70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156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156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70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0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204.16416000000001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/>
      <c r="J23" s="8"/>
      <c r="K23" s="8"/>
      <c r="L23" s="8"/>
      <c r="M23" s="8"/>
      <c r="N23" s="8"/>
      <c r="O23" s="8">
        <v>0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79.30116000000001</v>
      </c>
      <c r="U24" s="13">
        <f>N43</f>
        <v>0.38841861372730652</v>
      </c>
    </row>
    <row r="25" spans="1:21" ht="16" x14ac:dyDescent="0.2">
      <c r="A25" s="5" t="s">
        <v>86</v>
      </c>
      <c r="B25" s="92">
        <v>22414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7.7569999999999997</v>
      </c>
      <c r="U25" s="14">
        <f>G43</f>
        <v>3.7993935860241093E-2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9.3859999999999992</v>
      </c>
      <c r="U27" s="13">
        <f>F43</f>
        <v>4.5972809331471298E-2</v>
      </c>
    </row>
    <row r="28" spans="1:21" ht="15.75" x14ac:dyDescent="0.25">
      <c r="A28" s="37" t="s">
        <v>70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3433</v>
      </c>
      <c r="D31" s="8">
        <v>0</v>
      </c>
      <c r="E31" s="8">
        <v>0</v>
      </c>
      <c r="F31" s="8">
        <v>345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2529</v>
      </c>
      <c r="O31" s="8">
        <v>6307</v>
      </c>
      <c r="P31" s="17">
        <f>O31/O$39</f>
        <v>2.8754445153642748E-2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2879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6754</v>
      </c>
      <c r="O32" s="8">
        <v>9633</v>
      </c>
      <c r="P32" s="17">
        <f>O32/O$39</f>
        <v>4.391811799033464E-2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3650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4564</v>
      </c>
      <c r="O33" s="8">
        <v>8214</v>
      </c>
      <c r="P33" s="17">
        <f>O33/O$39</f>
        <v>3.7448709765660615E-2</v>
      </c>
      <c r="Q33" s="18" t="s">
        <v>39</v>
      </c>
      <c r="R33" s="3"/>
      <c r="S33" s="3" t="s">
        <v>35</v>
      </c>
      <c r="T33" s="12">
        <f>C42/1000</f>
        <v>107.72</v>
      </c>
      <c r="U33" s="14">
        <f>C43</f>
        <v>0.52761464108098111</v>
      </c>
    </row>
    <row r="34" spans="1:48" ht="15.75" x14ac:dyDescent="0.25">
      <c r="A34" s="4" t="s">
        <v>40</v>
      </c>
      <c r="B34" s="8">
        <v>0</v>
      </c>
      <c r="C34" s="8">
        <v>102473</v>
      </c>
      <c r="D34" s="8">
        <v>0</v>
      </c>
      <c r="E34" s="8">
        <v>0</v>
      </c>
      <c r="F34" s="8">
        <v>9041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15</v>
      </c>
      <c r="O34" s="8">
        <v>111529</v>
      </c>
      <c r="P34" s="17">
        <f>O34/O$39</f>
        <v>0.50847542627883646</v>
      </c>
      <c r="Q34" s="18" t="s">
        <v>41</v>
      </c>
      <c r="R34" s="3"/>
      <c r="S34" s="3"/>
      <c r="T34" s="12">
        <f>SUM(T24:T33)</f>
        <v>204.16416000000001</v>
      </c>
      <c r="U34" s="13">
        <f>SUM(U24:U33)</f>
        <v>1</v>
      </c>
    </row>
    <row r="35" spans="1:48" ht="16" x14ac:dyDescent="0.2">
      <c r="A35" s="4" t="s">
        <v>42</v>
      </c>
      <c r="B35" s="8">
        <v>3644</v>
      </c>
      <c r="C35" s="8">
        <v>929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12220</v>
      </c>
      <c r="O35" s="8">
        <v>16793</v>
      </c>
      <c r="P35" s="17">
        <f>O35/O$39</f>
        <v>7.6561502689887845E-2</v>
      </c>
      <c r="Q35" s="18" t="s">
        <v>43</v>
      </c>
      <c r="R35" s="18"/>
    </row>
    <row r="36" spans="1:48" ht="16" x14ac:dyDescent="0.2">
      <c r="A36" s="4" t="s">
        <v>44</v>
      </c>
      <c r="B36" s="8">
        <v>960</v>
      </c>
      <c r="C36" s="8">
        <v>256</v>
      </c>
      <c r="D36" s="8">
        <v>0</v>
      </c>
      <c r="E36" s="8">
        <v>0</v>
      </c>
      <c r="F36" s="8">
        <v>0</v>
      </c>
      <c r="G36" s="8">
        <v>7757</v>
      </c>
      <c r="H36" s="8">
        <v>0</v>
      </c>
      <c r="I36" s="8"/>
      <c r="J36" s="8"/>
      <c r="K36" s="8"/>
      <c r="L36" s="8"/>
      <c r="M36" s="27"/>
      <c r="N36" s="8">
        <v>41180</v>
      </c>
      <c r="O36" s="8">
        <v>50153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9917</v>
      </c>
      <c r="C37" s="8">
        <v>629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3334</v>
      </c>
      <c r="O37" s="8">
        <v>13880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2831</v>
      </c>
      <c r="O38" s="8">
        <v>2831</v>
      </c>
      <c r="P38" s="18">
        <f>SUM(P31:P35)</f>
        <v>0.6951582018783623</v>
      </c>
      <c r="Q38" s="18"/>
      <c r="R38" s="3"/>
      <c r="S38" s="7" t="s">
        <v>47</v>
      </c>
      <c r="T38" s="19">
        <f>O45/1000</f>
        <v>7.2381599999999997</v>
      </c>
      <c r="U38" s="7"/>
    </row>
    <row r="39" spans="1:48" ht="16" x14ac:dyDescent="0.2">
      <c r="A39" s="4" t="s">
        <v>16</v>
      </c>
      <c r="B39" s="8">
        <v>21050</v>
      </c>
      <c r="C39" s="8">
        <v>107720</v>
      </c>
      <c r="D39" s="8">
        <v>0</v>
      </c>
      <c r="E39" s="8">
        <v>0</v>
      </c>
      <c r="F39" s="8">
        <v>9386</v>
      </c>
      <c r="G39" s="8">
        <v>7757</v>
      </c>
      <c r="H39" s="8">
        <v>0</v>
      </c>
      <c r="I39" s="8"/>
      <c r="J39" s="8"/>
      <c r="K39" s="8"/>
      <c r="L39" s="8"/>
      <c r="M39" s="27"/>
      <c r="N39" s="8">
        <v>73427</v>
      </c>
      <c r="O39" s="8">
        <v>219340</v>
      </c>
      <c r="P39" s="3"/>
      <c r="Q39" s="3"/>
      <c r="R39" s="3"/>
      <c r="S39" s="7" t="s">
        <v>48</v>
      </c>
      <c r="T39" s="20">
        <f>O41/1000</f>
        <v>66.864000000000004</v>
      </c>
      <c r="U39" s="13">
        <f>P41</f>
        <v>0.30484179812163764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16.792999999999999</v>
      </c>
      <c r="U40" s="14">
        <f>P35</f>
        <v>7.6561502689887845E-2</v>
      </c>
    </row>
    <row r="41" spans="1:48" ht="16" x14ac:dyDescent="0.2">
      <c r="A41" s="21" t="s">
        <v>50</v>
      </c>
      <c r="B41" s="22">
        <f>B38+B37+B36</f>
        <v>10877</v>
      </c>
      <c r="C41" s="22">
        <f t="shared" ref="C41:O41" si="0">C38+C37+C36</f>
        <v>885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7757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47345</v>
      </c>
      <c r="O41" s="22">
        <f t="shared" si="0"/>
        <v>66864</v>
      </c>
      <c r="P41" s="17">
        <f>O41/O$39</f>
        <v>0.30484179812163764</v>
      </c>
      <c r="Q41" s="17" t="s">
        <v>51</v>
      </c>
      <c r="R41" s="7"/>
      <c r="S41" s="7" t="s">
        <v>52</v>
      </c>
      <c r="T41" s="20">
        <f>O33/1000</f>
        <v>8.2140000000000004</v>
      </c>
      <c r="U41" s="13">
        <f>P33</f>
        <v>3.7448709765660615E-2</v>
      </c>
    </row>
    <row r="42" spans="1:48" ht="16" x14ac:dyDescent="0.2">
      <c r="A42" s="23" t="s">
        <v>53</v>
      </c>
      <c r="B42" s="22"/>
      <c r="C42" s="24">
        <f>C39+C23+C10</f>
        <v>107720</v>
      </c>
      <c r="D42" s="24">
        <f t="shared" ref="D42:M42" si="1">D39+D23+D10</f>
        <v>0</v>
      </c>
      <c r="E42" s="24">
        <f t="shared" si="1"/>
        <v>0</v>
      </c>
      <c r="F42" s="24">
        <f t="shared" si="1"/>
        <v>9386</v>
      </c>
      <c r="G42" s="24">
        <f t="shared" si="1"/>
        <v>7757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79301.16</v>
      </c>
      <c r="O42" s="25">
        <f>SUM(C42:N42)</f>
        <v>204164.16</v>
      </c>
      <c r="P42" s="7"/>
      <c r="Q42" s="7"/>
      <c r="R42" s="7"/>
      <c r="S42" s="7" t="s">
        <v>34</v>
      </c>
      <c r="T42" s="20">
        <f>O31/1000</f>
        <v>6.3070000000000004</v>
      </c>
      <c r="U42" s="13">
        <f>P31</f>
        <v>2.8754445153642748E-2</v>
      </c>
    </row>
    <row r="43" spans="1:48" ht="16" x14ac:dyDescent="0.2">
      <c r="A43" s="23" t="s">
        <v>54</v>
      </c>
      <c r="B43" s="22"/>
      <c r="C43" s="17">
        <f t="shared" ref="C43:N43" si="2">C42/$O42</f>
        <v>0.52761464108098111</v>
      </c>
      <c r="D43" s="17">
        <f t="shared" si="2"/>
        <v>0</v>
      </c>
      <c r="E43" s="17">
        <f t="shared" si="2"/>
        <v>0</v>
      </c>
      <c r="F43" s="17">
        <f t="shared" si="2"/>
        <v>4.5972809331471298E-2</v>
      </c>
      <c r="G43" s="17">
        <f t="shared" si="2"/>
        <v>3.7993935860241093E-2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0.38841861372730652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9.6329999999999991</v>
      </c>
      <c r="U43" s="14">
        <f>P32</f>
        <v>4.391811799033464E-2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111.529</v>
      </c>
      <c r="U44" s="14">
        <f>P34</f>
        <v>0.50847542627883646</v>
      </c>
    </row>
    <row r="45" spans="1:48" ht="16" x14ac:dyDescent="0.2">
      <c r="A45" s="6" t="s">
        <v>57</v>
      </c>
      <c r="B45" s="6">
        <f>B23+B25-B39</f>
        <v>1364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5874.16</v>
      </c>
      <c r="O45" s="25">
        <f>B45+N45</f>
        <v>7238.16</v>
      </c>
      <c r="P45" s="7"/>
      <c r="Q45" s="7"/>
      <c r="R45" s="7"/>
      <c r="S45" s="7" t="s">
        <v>58</v>
      </c>
      <c r="T45" s="20">
        <f>SUM(T39:T44)</f>
        <v>219.34</v>
      </c>
      <c r="U45" s="13">
        <f>SUM(U39:U44)</f>
        <v>1</v>
      </c>
    </row>
    <row r="46" spans="1:48" ht="16" x14ac:dyDescent="0.2">
      <c r="A46" s="6" t="s">
        <v>93</v>
      </c>
      <c r="B46" s="74">
        <f>B45/B25</f>
        <v>6.0854822878558042E-2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1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5" enableFormatConditionsCalculation="0"/>
  <dimension ref="A1:AV62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10.1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71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614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614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71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77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77">
        <f>98440</f>
        <v>98440</v>
      </c>
      <c r="C18" s="77">
        <v>4716</v>
      </c>
      <c r="D18" s="8">
        <v>0</v>
      </c>
      <c r="E18" s="8">
        <v>0</v>
      </c>
      <c r="F18" s="77">
        <v>61851</v>
      </c>
      <c r="G18" s="77">
        <f>43066</f>
        <v>43066</v>
      </c>
      <c r="H18" s="8">
        <v>1729</v>
      </c>
      <c r="I18" s="8"/>
      <c r="J18" s="8"/>
      <c r="K18" s="8"/>
      <c r="L18" s="8"/>
      <c r="M18" s="8"/>
      <c r="N18" s="67">
        <f>25000*0.66/3</f>
        <v>5500</v>
      </c>
      <c r="O18" s="67">
        <f>SUM(C18:N18)</f>
        <v>116862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1303.50044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77">
        <f>B18</f>
        <v>98440</v>
      </c>
      <c r="C23" s="77">
        <f>C18</f>
        <v>4716</v>
      </c>
      <c r="D23" s="8">
        <v>0</v>
      </c>
      <c r="E23" s="8">
        <v>0</v>
      </c>
      <c r="F23" s="8">
        <v>61851</v>
      </c>
      <c r="G23" s="77">
        <f>G18</f>
        <v>43066</v>
      </c>
      <c r="H23" s="8">
        <v>1729</v>
      </c>
      <c r="I23" s="8"/>
      <c r="J23" s="8"/>
      <c r="K23" s="8"/>
      <c r="L23" s="8"/>
      <c r="M23" s="8"/>
      <c r="N23" s="67">
        <f>SUM(N17:N20)</f>
        <v>5500</v>
      </c>
      <c r="O23" s="67">
        <f>SUM(C23:N23)</f>
        <v>116862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609.53643999999997</v>
      </c>
      <c r="U24" s="13">
        <f>N43</f>
        <v>0.46761506271528375</v>
      </c>
    </row>
    <row r="25" spans="1:21" ht="16" x14ac:dyDescent="0.2">
      <c r="A25" s="2" t="s">
        <v>86</v>
      </c>
      <c r="B25" s="92">
        <v>4715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62.677</v>
      </c>
      <c r="U25" s="14">
        <f>G43</f>
        <v>4.8083604789577211E-2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111.756</v>
      </c>
      <c r="U27" s="13">
        <f>F43</f>
        <v>8.5735299022990749E-2</v>
      </c>
    </row>
    <row r="28" spans="1:21" ht="16" x14ac:dyDescent="0.2">
      <c r="A28" s="37" t="s">
        <v>71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1.4999999999999999E-2</v>
      </c>
      <c r="U28" s="13">
        <f>E43</f>
        <v>1.1507475977530165E-5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513</v>
      </c>
      <c r="D31" s="8">
        <v>0</v>
      </c>
      <c r="E31" s="8">
        <v>0</v>
      </c>
      <c r="F31" s="8">
        <v>53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1689</v>
      </c>
      <c r="O31" s="8">
        <v>2256</v>
      </c>
      <c r="P31" s="17">
        <f>O31/O$39</f>
        <v>1.8123932025614514E-3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474</v>
      </c>
      <c r="C32" s="61">
        <f>C39-SUM(C33:C38,C31)</f>
        <v>3532</v>
      </c>
      <c r="D32" s="8">
        <v>0</v>
      </c>
      <c r="E32" s="61">
        <v>15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46045</v>
      </c>
      <c r="O32" s="8">
        <v>50065</v>
      </c>
      <c r="P32" s="17">
        <f>O32/O$39</f>
        <v>4.0220507839644974E-2</v>
      </c>
      <c r="Q32" s="18" t="s">
        <v>37</v>
      </c>
      <c r="R32" s="3"/>
      <c r="S32" s="3" t="s">
        <v>6</v>
      </c>
      <c r="T32" s="12">
        <f>H42/1000</f>
        <v>1.7290000000000001</v>
      </c>
      <c r="U32" s="13">
        <f>H43</f>
        <v>1.3264283976766437E-3</v>
      </c>
    </row>
    <row r="33" spans="1:48" ht="15.75" x14ac:dyDescent="0.25">
      <c r="A33" s="4" t="s">
        <v>38</v>
      </c>
      <c r="B33" s="8">
        <v>16702</v>
      </c>
      <c r="C33" s="8">
        <v>6722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37681</v>
      </c>
      <c r="O33" s="8">
        <v>61105</v>
      </c>
      <c r="P33" s="17">
        <f>O33/O$39</f>
        <v>4.9089666064945699E-2</v>
      </c>
      <c r="Q33" s="18" t="s">
        <v>39</v>
      </c>
      <c r="R33" s="3"/>
      <c r="S33" s="3" t="s">
        <v>35</v>
      </c>
      <c r="T33" s="12">
        <f>C42/1000</f>
        <v>517.78700000000003</v>
      </c>
      <c r="U33" s="14">
        <f>C43</f>
        <v>0.39722809759849409</v>
      </c>
    </row>
    <row r="34" spans="1:48" ht="15.75" x14ac:dyDescent="0.25">
      <c r="A34" s="4" t="s">
        <v>40</v>
      </c>
      <c r="B34" s="8">
        <v>0</v>
      </c>
      <c r="C34" s="8">
        <v>494266</v>
      </c>
      <c r="D34" s="8">
        <v>0</v>
      </c>
      <c r="E34" s="8">
        <v>0</v>
      </c>
      <c r="F34" s="8">
        <v>49852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8465</v>
      </c>
      <c r="O34" s="8">
        <v>552584</v>
      </c>
      <c r="P34" s="17">
        <f>O34/O$39</f>
        <v>0.4439270768813019</v>
      </c>
      <c r="Q34" s="18" t="s">
        <v>41</v>
      </c>
      <c r="R34" s="3"/>
      <c r="S34" s="3"/>
      <c r="T34" s="12">
        <f>SUM(T24:T33)</f>
        <v>1303.50044</v>
      </c>
      <c r="U34" s="13">
        <f>SUM(U24:U33)</f>
        <v>0.99999999999999989</v>
      </c>
    </row>
    <row r="35" spans="1:48" ht="16" x14ac:dyDescent="0.2">
      <c r="A35" s="4" t="s">
        <v>42</v>
      </c>
      <c r="B35" s="8">
        <v>28815</v>
      </c>
      <c r="C35" s="8">
        <v>6263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163987</v>
      </c>
      <c r="O35" s="8">
        <v>199065</v>
      </c>
      <c r="P35" s="17">
        <f>O35/O$39</f>
        <v>0.15992200924995362</v>
      </c>
      <c r="Q35" s="18" t="s">
        <v>43</v>
      </c>
      <c r="R35" s="18"/>
    </row>
    <row r="36" spans="1:48" ht="16" x14ac:dyDescent="0.2">
      <c r="A36" s="4" t="s">
        <v>44</v>
      </c>
      <c r="B36" s="8">
        <v>3763</v>
      </c>
      <c r="C36" s="8">
        <v>1609</v>
      </c>
      <c r="D36" s="8">
        <v>0</v>
      </c>
      <c r="E36" s="8">
        <v>0</v>
      </c>
      <c r="F36" s="8">
        <v>0</v>
      </c>
      <c r="G36" s="8">
        <v>19611</v>
      </c>
      <c r="H36" s="8">
        <v>0</v>
      </c>
      <c r="I36" s="8"/>
      <c r="J36" s="8"/>
      <c r="K36" s="8"/>
      <c r="L36" s="8"/>
      <c r="M36" s="27"/>
      <c r="N36" s="8">
        <v>264993</v>
      </c>
      <c r="O36" s="8">
        <v>289976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53114</v>
      </c>
      <c r="C37" s="8">
        <v>166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35998</v>
      </c>
      <c r="O37" s="8">
        <v>89278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435</v>
      </c>
      <c r="O38" s="8">
        <v>435</v>
      </c>
      <c r="P38" s="18">
        <f>SUM(P31:P35)</f>
        <v>0.69497165323840759</v>
      </c>
      <c r="Q38" s="18"/>
      <c r="R38" s="3"/>
      <c r="S38" s="7" t="s">
        <v>47</v>
      </c>
      <c r="T38" s="19">
        <f>O45/1000</f>
        <v>45.030440000000006</v>
      </c>
      <c r="U38" s="7"/>
    </row>
    <row r="39" spans="1:48" ht="16" x14ac:dyDescent="0.2">
      <c r="A39" s="4" t="s">
        <v>16</v>
      </c>
      <c r="B39" s="8">
        <v>102868</v>
      </c>
      <c r="C39" s="61">
        <f>O39-SUM(D39:N39,B39)</f>
        <v>513071</v>
      </c>
      <c r="D39" s="8">
        <v>0</v>
      </c>
      <c r="E39" s="61">
        <v>15</v>
      </c>
      <c r="F39" s="8">
        <v>49905</v>
      </c>
      <c r="G39" s="8">
        <v>19611</v>
      </c>
      <c r="H39" s="8">
        <v>0</v>
      </c>
      <c r="I39" s="8"/>
      <c r="J39" s="8"/>
      <c r="K39" s="8"/>
      <c r="L39" s="8"/>
      <c r="M39" s="27"/>
      <c r="N39" s="8">
        <v>559293</v>
      </c>
      <c r="O39" s="8">
        <v>1244763</v>
      </c>
      <c r="P39" s="3"/>
      <c r="Q39" s="3"/>
      <c r="R39" s="3"/>
      <c r="S39" s="7" t="s">
        <v>48</v>
      </c>
      <c r="T39" s="20">
        <f>O41/1000</f>
        <v>379.68900000000002</v>
      </c>
      <c r="U39" s="13">
        <f>P41</f>
        <v>0.30502915012737364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199.065</v>
      </c>
      <c r="U40" s="14">
        <f>P35</f>
        <v>0.15992200924995362</v>
      </c>
    </row>
    <row r="41" spans="1:48" ht="16" x14ac:dyDescent="0.2">
      <c r="A41" s="21" t="s">
        <v>50</v>
      </c>
      <c r="B41" s="22">
        <f>B38+B37+B36</f>
        <v>56877</v>
      </c>
      <c r="C41" s="22">
        <f t="shared" ref="C41:O41" si="0">C38+C37+C36</f>
        <v>1775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19611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301426</v>
      </c>
      <c r="O41" s="22">
        <f t="shared" si="0"/>
        <v>379689</v>
      </c>
      <c r="P41" s="17">
        <f>O41/O$39</f>
        <v>0.30502915012737364</v>
      </c>
      <c r="Q41" s="17" t="s">
        <v>51</v>
      </c>
      <c r="R41" s="7"/>
      <c r="S41" s="7" t="s">
        <v>52</v>
      </c>
      <c r="T41" s="20">
        <f>O33/1000</f>
        <v>61.104999999999997</v>
      </c>
      <c r="U41" s="13">
        <f>P33</f>
        <v>4.9089666064945699E-2</v>
      </c>
    </row>
    <row r="42" spans="1:48" ht="16" x14ac:dyDescent="0.2">
      <c r="A42" s="23" t="s">
        <v>53</v>
      </c>
      <c r="B42" s="22"/>
      <c r="C42" s="24">
        <f>C39+C23+C10</f>
        <v>517787</v>
      </c>
      <c r="D42" s="24">
        <f t="shared" ref="D42:M42" si="1">D39+D23+D10</f>
        <v>0</v>
      </c>
      <c r="E42" s="24">
        <f t="shared" si="1"/>
        <v>15</v>
      </c>
      <c r="F42" s="24">
        <f t="shared" si="1"/>
        <v>111756</v>
      </c>
      <c r="G42" s="24">
        <f t="shared" si="1"/>
        <v>62677</v>
      </c>
      <c r="H42" s="24">
        <f t="shared" si="1"/>
        <v>1729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609536.43999999994</v>
      </c>
      <c r="O42" s="25">
        <f>SUM(C42:N42)</f>
        <v>1303500.44</v>
      </c>
      <c r="P42" s="7"/>
      <c r="Q42" s="7"/>
      <c r="R42" s="7"/>
      <c r="S42" s="7" t="s">
        <v>34</v>
      </c>
      <c r="T42" s="20">
        <f>O31/1000</f>
        <v>2.2559999999999998</v>
      </c>
      <c r="U42" s="13">
        <f>P31</f>
        <v>1.8123932025614514E-3</v>
      </c>
    </row>
    <row r="43" spans="1:48" ht="16" x14ac:dyDescent="0.2">
      <c r="A43" s="23" t="s">
        <v>54</v>
      </c>
      <c r="B43" s="22"/>
      <c r="C43" s="17">
        <f t="shared" ref="C43:N43" si="2">C42/$O42</f>
        <v>0.39722809759849409</v>
      </c>
      <c r="D43" s="17">
        <f t="shared" si="2"/>
        <v>0</v>
      </c>
      <c r="E43" s="17">
        <f t="shared" si="2"/>
        <v>1.1507475977530165E-5</v>
      </c>
      <c r="F43" s="17">
        <f t="shared" si="2"/>
        <v>8.5735299022990749E-2</v>
      </c>
      <c r="G43" s="17">
        <f t="shared" si="2"/>
        <v>4.8083604789577211E-2</v>
      </c>
      <c r="H43" s="17">
        <f t="shared" si="2"/>
        <v>1.3264283976766437E-3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0.46761506271528375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50.064999999999998</v>
      </c>
      <c r="U43" s="14">
        <f>P32</f>
        <v>4.0220507839644974E-2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552.58399999999995</v>
      </c>
      <c r="U44" s="14">
        <f>P34</f>
        <v>0.4439270768813019</v>
      </c>
    </row>
    <row r="45" spans="1:48" ht="16" x14ac:dyDescent="0.2">
      <c r="A45" s="6" t="s">
        <v>57</v>
      </c>
      <c r="B45" s="6">
        <f>B23+B25-B39</f>
        <v>287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44743.44</v>
      </c>
      <c r="O45" s="25">
        <f>B45+N45</f>
        <v>45030.44</v>
      </c>
      <c r="P45" s="7"/>
      <c r="Q45" s="7"/>
      <c r="R45" s="7"/>
      <c r="S45" s="7" t="s">
        <v>58</v>
      </c>
      <c r="T45" s="20">
        <f>SUM(T39:T44)</f>
        <v>1244.7640000000001</v>
      </c>
      <c r="U45" s="13">
        <f>SUM(U39:U44)</f>
        <v>1.0000008033657812</v>
      </c>
    </row>
    <row r="46" spans="1:48" ht="16" x14ac:dyDescent="0.2">
      <c r="A46" s="6" t="s">
        <v>93</v>
      </c>
      <c r="B46" s="74">
        <f>B45/(B23+B25)</f>
        <v>2.7822209296689449E-3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21" ht="16" x14ac:dyDescent="0.2">
      <c r="A49" s="6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6"/>
      <c r="Q49" s="13"/>
      <c r="R49" s="7"/>
      <c r="S49" s="7"/>
      <c r="T49" s="6"/>
      <c r="U49" s="30"/>
    </row>
    <row r="50" spans="1:21" ht="16" x14ac:dyDescent="0.2">
      <c r="A50" s="6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6"/>
      <c r="Q50" s="13"/>
      <c r="R50" s="7"/>
      <c r="S50" s="7"/>
      <c r="T50" s="6"/>
      <c r="U50" s="30"/>
    </row>
    <row r="51" spans="1:21" ht="16" x14ac:dyDescent="0.2">
      <c r="A51" s="6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6"/>
      <c r="Q51" s="13"/>
      <c r="R51" s="7"/>
      <c r="S51" s="7"/>
      <c r="T51" s="6"/>
      <c r="U51" s="30"/>
    </row>
    <row r="52" spans="1:21" ht="16" x14ac:dyDescent="0.2">
      <c r="A52" s="23"/>
      <c r="B52" s="7"/>
      <c r="C52" s="28"/>
      <c r="D52" s="28"/>
      <c r="E52" s="28"/>
      <c r="F52" s="28"/>
      <c r="G52" s="28"/>
      <c r="H52" s="28"/>
      <c r="I52" s="28"/>
      <c r="J52" s="28"/>
      <c r="K52" s="28"/>
      <c r="L52" s="6"/>
      <c r="M52" s="6"/>
      <c r="N52" s="29"/>
      <c r="O52" s="7"/>
      <c r="P52" s="6"/>
      <c r="Q52" s="13"/>
      <c r="R52" s="7"/>
      <c r="S52" s="7"/>
      <c r="T52" s="6"/>
      <c r="U52" s="30"/>
    </row>
    <row r="53" spans="1:21" ht="16" x14ac:dyDescent="0.2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6"/>
      <c r="M53" s="6"/>
      <c r="N53" s="29"/>
      <c r="O53" s="7"/>
      <c r="P53" s="6"/>
      <c r="Q53" s="13"/>
      <c r="R53" s="7"/>
      <c r="S53" s="7"/>
      <c r="T53" s="31"/>
      <c r="U53" s="32"/>
    </row>
    <row r="54" spans="1:21" x14ac:dyDescent="0.2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6"/>
    </row>
    <row r="55" spans="1:21" x14ac:dyDescent="0.2">
      <c r="A55" s="7"/>
      <c r="B55" s="33"/>
      <c r="C55" s="33"/>
      <c r="D55" s="33"/>
      <c r="E55" s="33"/>
      <c r="F55" s="33"/>
      <c r="G55" s="33"/>
      <c r="H55" s="33"/>
      <c r="I55" s="33"/>
      <c r="J55" s="7"/>
      <c r="K55" s="7"/>
      <c r="L55" s="7"/>
      <c r="M55" s="7"/>
      <c r="N55" s="7"/>
      <c r="O55" s="7"/>
      <c r="P55" s="7"/>
      <c r="Q55" s="7"/>
      <c r="R55" s="7"/>
      <c r="S55" s="7"/>
      <c r="T55" s="33"/>
      <c r="U55" s="34"/>
    </row>
    <row r="56" spans="1:21" ht="16" x14ac:dyDescent="0.2">
      <c r="A56" s="7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  <c r="N56" s="7"/>
      <c r="O56" s="7"/>
      <c r="P56" s="6"/>
      <c r="Q56" s="29"/>
      <c r="R56" s="7"/>
      <c r="S56" s="7"/>
      <c r="T56" s="6"/>
      <c r="U56" s="30"/>
    </row>
    <row r="57" spans="1:21" ht="16" x14ac:dyDescent="0.2">
      <c r="A57" s="7"/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6"/>
      <c r="Q57" s="29"/>
      <c r="R57" s="7"/>
      <c r="S57" s="7"/>
      <c r="T57" s="6"/>
      <c r="U57" s="30"/>
    </row>
    <row r="58" spans="1:21" ht="16" x14ac:dyDescent="0.2">
      <c r="A58" s="7"/>
      <c r="B58" s="6"/>
      <c r="C58" s="6"/>
      <c r="D58" s="6"/>
      <c r="E58" s="6"/>
      <c r="F58" s="6"/>
      <c r="G58" s="6"/>
      <c r="H58" s="6"/>
      <c r="I58" s="6"/>
      <c r="J58" s="7"/>
      <c r="K58" s="7"/>
      <c r="L58" s="7"/>
      <c r="M58" s="7"/>
      <c r="N58" s="7"/>
      <c r="O58" s="7"/>
      <c r="P58" s="6"/>
      <c r="Q58" s="29"/>
      <c r="R58" s="7"/>
      <c r="S58" s="7"/>
      <c r="T58" s="6"/>
      <c r="U58" s="30"/>
    </row>
    <row r="59" spans="1:21" ht="16" x14ac:dyDescent="0.2">
      <c r="A59" s="7"/>
      <c r="B59" s="6"/>
      <c r="C59" s="6"/>
      <c r="D59" s="6"/>
      <c r="E59" s="6"/>
      <c r="F59" s="6"/>
      <c r="G59" s="6"/>
      <c r="H59" s="6"/>
      <c r="I59" s="6"/>
      <c r="J59" s="7"/>
      <c r="K59" s="7"/>
      <c r="L59" s="7"/>
      <c r="M59" s="7"/>
      <c r="N59" s="7"/>
      <c r="O59" s="7"/>
      <c r="P59" s="6"/>
      <c r="Q59" s="29"/>
      <c r="R59" s="7"/>
      <c r="S59" s="7"/>
      <c r="T59" s="6"/>
      <c r="U59" s="30"/>
    </row>
    <row r="60" spans="1:21" ht="16" x14ac:dyDescent="0.2">
      <c r="A60" s="7"/>
      <c r="B60" s="6"/>
      <c r="C60" s="6"/>
      <c r="D60" s="6"/>
      <c r="E60" s="6"/>
      <c r="F60" s="6"/>
      <c r="G60" s="6"/>
      <c r="H60" s="6"/>
      <c r="I60" s="6"/>
      <c r="J60" s="7"/>
      <c r="K60" s="7"/>
      <c r="L60" s="7"/>
      <c r="M60" s="7"/>
      <c r="N60" s="7"/>
      <c r="O60" s="7"/>
      <c r="P60" s="6"/>
      <c r="Q60" s="29"/>
      <c r="R60" s="7"/>
      <c r="S60" s="7"/>
      <c r="T60" s="6"/>
      <c r="U60" s="30"/>
    </row>
    <row r="61" spans="1:21" ht="16" x14ac:dyDescent="0.2">
      <c r="A61" s="7"/>
      <c r="B61" s="6"/>
      <c r="C61" s="6"/>
      <c r="D61" s="6"/>
      <c r="E61" s="6"/>
      <c r="F61" s="6"/>
      <c r="G61" s="6"/>
      <c r="H61" s="6"/>
      <c r="I61" s="6"/>
      <c r="J61" s="7"/>
      <c r="K61" s="7"/>
      <c r="L61" s="7"/>
      <c r="M61" s="7"/>
      <c r="N61" s="7"/>
      <c r="O61" s="7"/>
      <c r="P61" s="6"/>
      <c r="Q61" s="29"/>
      <c r="R61" s="7"/>
      <c r="S61" s="7"/>
      <c r="T61" s="6"/>
      <c r="U61" s="30"/>
    </row>
    <row r="62" spans="1:21" ht="16" x14ac:dyDescent="0.2">
      <c r="A62" s="7"/>
      <c r="B62" s="31"/>
      <c r="C62" s="31"/>
      <c r="D62" s="31"/>
      <c r="E62" s="31"/>
      <c r="F62" s="31"/>
      <c r="G62" s="31"/>
      <c r="H62" s="31"/>
      <c r="I62" s="31"/>
      <c r="J62" s="7"/>
      <c r="K62" s="7"/>
      <c r="L62" s="7"/>
      <c r="M62" s="7"/>
      <c r="N62" s="7"/>
      <c r="O62" s="7"/>
      <c r="P62" s="31"/>
      <c r="Q62" s="35"/>
      <c r="R62" s="7"/>
      <c r="S62" s="36"/>
      <c r="T62" s="31"/>
      <c r="U62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6" enableFormatConditionsCalculation="0"/>
  <dimension ref="A1:AV70"/>
  <sheetViews>
    <sheetView topLeftCell="A2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72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287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287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72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3103</v>
      </c>
      <c r="C18" s="8">
        <v>4915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4915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485.53840000000002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3103</v>
      </c>
      <c r="C23" s="8">
        <v>4915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/>
      <c r="J23" s="8"/>
      <c r="K23" s="8"/>
      <c r="L23" s="8"/>
      <c r="M23" s="8"/>
      <c r="N23" s="8"/>
      <c r="O23" s="8">
        <v>4915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332.8614</v>
      </c>
      <c r="U24" s="13">
        <f>N43</f>
        <v>0.68555113251598643</v>
      </c>
    </row>
    <row r="25" spans="1:21" ht="16" x14ac:dyDescent="0.2">
      <c r="A25" s="5" t="s">
        <v>86</v>
      </c>
      <c r="B25" s="54">
        <f>76378-B23</f>
        <v>73275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9.875</v>
      </c>
      <c r="U25" s="14">
        <f>G43</f>
        <v>2.0338247191159339E-2</v>
      </c>
    </row>
    <row r="26" spans="1:21" ht="15.75" x14ac:dyDescent="0.25">
      <c r="B26" s="9"/>
      <c r="C26" s="9"/>
      <c r="D26" s="9"/>
      <c r="E26" s="8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8.9879999999999995</v>
      </c>
      <c r="U27" s="13">
        <f>F43</f>
        <v>1.8511409190292673E-2</v>
      </c>
    </row>
    <row r="28" spans="1:21" ht="15.75" x14ac:dyDescent="0.25">
      <c r="A28" s="37" t="s">
        <v>72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703</v>
      </c>
      <c r="O31" s="8">
        <v>703</v>
      </c>
      <c r="P31" s="17">
        <f>O31/O$39</f>
        <v>1.3306430242506378E-3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7">
        <v>950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6804</v>
      </c>
      <c r="O32" s="63">
        <f>SUM(B32:N32)</f>
        <v>7754</v>
      </c>
      <c r="P32" s="17">
        <f>O32/O$39</f>
        <v>1.4676822204892526E-2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7">
        <v>25111</v>
      </c>
      <c r="C33" s="8">
        <v>245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57811</v>
      </c>
      <c r="O33" s="63">
        <f>SUM(B33:N33)</f>
        <v>83167</v>
      </c>
      <c r="P33" s="17">
        <f>O33/O$39</f>
        <v>0.15741904466266401</v>
      </c>
      <c r="Q33" s="18" t="s">
        <v>39</v>
      </c>
      <c r="R33" s="3"/>
      <c r="S33" s="3" t="s">
        <v>35</v>
      </c>
      <c r="T33" s="12">
        <f>C42/1000</f>
        <v>133.81399999999999</v>
      </c>
      <c r="U33" s="14">
        <f>C43</f>
        <v>0.27559921110256158</v>
      </c>
    </row>
    <row r="34" spans="1:48" ht="15.75" x14ac:dyDescent="0.25">
      <c r="A34" s="4" t="s">
        <v>40</v>
      </c>
      <c r="B34" s="8">
        <v>0</v>
      </c>
      <c r="C34" s="8">
        <v>120907</v>
      </c>
      <c r="D34" s="8">
        <v>0</v>
      </c>
      <c r="E34" s="8">
        <v>0</v>
      </c>
      <c r="F34" s="8">
        <v>8988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2487</v>
      </c>
      <c r="O34" s="8">
        <v>132382</v>
      </c>
      <c r="P34" s="17">
        <f>O34/O$39</f>
        <v>0.25057352039309805</v>
      </c>
      <c r="Q34" s="18" t="s">
        <v>41</v>
      </c>
      <c r="R34" s="3"/>
      <c r="S34" s="3"/>
      <c r="T34" s="12">
        <f>SUM(T24:T33)</f>
        <v>485.53840000000002</v>
      </c>
      <c r="U34" s="13">
        <f>SUM(U24:U33)</f>
        <v>1</v>
      </c>
    </row>
    <row r="35" spans="1:48" ht="16" x14ac:dyDescent="0.2">
      <c r="A35" s="4" t="s">
        <v>42</v>
      </c>
      <c r="B35" s="87">
        <v>11559</v>
      </c>
      <c r="C35" s="61">
        <f>C39-SUM(C36:C38,C31:C34)</f>
        <v>4532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65862</v>
      </c>
      <c r="O35" s="67">
        <f>SUM(B35:N35)</f>
        <v>81953</v>
      </c>
      <c r="P35" s="17">
        <f>O35/O$39</f>
        <v>0.15512117747711596</v>
      </c>
      <c r="Q35" s="18" t="s">
        <v>43</v>
      </c>
      <c r="R35" s="18"/>
    </row>
    <row r="36" spans="1:48" ht="16" x14ac:dyDescent="0.2">
      <c r="A36" s="4" t="s">
        <v>44</v>
      </c>
      <c r="B36" s="87">
        <v>201</v>
      </c>
      <c r="C36" s="61">
        <v>2240</v>
      </c>
      <c r="D36" s="8">
        <v>0</v>
      </c>
      <c r="E36" s="8">
        <v>0</v>
      </c>
      <c r="F36" s="8">
        <v>0</v>
      </c>
      <c r="G36" s="8">
        <v>9875</v>
      </c>
      <c r="H36" s="8">
        <v>0</v>
      </c>
      <c r="I36" s="8"/>
      <c r="J36" s="8"/>
      <c r="K36" s="8"/>
      <c r="L36" s="8"/>
      <c r="M36" s="27"/>
      <c r="N36" s="8">
        <v>161241</v>
      </c>
      <c r="O36" s="8">
        <f>SUM(B36:N36)</f>
        <v>173557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7">
        <v>34528</v>
      </c>
      <c r="C37" s="61">
        <v>975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13186</v>
      </c>
      <c r="O37" s="63">
        <f>SUM(B37:N37)</f>
        <v>48689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111</v>
      </c>
      <c r="O38" s="8">
        <v>111</v>
      </c>
      <c r="P38" s="18">
        <f>SUM(P31:P35)</f>
        <v>0.57912120776202114</v>
      </c>
      <c r="Q38" s="18"/>
      <c r="R38" s="3"/>
      <c r="S38" s="7" t="s">
        <v>47</v>
      </c>
      <c r="T38" s="19">
        <f>O45/1000</f>
        <v>28.685400000000001</v>
      </c>
      <c r="U38" s="7"/>
    </row>
    <row r="39" spans="1:48" ht="16" x14ac:dyDescent="0.2">
      <c r="A39" s="4" t="s">
        <v>16</v>
      </c>
      <c r="B39" s="54">
        <v>72349</v>
      </c>
      <c r="C39" s="8">
        <v>128899</v>
      </c>
      <c r="D39" s="8">
        <v>0</v>
      </c>
      <c r="E39" s="8">
        <v>0</v>
      </c>
      <c r="F39" s="8">
        <v>8988</v>
      </c>
      <c r="G39" s="8">
        <v>9875</v>
      </c>
      <c r="H39" s="8">
        <v>0</v>
      </c>
      <c r="I39" s="8"/>
      <c r="J39" s="8"/>
      <c r="K39" s="8"/>
      <c r="L39" s="8"/>
      <c r="M39" s="27"/>
      <c r="N39" s="8">
        <v>308205</v>
      </c>
      <c r="O39" s="67">
        <v>528316</v>
      </c>
      <c r="P39" s="3"/>
      <c r="Q39" s="3"/>
      <c r="R39" s="3"/>
      <c r="S39" s="7" t="s">
        <v>48</v>
      </c>
      <c r="T39" s="20">
        <f>O41/1000</f>
        <v>222.357</v>
      </c>
      <c r="U39" s="13">
        <f>P41</f>
        <v>0.4208787922379788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81.953000000000003</v>
      </c>
      <c r="U40" s="14">
        <f>P35</f>
        <v>0.15512117747711596</v>
      </c>
    </row>
    <row r="41" spans="1:48" ht="16" x14ac:dyDescent="0.2">
      <c r="A41" s="21" t="s">
        <v>50</v>
      </c>
      <c r="B41" s="22">
        <f>B38+B37+B36</f>
        <v>34729</v>
      </c>
      <c r="C41" s="22">
        <f t="shared" ref="C41:O41" si="0">C38+C37+C36</f>
        <v>3215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9875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174538</v>
      </c>
      <c r="O41" s="22">
        <f t="shared" si="0"/>
        <v>222357</v>
      </c>
      <c r="P41" s="17">
        <f>O41/O$39</f>
        <v>0.4208787922379788</v>
      </c>
      <c r="Q41" s="17" t="s">
        <v>51</v>
      </c>
      <c r="R41" s="7"/>
      <c r="S41" s="7" t="s">
        <v>52</v>
      </c>
      <c r="T41" s="20">
        <f>O33/1000</f>
        <v>83.167000000000002</v>
      </c>
      <c r="U41" s="13">
        <f>P33</f>
        <v>0.15741904466266401</v>
      </c>
    </row>
    <row r="42" spans="1:48" ht="16" x14ac:dyDescent="0.2">
      <c r="A42" s="23" t="s">
        <v>53</v>
      </c>
      <c r="B42" s="22"/>
      <c r="C42" s="24">
        <f>C39+C23+C10</f>
        <v>133814</v>
      </c>
      <c r="D42" s="24">
        <f t="shared" ref="D42:M42" si="1">D39+D23+D10</f>
        <v>0</v>
      </c>
      <c r="E42" s="24">
        <f t="shared" si="1"/>
        <v>0</v>
      </c>
      <c r="F42" s="24">
        <f t="shared" si="1"/>
        <v>8988</v>
      </c>
      <c r="G42" s="24">
        <f t="shared" si="1"/>
        <v>9875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332861.40000000002</v>
      </c>
      <c r="O42" s="25">
        <f>SUM(C42:N42)</f>
        <v>485538.4</v>
      </c>
      <c r="P42" s="7"/>
      <c r="Q42" s="7"/>
      <c r="R42" s="7"/>
      <c r="S42" s="7" t="s">
        <v>34</v>
      </c>
      <c r="T42" s="20">
        <f>O31/1000</f>
        <v>0.70299999999999996</v>
      </c>
      <c r="U42" s="13">
        <f>P31</f>
        <v>1.3306430242506378E-3</v>
      </c>
    </row>
    <row r="43" spans="1:48" ht="16" x14ac:dyDescent="0.2">
      <c r="A43" s="23" t="s">
        <v>54</v>
      </c>
      <c r="B43" s="22"/>
      <c r="C43" s="17">
        <f t="shared" ref="C43:N43" si="2">C42/$O42</f>
        <v>0.27559921110256158</v>
      </c>
      <c r="D43" s="17">
        <f t="shared" si="2"/>
        <v>0</v>
      </c>
      <c r="E43" s="17">
        <f t="shared" si="2"/>
        <v>0</v>
      </c>
      <c r="F43" s="17">
        <f t="shared" si="2"/>
        <v>1.8511409190292673E-2</v>
      </c>
      <c r="G43" s="17">
        <f t="shared" si="2"/>
        <v>2.0338247191159339E-2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0.68555113251598643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7.7539999999999996</v>
      </c>
      <c r="U43" s="14">
        <f>P32</f>
        <v>1.4676822204892526E-2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132.38200000000001</v>
      </c>
      <c r="U44" s="14">
        <f>P34</f>
        <v>0.25057352039309805</v>
      </c>
    </row>
    <row r="45" spans="1:48" ht="16" x14ac:dyDescent="0.2">
      <c r="A45" s="6" t="s">
        <v>57</v>
      </c>
      <c r="B45" s="6">
        <f>B23+B25-B39</f>
        <v>4029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24656.400000000001</v>
      </c>
      <c r="O45" s="25">
        <f>B45+N45</f>
        <v>28685.4</v>
      </c>
      <c r="P45" s="7"/>
      <c r="Q45" s="7"/>
      <c r="R45" s="7"/>
      <c r="S45" s="7" t="s">
        <v>58</v>
      </c>
      <c r="T45" s="20">
        <f>SUM(T39:T44)</f>
        <v>528.31600000000003</v>
      </c>
      <c r="U45" s="13">
        <f>SUM(U39:U44)</f>
        <v>1</v>
      </c>
    </row>
    <row r="46" spans="1:48" ht="16" x14ac:dyDescent="0.2">
      <c r="A46" s="6" t="s">
        <v>93</v>
      </c>
      <c r="B46" s="74">
        <f>B45/(B23+B25)</f>
        <v>5.2750792112912094E-2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1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38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0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0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7" enableFormatConditionsCalculation="0"/>
  <dimension ref="A1:AV70"/>
  <sheetViews>
    <sheetView topLeftCell="H13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4" width="8.83203125" style="2"/>
    <col min="5" max="5" width="10.33203125" style="2" bestFit="1" customWidth="1"/>
    <col min="6" max="11" width="8.83203125" style="2"/>
    <col min="12" max="13" width="5.33203125" style="2" customWidth="1"/>
    <col min="14" max="14" width="8.83203125" style="2"/>
    <col min="15" max="15" width="12" style="2" customWidth="1"/>
    <col min="16" max="16" width="10.6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73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487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487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73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0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1091.8440399999999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/>
      <c r="J23" s="8"/>
      <c r="K23" s="8"/>
      <c r="L23" s="8"/>
      <c r="M23" s="8"/>
      <c r="N23" s="8"/>
      <c r="O23" s="8">
        <v>0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677.66003999999998</v>
      </c>
      <c r="U24" s="13">
        <f>N43</f>
        <v>0.62065644466951531</v>
      </c>
    </row>
    <row r="25" spans="1:21" ht="16" x14ac:dyDescent="0.2">
      <c r="A25" s="5" t="s">
        <v>86</v>
      </c>
      <c r="B25" s="90">
        <v>313589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16.263000000000002</v>
      </c>
      <c r="U25" s="14">
        <f>G43</f>
        <v>1.4894984452175056E-2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27.167000000000002</v>
      </c>
      <c r="U27" s="13">
        <f>F43</f>
        <v>2.4881758753750215E-2</v>
      </c>
    </row>
    <row r="28" spans="1:21" ht="15.75" x14ac:dyDescent="0.25">
      <c r="A28" s="37" t="s">
        <v>73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3.6999999999999998E-2</v>
      </c>
      <c r="U28" s="13">
        <f>E43</f>
        <v>3.3887623730583353E-5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/>
      <c r="J31" s="8"/>
      <c r="K31" s="8"/>
      <c r="L31" s="8"/>
      <c r="M31" s="27"/>
      <c r="N31" s="61">
        <v>204</v>
      </c>
      <c r="O31" s="61">
        <f>N31</f>
        <v>204</v>
      </c>
      <c r="P31" s="17">
        <f>O31/O$39</f>
        <v>1.5267781164796988E-4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61">
        <v>1744</v>
      </c>
      <c r="C32" s="61">
        <f>C39-SUM(C33:C37)</f>
        <v>13879</v>
      </c>
      <c r="D32" s="8">
        <v>0</v>
      </c>
      <c r="E32" s="61">
        <v>37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f>O32-SUM(B32:I32)</f>
        <v>57079</v>
      </c>
      <c r="O32" s="8">
        <v>72739</v>
      </c>
      <c r="P32" s="17">
        <f>O32/O$39</f>
        <v>5.4439369320890593E-2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61">
        <v>36231</v>
      </c>
      <c r="C33" s="8">
        <v>200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61">
        <v>50605</v>
      </c>
      <c r="O33" s="61">
        <f>SUM(B33:N33)</f>
        <v>87036</v>
      </c>
      <c r="P33" s="17">
        <f>O33/O$39</f>
        <v>6.5139539287219148E-2</v>
      </c>
      <c r="Q33" s="18" t="s">
        <v>39</v>
      </c>
      <c r="R33" s="3"/>
      <c r="S33" s="3" t="s">
        <v>35</v>
      </c>
      <c r="T33" s="12">
        <f>C42/1000</f>
        <v>370.71699999999998</v>
      </c>
      <c r="U33" s="14">
        <f>C43</f>
        <v>0.33953292450082889</v>
      </c>
    </row>
    <row r="34" spans="1:48" ht="15.75" x14ac:dyDescent="0.25">
      <c r="A34" s="4" t="s">
        <v>40</v>
      </c>
      <c r="B34" s="2">
        <v>0</v>
      </c>
      <c r="C34" s="8">
        <v>352344</v>
      </c>
      <c r="D34" s="8">
        <v>0</v>
      </c>
      <c r="E34" s="8">
        <v>0</v>
      </c>
      <c r="F34" s="8">
        <v>27167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162589</v>
      </c>
      <c r="O34" s="8">
        <v>542100</v>
      </c>
      <c r="P34" s="17">
        <f>O34/O$39</f>
        <v>0.40571883183511992</v>
      </c>
      <c r="Q34" s="18" t="s">
        <v>41</v>
      </c>
      <c r="R34" s="3"/>
      <c r="S34" s="3"/>
      <c r="T34" s="12">
        <f>SUM(T24:T33)</f>
        <v>1091.8440399999999</v>
      </c>
      <c r="U34" s="13">
        <f>SUM(U24:U33)</f>
        <v>1</v>
      </c>
    </row>
    <row r="35" spans="1:48" ht="16" x14ac:dyDescent="0.2">
      <c r="A35" s="4" t="s">
        <v>42</v>
      </c>
      <c r="B35" s="64">
        <v>39913</v>
      </c>
      <c r="C35" s="8">
        <v>1856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61">
        <v>121248</v>
      </c>
      <c r="O35" s="61">
        <f>SUM(B35:N35)</f>
        <v>163017</v>
      </c>
      <c r="P35" s="17">
        <f>O35/O$39</f>
        <v>0.12200528834027992</v>
      </c>
      <c r="Q35" s="18" t="s">
        <v>43</v>
      </c>
      <c r="R35" s="18"/>
    </row>
    <row r="36" spans="1:48" ht="16" x14ac:dyDescent="0.2">
      <c r="A36" s="4" t="s">
        <v>44</v>
      </c>
      <c r="B36" s="61">
        <v>58706</v>
      </c>
      <c r="C36" s="61">
        <v>1795</v>
      </c>
      <c r="D36" s="8">
        <v>0</v>
      </c>
      <c r="E36" s="8">
        <v>0</v>
      </c>
      <c r="F36" s="8">
        <v>0</v>
      </c>
      <c r="G36" s="8">
        <v>16263</v>
      </c>
      <c r="H36" s="8">
        <v>0</v>
      </c>
      <c r="I36" s="8"/>
      <c r="J36" s="8"/>
      <c r="K36" s="8"/>
      <c r="L36" s="8"/>
      <c r="M36" s="27"/>
      <c r="N36" s="61">
        <f>N39-SUM(N37:N38,N31:N35)</f>
        <v>196595</v>
      </c>
      <c r="O36" s="61">
        <f t="shared" ref="O36:O37" si="0">SUM(B36:N36)</f>
        <v>273359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61">
        <v>157906</v>
      </c>
      <c r="C37" s="8">
        <v>643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61">
        <v>38859</v>
      </c>
      <c r="O37" s="61">
        <f t="shared" si="0"/>
        <v>197408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61">
        <v>284</v>
      </c>
      <c r="O38" s="61">
        <v>284</v>
      </c>
      <c r="P38" s="18">
        <f>SUM(P31:P35)</f>
        <v>0.6474557065951575</v>
      </c>
      <c r="Q38" s="18"/>
      <c r="R38" s="3"/>
      <c r="S38" s="7" t="s">
        <v>47</v>
      </c>
      <c r="T38" s="19">
        <f>O45/1000</f>
        <v>69.286040000000014</v>
      </c>
      <c r="U38" s="7"/>
    </row>
    <row r="39" spans="1:48" ht="16" x14ac:dyDescent="0.2">
      <c r="A39" s="4" t="s">
        <v>16</v>
      </c>
      <c r="B39" s="8">
        <v>294500</v>
      </c>
      <c r="C39" s="61">
        <f>O39-SUM(B39,Sollentuna!E39:N40)</f>
        <v>370717</v>
      </c>
      <c r="D39" s="8">
        <v>0</v>
      </c>
      <c r="E39" s="61">
        <v>37</v>
      </c>
      <c r="F39" s="8">
        <v>27167</v>
      </c>
      <c r="G39" s="8">
        <v>16263</v>
      </c>
      <c r="H39" s="8">
        <v>0</v>
      </c>
      <c r="I39" s="8"/>
      <c r="J39" s="8"/>
      <c r="K39" s="8"/>
      <c r="L39" s="8"/>
      <c r="M39" s="27"/>
      <c r="N39" s="8">
        <v>627463</v>
      </c>
      <c r="O39" s="8">
        <v>1336147</v>
      </c>
      <c r="P39" s="79"/>
      <c r="Q39" s="3"/>
      <c r="R39" s="3"/>
      <c r="S39" s="7" t="s">
        <v>48</v>
      </c>
      <c r="T39" s="20">
        <f>O41/1000</f>
        <v>471.05099999999999</v>
      </c>
      <c r="U39" s="13">
        <f>P41</f>
        <v>0.35254429340484245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163.017</v>
      </c>
      <c r="U40" s="14">
        <f>P35</f>
        <v>0.12200528834027992</v>
      </c>
    </row>
    <row r="41" spans="1:48" ht="16" x14ac:dyDescent="0.2">
      <c r="A41" s="21" t="s">
        <v>50</v>
      </c>
      <c r="B41" s="22">
        <f>B38+B36+B37</f>
        <v>216612</v>
      </c>
      <c r="C41" s="22">
        <f t="shared" ref="C41:O41" si="1">C38+C37+C36</f>
        <v>2438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16263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235738</v>
      </c>
      <c r="O41" s="22">
        <f t="shared" si="1"/>
        <v>471051</v>
      </c>
      <c r="P41" s="17">
        <f>O41/O$39</f>
        <v>0.35254429340484245</v>
      </c>
      <c r="Q41" s="17" t="s">
        <v>51</v>
      </c>
      <c r="R41" s="7"/>
      <c r="S41" s="7" t="s">
        <v>52</v>
      </c>
      <c r="T41" s="20">
        <f>O33/1000</f>
        <v>87.036000000000001</v>
      </c>
      <c r="U41" s="13">
        <f>P33</f>
        <v>6.5139539287219148E-2</v>
      </c>
    </row>
    <row r="42" spans="1:48" ht="16" x14ac:dyDescent="0.2">
      <c r="A42" s="23" t="s">
        <v>53</v>
      </c>
      <c r="B42" s="22"/>
      <c r="C42" s="24">
        <f>C39+C23+C10</f>
        <v>370717</v>
      </c>
      <c r="D42" s="24">
        <f t="shared" ref="D42:M42" si="2">D39+D23+D10</f>
        <v>0</v>
      </c>
      <c r="E42" s="24">
        <f t="shared" si="2"/>
        <v>37</v>
      </c>
      <c r="F42" s="24">
        <f t="shared" si="2"/>
        <v>27167</v>
      </c>
      <c r="G42" s="24">
        <f t="shared" si="2"/>
        <v>16263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677660.04</v>
      </c>
      <c r="O42" s="25">
        <f>SUM(C42:N42)</f>
        <v>1091844.04</v>
      </c>
      <c r="P42" s="7"/>
      <c r="Q42" s="7"/>
      <c r="R42" s="7"/>
      <c r="S42" s="7" t="s">
        <v>34</v>
      </c>
      <c r="T42" s="20">
        <f>O31/1000</f>
        <v>0.20399999999999999</v>
      </c>
      <c r="U42" s="13">
        <f>P31</f>
        <v>1.5267781164796988E-4</v>
      </c>
    </row>
    <row r="43" spans="1:48" ht="16" x14ac:dyDescent="0.2">
      <c r="A43" s="23" t="s">
        <v>54</v>
      </c>
      <c r="B43" s="22"/>
      <c r="C43" s="17">
        <f t="shared" ref="C43:N43" si="3">C42/$O42</f>
        <v>0.33953292450082889</v>
      </c>
      <c r="D43" s="17">
        <f t="shared" si="3"/>
        <v>0</v>
      </c>
      <c r="E43" s="17">
        <f t="shared" si="3"/>
        <v>3.3887623730583353E-5</v>
      </c>
      <c r="F43" s="17">
        <f t="shared" si="3"/>
        <v>2.4881758753750215E-2</v>
      </c>
      <c r="G43" s="17">
        <f t="shared" si="3"/>
        <v>1.4894984452175056E-2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0.62065644466951531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72.739000000000004</v>
      </c>
      <c r="U43" s="14">
        <f>P32</f>
        <v>5.4439369320890593E-2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542.1</v>
      </c>
      <c r="U44" s="14">
        <f>P34</f>
        <v>0.40571883183511992</v>
      </c>
    </row>
    <row r="45" spans="1:48" ht="16" x14ac:dyDescent="0.2">
      <c r="A45" s="6" t="s">
        <v>57</v>
      </c>
      <c r="B45" s="6">
        <f>B23+B25-B39</f>
        <v>19089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50197.04</v>
      </c>
      <c r="O45" s="25">
        <f>B45+N45</f>
        <v>69286.040000000008</v>
      </c>
      <c r="P45" s="7"/>
      <c r="Q45" s="7"/>
      <c r="R45" s="7"/>
      <c r="S45" s="7" t="s">
        <v>58</v>
      </c>
      <c r="T45" s="20">
        <f>SUM(T39:T44)</f>
        <v>1336.1469999999999</v>
      </c>
      <c r="U45" s="13">
        <f>SUM(U39:U44)</f>
        <v>0.99999999999999989</v>
      </c>
    </row>
    <row r="46" spans="1:48" ht="16" x14ac:dyDescent="0.2">
      <c r="A46" s="6" t="s">
        <v>93</v>
      </c>
      <c r="B46" s="74">
        <f>B45/(B23+B25)</f>
        <v>6.0872670916390564E-2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78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78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E49" s="78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78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78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75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8" enableFormatConditionsCalculation="0"/>
  <dimension ref="A1:AI46"/>
  <sheetViews>
    <sheetView topLeftCell="A8" workbookViewId="0">
      <selection activeCell="O39" sqref="O39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4" width="10.5" style="2" customWidth="1"/>
    <col min="5" max="6" width="9" style="2" bestFit="1" customWidth="1"/>
    <col min="7" max="7" width="10.1640625" style="2" customWidth="1"/>
    <col min="8" max="8" width="9" style="2" bestFit="1" customWidth="1"/>
    <col min="9" max="10" width="8.83203125" style="2"/>
    <col min="11" max="11" width="10" style="2" customWidth="1"/>
    <col min="12" max="13" width="5.33203125" style="2" customWidth="1"/>
    <col min="14" max="14" width="9.83203125" style="2" customWidth="1"/>
    <col min="15" max="15" width="11.6640625" style="2" customWidth="1"/>
    <col min="16" max="16" width="13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74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4409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54">
        <v>790900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82</v>
      </c>
      <c r="C7" s="8">
        <v>222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222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f>SUM(B4:B9)</f>
        <v>795391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>
        <f>SUM(O6:O10)</f>
        <v>222</v>
      </c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74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88</v>
      </c>
      <c r="M15" s="6" t="s">
        <v>94</v>
      </c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54">
        <v>5344300</v>
      </c>
      <c r="C17" s="54">
        <v>147488</v>
      </c>
      <c r="D17" s="54">
        <v>1329000</v>
      </c>
      <c r="E17" s="8">
        <v>0</v>
      </c>
      <c r="F17" s="54">
        <v>54020</v>
      </c>
      <c r="G17" s="54">
        <v>495000</v>
      </c>
      <c r="H17" s="8">
        <v>0</v>
      </c>
      <c r="I17" s="8"/>
      <c r="J17" s="8"/>
      <c r="K17" s="54">
        <v>1702751</v>
      </c>
      <c r="L17" s="54">
        <v>755041</v>
      </c>
      <c r="M17" s="54">
        <v>49400</v>
      </c>
      <c r="N17" s="54">
        <v>484000</v>
      </c>
      <c r="O17" s="54">
        <f>SUM(C17:N17)</f>
        <v>5016700</v>
      </c>
      <c r="P17" s="88"/>
      <c r="Q17" s="3"/>
      <c r="R17" s="3"/>
      <c r="S17" s="3"/>
      <c r="T17" s="3"/>
      <c r="U17" s="3"/>
    </row>
    <row r="18" spans="1:21" ht="16" x14ac:dyDescent="0.2">
      <c r="A18" s="4" t="s">
        <v>21</v>
      </c>
      <c r="B18" s="54">
        <v>1171736</v>
      </c>
      <c r="C18" s="54">
        <v>3970</v>
      </c>
      <c r="D18" s="8">
        <v>0</v>
      </c>
      <c r="E18" s="54">
        <v>0</v>
      </c>
      <c r="F18" s="54">
        <v>195717</v>
      </c>
      <c r="G18" s="8"/>
      <c r="H18" s="8">
        <v>0</v>
      </c>
      <c r="I18" s="8"/>
      <c r="J18" s="8"/>
      <c r="K18" s="8"/>
      <c r="L18" s="8"/>
      <c r="M18" s="8"/>
      <c r="N18" s="54">
        <v>279492</v>
      </c>
      <c r="O18" s="54">
        <f>SUM(C18:N18)</f>
        <v>479179</v>
      </c>
      <c r="P18" s="88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54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88"/>
      <c r="Q19" s="3"/>
      <c r="R19" s="3"/>
      <c r="S19" s="3"/>
      <c r="T19" s="3"/>
      <c r="U19" s="3"/>
    </row>
    <row r="20" spans="1:21" ht="16" x14ac:dyDescent="0.2">
      <c r="A20" s="4" t="s">
        <v>23</v>
      </c>
      <c r="B20" s="54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88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88"/>
      <c r="Q21" s="3"/>
      <c r="R21" s="3"/>
      <c r="S21" s="3" t="s">
        <v>26</v>
      </c>
      <c r="T21" s="11">
        <f>O42/1000</f>
        <v>21201.263533333331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88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f>SUM(B17:B22)</f>
        <v>6516036</v>
      </c>
      <c r="C23" s="54">
        <f t="shared" ref="C23:G23" si="0">SUM(C17:C22)</f>
        <v>151458</v>
      </c>
      <c r="D23" s="54">
        <f t="shared" si="0"/>
        <v>1329000</v>
      </c>
      <c r="E23" s="54">
        <f t="shared" si="0"/>
        <v>0</v>
      </c>
      <c r="F23" s="54">
        <f t="shared" si="0"/>
        <v>249737</v>
      </c>
      <c r="G23" s="54">
        <f t="shared" si="0"/>
        <v>495000</v>
      </c>
      <c r="H23" s="8">
        <v>0</v>
      </c>
      <c r="I23" s="8"/>
      <c r="J23" s="8"/>
      <c r="K23" s="54">
        <f>K17</f>
        <v>1702751</v>
      </c>
      <c r="L23" s="54">
        <f t="shared" ref="L23:M23" si="1">L17</f>
        <v>755041</v>
      </c>
      <c r="M23" s="54">
        <f t="shared" si="1"/>
        <v>49400</v>
      </c>
      <c r="N23" s="54">
        <f t="shared" ref="N23:O23" si="2">SUM(N17:N22)</f>
        <v>763492</v>
      </c>
      <c r="O23" s="54">
        <f t="shared" si="2"/>
        <v>5495879</v>
      </c>
      <c r="P23" s="88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57"/>
      <c r="Q24" s="3"/>
      <c r="R24" s="3"/>
      <c r="S24" s="3" t="s">
        <v>10</v>
      </c>
      <c r="T24" s="12">
        <f>N42/1000</f>
        <v>7168.1242000000002</v>
      </c>
      <c r="U24" s="13">
        <f>N43</f>
        <v>0.33809891512975332</v>
      </c>
    </row>
    <row r="25" spans="1:21" ht="16" x14ac:dyDescent="0.2">
      <c r="A25" s="2" t="s">
        <v>86</v>
      </c>
      <c r="B25" s="54">
        <f>759900-37500</f>
        <v>722400</v>
      </c>
      <c r="P25" s="3"/>
      <c r="Q25" s="3"/>
      <c r="R25" s="3"/>
      <c r="S25" s="3" t="s">
        <v>84</v>
      </c>
      <c r="T25" s="12">
        <f>G42/1000</f>
        <v>5486.6353333333327</v>
      </c>
      <c r="U25" s="14">
        <f>G43</f>
        <v>0.25878812952384006</v>
      </c>
    </row>
    <row r="26" spans="1:21" ht="15.75" x14ac:dyDescent="0.25"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310.233</v>
      </c>
      <c r="U27" s="13">
        <f>F43</f>
        <v>1.463275995377546E-2</v>
      </c>
    </row>
    <row r="28" spans="1:21" ht="15.75" x14ac:dyDescent="0.25">
      <c r="A28" s="37" t="s">
        <v>74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1.861</v>
      </c>
      <c r="U28" s="13">
        <f>E43</f>
        <v>8.7777787256597894E-5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1692</v>
      </c>
      <c r="U29" s="46">
        <f>D43</f>
        <v>7.9806564233295879E-2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2055</v>
      </c>
      <c r="U30" s="46">
        <f>K43</f>
        <v>9.6928185283346943E-2</v>
      </c>
    </row>
    <row r="31" spans="1:21" ht="15.75" x14ac:dyDescent="0.25">
      <c r="A31" s="4" t="s">
        <v>33</v>
      </c>
      <c r="B31" s="8">
        <v>0</v>
      </c>
      <c r="C31" s="8">
        <v>2326</v>
      </c>
      <c r="D31" s="8">
        <v>0</v>
      </c>
      <c r="E31" s="8">
        <v>0</v>
      </c>
      <c r="F31" s="8">
        <v>36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4637</v>
      </c>
      <c r="O31" s="8">
        <v>6999</v>
      </c>
      <c r="P31" s="17">
        <f>O31/O$39</f>
        <v>3.735944768868643E-4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6" x14ac:dyDescent="0.2">
      <c r="A32" s="4" t="s">
        <v>36</v>
      </c>
      <c r="B32" s="61">
        <v>219872</v>
      </c>
      <c r="C32" s="8">
        <v>20608</v>
      </c>
      <c r="D32" s="8">
        <v>0</v>
      </c>
      <c r="E32" s="63">
        <v>15454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v>445862</v>
      </c>
      <c r="O32" s="67">
        <f>SUM(B32:N32)</f>
        <v>701796</v>
      </c>
      <c r="P32" s="17">
        <f>O32/O$39</f>
        <v>3.7460652879167569E-2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21" ht="16" x14ac:dyDescent="0.2">
      <c r="A33" s="4" t="s">
        <v>38</v>
      </c>
      <c r="B33" s="8">
        <v>507146</v>
      </c>
      <c r="C33" s="8">
        <v>3761</v>
      </c>
      <c r="D33" s="8">
        <v>0</v>
      </c>
      <c r="E33" s="67">
        <v>7727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393535</v>
      </c>
      <c r="O33" s="67">
        <f>SUM(B33:N33)</f>
        <v>912169</v>
      </c>
      <c r="P33" s="17">
        <f>O33/O$39</f>
        <v>4.868999862657724E-2</v>
      </c>
      <c r="Q33" s="18" t="s">
        <v>39</v>
      </c>
      <c r="R33" s="3"/>
      <c r="S33" s="3" t="s">
        <v>35</v>
      </c>
      <c r="T33" s="12">
        <f>C42/1000</f>
        <v>4487.41</v>
      </c>
      <c r="U33" s="14">
        <f>C43</f>
        <v>0.21165766808873182</v>
      </c>
    </row>
    <row r="34" spans="1:21" ht="15.75" x14ac:dyDescent="0.25">
      <c r="A34" s="4" t="s">
        <v>40</v>
      </c>
      <c r="B34" s="8">
        <v>0</v>
      </c>
      <c r="C34" s="8">
        <v>2976731</v>
      </c>
      <c r="D34" s="8">
        <v>0</v>
      </c>
      <c r="E34" s="8">
        <v>0</v>
      </c>
      <c r="F34" s="8">
        <v>310197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514650</v>
      </c>
      <c r="O34" s="8">
        <v>3801578</v>
      </c>
      <c r="P34" s="17">
        <f>O34/O$39</f>
        <v>0.20292163798465662</v>
      </c>
      <c r="Q34" s="18" t="s">
        <v>41</v>
      </c>
      <c r="R34" s="3"/>
      <c r="S34" s="3"/>
      <c r="T34" s="12">
        <f>SUM(T24:T33)</f>
        <v>21201.263533333335</v>
      </c>
      <c r="U34" s="13">
        <f>SUM(U24:U33)</f>
        <v>1</v>
      </c>
    </row>
    <row r="35" spans="1:21" ht="16" x14ac:dyDescent="0.2">
      <c r="A35" s="4" t="s">
        <v>42</v>
      </c>
      <c r="B35" s="8">
        <v>1391169</v>
      </c>
      <c r="C35" s="8">
        <v>1240395</v>
      </c>
      <c r="D35" s="8">
        <v>0</v>
      </c>
      <c r="E35" s="67">
        <v>15454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4415558</v>
      </c>
      <c r="O35" s="67">
        <f>SUM(B35:N35)</f>
        <v>7062576</v>
      </c>
      <c r="P35" s="17">
        <f>O35/O$39</f>
        <v>0.37698805346388375</v>
      </c>
      <c r="Q35" s="18" t="s">
        <v>43</v>
      </c>
      <c r="R35" s="18"/>
    </row>
    <row r="36" spans="1:21" ht="16" x14ac:dyDescent="0.2">
      <c r="A36" s="4" t="s">
        <v>44</v>
      </c>
      <c r="B36" s="8">
        <v>182191</v>
      </c>
      <c r="C36" s="8">
        <v>9962</v>
      </c>
      <c r="D36" s="8">
        <v>0</v>
      </c>
      <c r="E36" s="67">
        <v>13776</v>
      </c>
      <c r="F36" s="8">
        <v>0</v>
      </c>
      <c r="G36" s="8">
        <v>50302</v>
      </c>
      <c r="H36" s="8">
        <v>0</v>
      </c>
      <c r="I36" s="8"/>
      <c r="J36" s="8"/>
      <c r="K36" s="8"/>
      <c r="L36" s="8"/>
      <c r="M36" s="27"/>
      <c r="N36" s="8">
        <v>543543</v>
      </c>
      <c r="O36" s="67">
        <f t="shared" ref="O36:O37" si="3">SUM(B36:N36)</f>
        <v>799774</v>
      </c>
      <c r="P36" s="18"/>
      <c r="Q36" s="18"/>
      <c r="R36" s="3"/>
      <c r="S36" s="7"/>
      <c r="T36" s="7"/>
      <c r="U36" s="7"/>
    </row>
    <row r="37" spans="1:21" ht="16" x14ac:dyDescent="0.2">
      <c r="A37" s="4" t="s">
        <v>45</v>
      </c>
      <c r="B37" s="8">
        <v>4379419</v>
      </c>
      <c r="C37" s="8">
        <v>10627</v>
      </c>
      <c r="D37" s="8">
        <v>0</v>
      </c>
      <c r="E37" s="67">
        <v>9449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1046494</v>
      </c>
      <c r="O37" s="67">
        <f t="shared" si="3"/>
        <v>5445989</v>
      </c>
      <c r="P37" s="18"/>
      <c r="Q37" s="18"/>
      <c r="R37" s="3"/>
      <c r="S37" s="7"/>
      <c r="T37" s="7" t="s">
        <v>27</v>
      </c>
      <c r="U37" s="7" t="s">
        <v>28</v>
      </c>
    </row>
    <row r="38" spans="1:21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3336</v>
      </c>
      <c r="O38" s="8">
        <v>3336</v>
      </c>
      <c r="P38" s="18">
        <f>SUM(P31:P35)</f>
        <v>0.66643393743117207</v>
      </c>
      <c r="Q38" s="18"/>
      <c r="R38" s="3"/>
      <c r="S38" s="7" t="s">
        <v>47</v>
      </c>
      <c r="T38" s="19">
        <f>O45/1000</f>
        <v>748.74820000000011</v>
      </c>
      <c r="U38" s="7"/>
    </row>
    <row r="39" spans="1:21" ht="16" x14ac:dyDescent="0.2">
      <c r="A39" s="4" t="s">
        <v>16</v>
      </c>
      <c r="B39" s="61">
        <f>SUM(B31:B38)</f>
        <v>6679797</v>
      </c>
      <c r="C39" s="8">
        <v>4264410</v>
      </c>
      <c r="D39" s="8">
        <v>0</v>
      </c>
      <c r="E39" s="63">
        <f>SUM(E31:E38)</f>
        <v>61860</v>
      </c>
      <c r="F39" s="8">
        <v>310233</v>
      </c>
      <c r="G39" s="8">
        <v>50302</v>
      </c>
      <c r="H39" s="8">
        <v>0</v>
      </c>
      <c r="I39" s="8"/>
      <c r="J39" s="8"/>
      <c r="K39" s="8"/>
      <c r="L39" s="8"/>
      <c r="M39" s="27"/>
      <c r="N39" s="61">
        <f>SUM(N31:N38)</f>
        <v>7367615</v>
      </c>
      <c r="O39" s="67">
        <f>SUM(O31:O38)</f>
        <v>18734217</v>
      </c>
      <c r="P39" s="3"/>
      <c r="Q39" s="3"/>
      <c r="R39" s="3"/>
      <c r="S39" s="7" t="s">
        <v>48</v>
      </c>
      <c r="T39" s="20">
        <f>O41/1000</f>
        <v>6249.0990000000002</v>
      </c>
      <c r="U39" s="13">
        <f>P41</f>
        <v>0.33356606256882793</v>
      </c>
    </row>
    <row r="40" spans="1:21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7062.576</v>
      </c>
      <c r="U40" s="14">
        <f>P35</f>
        <v>0.37698805346388375</v>
      </c>
    </row>
    <row r="41" spans="1:21" ht="16" x14ac:dyDescent="0.2">
      <c r="A41" s="21" t="s">
        <v>50</v>
      </c>
      <c r="B41" s="22">
        <f t="shared" ref="B41:O41" si="4">B38+B37+B36</f>
        <v>4561610</v>
      </c>
      <c r="C41" s="22">
        <f t="shared" si="4"/>
        <v>20589</v>
      </c>
      <c r="D41" s="22">
        <f t="shared" si="4"/>
        <v>0</v>
      </c>
      <c r="E41" s="22">
        <f t="shared" si="4"/>
        <v>23225</v>
      </c>
      <c r="F41" s="22">
        <f t="shared" si="4"/>
        <v>0</v>
      </c>
      <c r="G41" s="22">
        <f t="shared" si="4"/>
        <v>50302</v>
      </c>
      <c r="H41" s="22">
        <f t="shared" si="4"/>
        <v>0</v>
      </c>
      <c r="I41" s="22">
        <f t="shared" si="4"/>
        <v>0</v>
      </c>
      <c r="J41" s="22">
        <f t="shared" si="4"/>
        <v>0</v>
      </c>
      <c r="K41" s="22">
        <f t="shared" si="4"/>
        <v>0</v>
      </c>
      <c r="L41" s="22">
        <f t="shared" si="4"/>
        <v>0</v>
      </c>
      <c r="M41" s="22">
        <f t="shared" si="4"/>
        <v>0</v>
      </c>
      <c r="N41" s="22">
        <f t="shared" si="4"/>
        <v>1593373</v>
      </c>
      <c r="O41" s="22">
        <f t="shared" si="4"/>
        <v>6249099</v>
      </c>
      <c r="P41" s="17">
        <f>O41/O$39</f>
        <v>0.33356606256882793</v>
      </c>
      <c r="Q41" s="17" t="s">
        <v>51</v>
      </c>
      <c r="R41" s="7"/>
      <c r="S41" s="7" t="s">
        <v>52</v>
      </c>
      <c r="T41" s="20">
        <f>O33/1000</f>
        <v>912.16899999999998</v>
      </c>
      <c r="U41" s="13">
        <f>P33</f>
        <v>4.868999862657724E-2</v>
      </c>
    </row>
    <row r="42" spans="1:21" ht="16" x14ac:dyDescent="0.2">
      <c r="A42" s="23" t="s">
        <v>53</v>
      </c>
      <c r="B42" s="22"/>
      <c r="C42" s="24">
        <v>4487410</v>
      </c>
      <c r="D42" s="24">
        <v>1692000</v>
      </c>
      <c r="E42" s="24">
        <v>1861</v>
      </c>
      <c r="F42" s="24">
        <v>310233</v>
      </c>
      <c r="G42" s="24">
        <v>5486635.333333333</v>
      </c>
      <c r="H42" s="24">
        <v>0</v>
      </c>
      <c r="I42" s="24">
        <v>0</v>
      </c>
      <c r="J42" s="24">
        <v>0</v>
      </c>
      <c r="K42" s="24">
        <v>2055000</v>
      </c>
      <c r="L42" s="24">
        <v>0</v>
      </c>
      <c r="M42" s="24">
        <v>0</v>
      </c>
      <c r="N42" s="24">
        <v>7168124.2000000002</v>
      </c>
      <c r="O42" s="25">
        <f>SUM(C42:N42)</f>
        <v>21201263.533333331</v>
      </c>
      <c r="P42" s="7"/>
      <c r="Q42" s="7"/>
      <c r="R42" s="7"/>
      <c r="S42" s="7" t="s">
        <v>34</v>
      </c>
      <c r="T42" s="20">
        <f>O31/1000</f>
        <v>6.9989999999999997</v>
      </c>
      <c r="U42" s="13">
        <f>P31</f>
        <v>3.735944768868643E-4</v>
      </c>
    </row>
    <row r="43" spans="1:21" ht="16" x14ac:dyDescent="0.2">
      <c r="A43" s="23" t="s">
        <v>54</v>
      </c>
      <c r="B43" s="22"/>
      <c r="C43" s="17">
        <f t="shared" ref="C43:N43" si="5">C42/$O42</f>
        <v>0.21165766808873182</v>
      </c>
      <c r="D43" s="17">
        <f t="shared" si="5"/>
        <v>7.9806564233295879E-2</v>
      </c>
      <c r="E43" s="17">
        <f t="shared" si="5"/>
        <v>8.7777787256597894E-5</v>
      </c>
      <c r="F43" s="17">
        <f t="shared" si="5"/>
        <v>1.463275995377546E-2</v>
      </c>
      <c r="G43" s="17">
        <f t="shared" si="5"/>
        <v>0.25878812952384006</v>
      </c>
      <c r="H43" s="17">
        <f t="shared" si="5"/>
        <v>0</v>
      </c>
      <c r="I43" s="17">
        <f t="shared" si="5"/>
        <v>0</v>
      </c>
      <c r="J43" s="17">
        <f t="shared" si="5"/>
        <v>0</v>
      </c>
      <c r="K43" s="17">
        <f t="shared" si="5"/>
        <v>9.6928185283346943E-2</v>
      </c>
      <c r="L43" s="17">
        <f t="shared" si="5"/>
        <v>0</v>
      </c>
      <c r="M43" s="17">
        <f t="shared" si="5"/>
        <v>0</v>
      </c>
      <c r="N43" s="17">
        <f t="shared" si="5"/>
        <v>0.33809891512975332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701.79600000000005</v>
      </c>
      <c r="U43" s="14">
        <f>P32</f>
        <v>3.7460652879167569E-2</v>
      </c>
    </row>
    <row r="44" spans="1:21" x14ac:dyDescent="0.2">
      <c r="A44" s="6" t="s">
        <v>87</v>
      </c>
      <c r="B44" s="76">
        <f>105300+204000+90000</f>
        <v>399300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3801.578</v>
      </c>
      <c r="U44" s="14">
        <f>P34</f>
        <v>0.20292163798465662</v>
      </c>
    </row>
    <row r="45" spans="1:21" ht="16" x14ac:dyDescent="0.2">
      <c r="A45" s="6" t="s">
        <v>57</v>
      </c>
      <c r="B45" s="6">
        <f>B23+B25-B39-B44</f>
        <v>159339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589409.20000000007</v>
      </c>
      <c r="O45" s="25">
        <f>B45+N45</f>
        <v>748748.20000000007</v>
      </c>
      <c r="P45" s="7"/>
      <c r="Q45" s="7"/>
      <c r="R45" s="7"/>
      <c r="S45" s="7" t="s">
        <v>58</v>
      </c>
      <c r="T45" s="20">
        <f>SUM(T39:T44)</f>
        <v>18734.217000000001</v>
      </c>
      <c r="U45" s="13">
        <f>SUM(U39:U44)</f>
        <v>1</v>
      </c>
    </row>
    <row r="46" spans="1:21" ht="16" x14ac:dyDescent="0.2">
      <c r="A46" s="6" t="s">
        <v>93</v>
      </c>
      <c r="B46" s="74">
        <f>B45/B23</f>
        <v>2.4453363977731245E-2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9" enableFormatConditionsCalculation="0"/>
  <dimension ref="A1:AV47"/>
  <sheetViews>
    <sheetView topLeftCell="A13" workbookViewId="0">
      <selection activeCell="U30" sqref="U30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9.5" style="2" customWidth="1"/>
    <col min="4" max="6" width="8.83203125" style="2"/>
    <col min="7" max="7" width="10.83203125" style="2" customWidth="1"/>
    <col min="8" max="8" width="8.83203125" style="2"/>
    <col min="9" max="9" width="9.5" style="2" customWidth="1"/>
    <col min="10" max="10" width="8.83203125" style="2"/>
    <col min="11" max="11" width="9.5" style="2" customWidth="1"/>
    <col min="12" max="12" width="10" style="2" customWidth="1"/>
    <col min="13" max="13" width="7" style="2" customWidth="1"/>
    <col min="14" max="14" width="10.5" style="2" customWidth="1"/>
    <col min="15" max="15" width="11" style="2" customWidth="1"/>
    <col min="16" max="16" width="10.1640625" style="2" customWidth="1"/>
    <col min="17" max="17" width="12.33203125" style="2" bestFit="1" customWidth="1"/>
    <col min="18" max="18" width="8.83203125" style="2"/>
    <col min="19" max="19" width="12.6640625" style="2" customWidth="1"/>
    <col min="20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75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545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54">
        <v>493000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f>B4+B6</f>
        <v>493545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75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88</v>
      </c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82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54">
        <v>1372827</v>
      </c>
      <c r="C17" s="54">
        <v>5457</v>
      </c>
      <c r="D17" s="54">
        <v>0</v>
      </c>
      <c r="E17" s="8">
        <v>0</v>
      </c>
      <c r="F17" s="8">
        <v>0</v>
      </c>
      <c r="G17" s="54">
        <v>817446</v>
      </c>
      <c r="H17" s="8">
        <v>0</v>
      </c>
      <c r="I17" s="8"/>
      <c r="J17" s="54">
        <v>12418</v>
      </c>
      <c r="K17" s="8"/>
      <c r="L17" s="54">
        <v>922765</v>
      </c>
      <c r="M17" s="8"/>
      <c r="N17" s="8"/>
      <c r="O17" s="54">
        <f>SUM(C17:L17)</f>
        <v>1758086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54">
        <v>860744</v>
      </c>
      <c r="C18" s="54">
        <v>7564</v>
      </c>
      <c r="D18" s="54">
        <v>0</v>
      </c>
      <c r="E18" s="8">
        <v>0</v>
      </c>
      <c r="F18" s="54">
        <v>5703</v>
      </c>
      <c r="G18" s="54">
        <v>2396</v>
      </c>
      <c r="H18" s="54">
        <v>0</v>
      </c>
      <c r="I18" s="8"/>
      <c r="J18" s="54">
        <v>127030</v>
      </c>
      <c r="K18" s="54">
        <v>432237</v>
      </c>
      <c r="L18" s="54">
        <v>305877</v>
      </c>
      <c r="M18" s="8"/>
      <c r="N18" s="8"/>
      <c r="O18" s="54">
        <f t="shared" ref="O18:O22" si="0">SUM(C18:L18)</f>
        <v>880807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54">
        <f t="shared" si="0"/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54">
        <f t="shared" si="0"/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54">
        <f t="shared" si="0"/>
        <v>0</v>
      </c>
      <c r="P21" s="79"/>
      <c r="Q21" s="3"/>
      <c r="R21" s="3"/>
      <c r="S21" s="3" t="s">
        <v>26</v>
      </c>
      <c r="T21" s="11">
        <f>O42/1000</f>
        <v>4505.6931010116359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54">
        <f t="shared" si="0"/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f>SUM(B17:B18)</f>
        <v>2233571</v>
      </c>
      <c r="C23" s="54">
        <f>SUM(C17:C18)</f>
        <v>13021</v>
      </c>
      <c r="D23" s="54">
        <f t="shared" ref="D23:O23" si="1">SUM(D17:D18)</f>
        <v>0</v>
      </c>
      <c r="E23" s="83">
        <f t="shared" si="1"/>
        <v>0</v>
      </c>
      <c r="F23" s="54">
        <f t="shared" si="1"/>
        <v>5703</v>
      </c>
      <c r="G23" s="54">
        <f t="shared" si="1"/>
        <v>819842</v>
      </c>
      <c r="H23" s="54">
        <f t="shared" si="1"/>
        <v>0</v>
      </c>
      <c r="I23" s="54"/>
      <c r="J23" s="54">
        <f t="shared" si="1"/>
        <v>139448</v>
      </c>
      <c r="K23" s="54">
        <f t="shared" si="1"/>
        <v>432237</v>
      </c>
      <c r="L23" s="54">
        <f t="shared" si="1"/>
        <v>1228642</v>
      </c>
      <c r="M23" s="54"/>
      <c r="N23" s="54"/>
      <c r="O23" s="54">
        <f t="shared" si="1"/>
        <v>2638893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844.43286365707354</v>
      </c>
      <c r="U24" s="13">
        <f>N43</f>
        <v>0.18741464292529783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850.61</v>
      </c>
      <c r="U25" s="14">
        <f>G43</f>
        <v>0.18878560543970865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139.44800000000001</v>
      </c>
      <c r="U26" s="13">
        <f>J43</f>
        <v>3.0949289459748289E-2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79.861999999999995</v>
      </c>
      <c r="U27" s="13">
        <f>F43</f>
        <v>1.7724687014761185E-2</v>
      </c>
    </row>
    <row r="28" spans="1:21" ht="16" x14ac:dyDescent="0.2">
      <c r="A28" s="37" t="s">
        <v>75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26.551237354561405</v>
      </c>
      <c r="U28" s="13">
        <f>E43</f>
        <v>5.8928197636452465E-3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/>
      <c r="M29" s="6" t="s">
        <v>91</v>
      </c>
      <c r="N29" s="6" t="s">
        <v>10</v>
      </c>
      <c r="O29" s="6" t="s">
        <v>32</v>
      </c>
      <c r="P29" s="3"/>
      <c r="Q29" s="3"/>
      <c r="R29" s="3"/>
      <c r="S29" s="2" t="s">
        <v>88</v>
      </c>
      <c r="T29" s="2">
        <f>L42/1000</f>
        <v>1228.6420000000001</v>
      </c>
      <c r="U29" s="46">
        <f>L43</f>
        <v>0.27268657062420443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432.23700000000002</v>
      </c>
      <c r="U30" s="46">
        <f>K43</f>
        <v>9.5931300758800561E-2</v>
      </c>
    </row>
    <row r="31" spans="1:21" ht="15.75" x14ac:dyDescent="0.25">
      <c r="A31" s="4" t="s">
        <v>33</v>
      </c>
      <c r="B31" s="8">
        <v>0</v>
      </c>
      <c r="C31" s="8">
        <v>5857</v>
      </c>
      <c r="D31" s="8">
        <v>0</v>
      </c>
      <c r="E31" s="8">
        <v>0</v>
      </c>
      <c r="F31" s="8">
        <v>495</v>
      </c>
      <c r="G31" s="8">
        <v>0</v>
      </c>
      <c r="H31" s="8">
        <v>0</v>
      </c>
      <c r="I31" s="8"/>
      <c r="J31" s="8"/>
      <c r="K31" s="8"/>
      <c r="L31" s="8"/>
      <c r="M31" s="8"/>
      <c r="N31" s="8">
        <v>14005</v>
      </c>
      <c r="O31" s="8">
        <v>20357</v>
      </c>
      <c r="P31" s="17">
        <f>O31/O$39</f>
        <v>6.7476190918142895E-3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248274</v>
      </c>
      <c r="C32" s="61">
        <f>C39-SUM(C33:C38,C31)</f>
        <v>55562</v>
      </c>
      <c r="D32" s="61">
        <v>0</v>
      </c>
      <c r="E32" s="69">
        <v>26551.237354561406</v>
      </c>
      <c r="F32" s="8">
        <v>0</v>
      </c>
      <c r="G32" s="61">
        <f>G39-G36</f>
        <v>6968</v>
      </c>
      <c r="H32" s="8">
        <v>0</v>
      </c>
      <c r="I32" s="8"/>
      <c r="J32" s="8"/>
      <c r="K32" s="8"/>
      <c r="L32" s="72"/>
      <c r="M32" s="72">
        <v>55829</v>
      </c>
      <c r="N32" s="61">
        <v>480085.76264543855</v>
      </c>
      <c r="O32" s="8">
        <v>873270</v>
      </c>
      <c r="P32" s="17">
        <f>O32/O$39</f>
        <v>0.28945784370529376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64922</v>
      </c>
      <c r="C33" s="8">
        <v>3014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8"/>
      <c r="N33" s="8">
        <v>53598</v>
      </c>
      <c r="O33" s="8">
        <v>121534</v>
      </c>
      <c r="P33" s="17">
        <f>O33/O$39</f>
        <v>4.0284184246429135E-2</v>
      </c>
      <c r="Q33" s="18" t="s">
        <v>39</v>
      </c>
      <c r="R33" s="3"/>
      <c r="S33" s="3" t="s">
        <v>35</v>
      </c>
      <c r="T33" s="12">
        <f>C42/1000</f>
        <v>903.91</v>
      </c>
      <c r="U33" s="14">
        <f>C43</f>
        <v>0.20061508401383366</v>
      </c>
    </row>
    <row r="34" spans="1:48" ht="15.75" x14ac:dyDescent="0.25">
      <c r="A34" s="4" t="s">
        <v>40</v>
      </c>
      <c r="B34" s="8">
        <v>0</v>
      </c>
      <c r="C34" s="8">
        <v>790249</v>
      </c>
      <c r="D34" s="8">
        <v>0</v>
      </c>
      <c r="E34" s="8">
        <v>0</v>
      </c>
      <c r="F34" s="8">
        <v>73664</v>
      </c>
      <c r="G34" s="8">
        <v>0</v>
      </c>
      <c r="H34" s="8">
        <v>0</v>
      </c>
      <c r="I34" s="8"/>
      <c r="J34" s="8"/>
      <c r="K34" s="8"/>
      <c r="L34" s="8"/>
      <c r="M34" s="8"/>
      <c r="N34" s="8">
        <v>93599</v>
      </c>
      <c r="O34" s="8">
        <v>957512</v>
      </c>
      <c r="P34" s="17">
        <f>O34/O$39</f>
        <v>0.31738106065929578</v>
      </c>
      <c r="Q34" s="18" t="s">
        <v>41</v>
      </c>
      <c r="R34" s="3"/>
      <c r="S34" s="3"/>
      <c r="T34" s="12">
        <f>SUM(T24:T33)</f>
        <v>4505.693101011635</v>
      </c>
      <c r="U34" s="13">
        <f>SUM(U24:U33)</f>
        <v>0.99999999999999978</v>
      </c>
    </row>
    <row r="35" spans="1:48" ht="16" x14ac:dyDescent="0.2">
      <c r="A35" s="4" t="s">
        <v>42</v>
      </c>
      <c r="B35" s="8">
        <v>70169</v>
      </c>
      <c r="C35" s="8">
        <v>34015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8"/>
      <c r="N35" s="8">
        <v>355970</v>
      </c>
      <c r="O35" s="8">
        <v>460154</v>
      </c>
      <c r="P35" s="17">
        <f>O35/O$39</f>
        <v>0.15252463111336212</v>
      </c>
      <c r="Q35" s="18" t="s">
        <v>43</v>
      </c>
      <c r="R35" s="18"/>
    </row>
    <row r="36" spans="1:48" ht="16" x14ac:dyDescent="0.2">
      <c r="A36" s="4" t="s">
        <v>44</v>
      </c>
      <c r="B36" s="8">
        <v>14971</v>
      </c>
      <c r="C36" s="61">
        <f>O36-N36-G36-B36</f>
        <v>1986</v>
      </c>
      <c r="D36" s="8">
        <v>0</v>
      </c>
      <c r="E36" s="8">
        <v>0</v>
      </c>
      <c r="F36" s="8">
        <v>0</v>
      </c>
      <c r="G36" s="61">
        <v>23800</v>
      </c>
      <c r="H36" s="8">
        <v>0</v>
      </c>
      <c r="I36" s="8"/>
      <c r="J36" s="8"/>
      <c r="K36" s="8"/>
      <c r="L36" s="8"/>
      <c r="M36" s="8"/>
      <c r="N36" s="8">
        <v>167013</v>
      </c>
      <c r="O36" s="8">
        <v>207770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302020</v>
      </c>
      <c r="C37" s="8">
        <v>206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8"/>
      <c r="N37" s="8">
        <v>60066</v>
      </c>
      <c r="O37" s="8">
        <v>362292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8"/>
      <c r="N38" s="8">
        <v>14027</v>
      </c>
      <c r="O38" s="8">
        <v>14027</v>
      </c>
      <c r="P38" s="18">
        <f>SUM(P31:P35)</f>
        <v>0.80639533881619507</v>
      </c>
      <c r="Q38" s="18"/>
      <c r="R38" s="3"/>
      <c r="S38" s="7" t="s">
        <v>47</v>
      </c>
      <c r="T38" s="19">
        <f>O45/1000</f>
        <v>394.15915383474186</v>
      </c>
      <c r="U38" s="7"/>
    </row>
    <row r="39" spans="1:48" ht="16" x14ac:dyDescent="0.2">
      <c r="A39" s="4" t="s">
        <v>16</v>
      </c>
      <c r="B39" s="8">
        <v>700356</v>
      </c>
      <c r="C39" s="8">
        <v>890889</v>
      </c>
      <c r="D39" s="61">
        <v>0</v>
      </c>
      <c r="E39" s="69">
        <f>E32</f>
        <v>26551.237354561406</v>
      </c>
      <c r="F39" s="8">
        <v>74159</v>
      </c>
      <c r="G39" s="8">
        <v>30768</v>
      </c>
      <c r="H39" s="8">
        <v>0</v>
      </c>
      <c r="I39" s="8"/>
      <c r="J39" s="8"/>
      <c r="K39" s="8"/>
      <c r="L39" s="72"/>
      <c r="M39" s="72">
        <f>M32</f>
        <v>55829</v>
      </c>
      <c r="N39" s="61">
        <f>SUM(N31:N38)</f>
        <v>1238363.7626454385</v>
      </c>
      <c r="O39" s="8">
        <v>3016916</v>
      </c>
      <c r="P39" s="3"/>
      <c r="Q39" s="3"/>
      <c r="R39" s="3"/>
      <c r="S39" s="7" t="s">
        <v>48</v>
      </c>
      <c r="T39" s="20">
        <f>O41/1000</f>
        <v>584.08900000000006</v>
      </c>
      <c r="U39" s="13">
        <f>P41</f>
        <v>0.19360466118380493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460.154</v>
      </c>
      <c r="U40" s="14">
        <f>P35</f>
        <v>0.15252463111336212</v>
      </c>
    </row>
    <row r="41" spans="1:48" ht="16" x14ac:dyDescent="0.2">
      <c r="A41" s="21" t="s">
        <v>50</v>
      </c>
      <c r="B41" s="22">
        <f>B38+B37+B36</f>
        <v>316991</v>
      </c>
      <c r="C41" s="22">
        <f t="shared" ref="C41:O41" si="2">C38+C37+C36</f>
        <v>2192</v>
      </c>
      <c r="D41" s="22">
        <f t="shared" si="2"/>
        <v>0</v>
      </c>
      <c r="E41" s="22">
        <f t="shared" si="2"/>
        <v>0</v>
      </c>
      <c r="F41" s="22">
        <f t="shared" si="2"/>
        <v>0</v>
      </c>
      <c r="G41" s="22">
        <f t="shared" si="2"/>
        <v>23800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241106</v>
      </c>
      <c r="O41" s="22">
        <f t="shared" si="2"/>
        <v>584089</v>
      </c>
      <c r="P41" s="17">
        <f>O41/O$39</f>
        <v>0.19360466118380493</v>
      </c>
      <c r="Q41" s="17" t="s">
        <v>51</v>
      </c>
      <c r="R41" s="7"/>
      <c r="S41" s="7" t="s">
        <v>52</v>
      </c>
      <c r="T41" s="20">
        <f>O33/1000</f>
        <v>121.53400000000001</v>
      </c>
      <c r="U41" s="13">
        <f>P33</f>
        <v>4.0284184246429135E-2</v>
      </c>
    </row>
    <row r="42" spans="1:48" ht="16" x14ac:dyDescent="0.2">
      <c r="A42" s="23" t="s">
        <v>53</v>
      </c>
      <c r="B42" s="22"/>
      <c r="C42" s="24">
        <f>C39+C23+C10</f>
        <v>903910</v>
      </c>
      <c r="D42" s="24">
        <f t="shared" ref="D42:L42" si="3">D39+D23+D10</f>
        <v>0</v>
      </c>
      <c r="E42" s="24">
        <f t="shared" si="3"/>
        <v>26551.237354561406</v>
      </c>
      <c r="F42" s="24">
        <f t="shared" si="3"/>
        <v>79862</v>
      </c>
      <c r="G42" s="24">
        <f t="shared" si="3"/>
        <v>850610</v>
      </c>
      <c r="H42" s="24">
        <f t="shared" si="3"/>
        <v>0</v>
      </c>
      <c r="I42" s="24">
        <f t="shared" si="3"/>
        <v>0</v>
      </c>
      <c r="J42" s="24">
        <f t="shared" si="3"/>
        <v>139448</v>
      </c>
      <c r="K42" s="24">
        <f t="shared" si="3"/>
        <v>432237</v>
      </c>
      <c r="L42" s="24">
        <f t="shared" si="3"/>
        <v>1228642</v>
      </c>
      <c r="M42" s="8">
        <v>0</v>
      </c>
      <c r="N42" s="24">
        <f>N39+N23-B6+N45</f>
        <v>844432.86365707358</v>
      </c>
      <c r="O42" s="25">
        <f>SUM(C42:N42)</f>
        <v>4505693.1010116357</v>
      </c>
      <c r="P42" s="7"/>
      <c r="Q42" s="7"/>
      <c r="R42" s="7"/>
      <c r="S42" s="7" t="s">
        <v>34</v>
      </c>
      <c r="T42" s="20">
        <f>O31/1000</f>
        <v>20.356999999999999</v>
      </c>
      <c r="U42" s="13">
        <f>P31</f>
        <v>6.7476190918142895E-3</v>
      </c>
    </row>
    <row r="43" spans="1:48" ht="16" x14ac:dyDescent="0.2">
      <c r="A43" s="23" t="s">
        <v>54</v>
      </c>
      <c r="B43" s="22"/>
      <c r="C43" s="17">
        <f t="shared" ref="C43:N43" si="4">C42/$O42</f>
        <v>0.20061508401383366</v>
      </c>
      <c r="D43" s="17">
        <f t="shared" si="4"/>
        <v>0</v>
      </c>
      <c r="E43" s="17">
        <f t="shared" si="4"/>
        <v>5.8928197636452465E-3</v>
      </c>
      <c r="F43" s="17">
        <f t="shared" si="4"/>
        <v>1.7724687014761185E-2</v>
      </c>
      <c r="G43" s="17">
        <f t="shared" si="4"/>
        <v>0.18878560543970865</v>
      </c>
      <c r="H43" s="17">
        <f t="shared" si="4"/>
        <v>0</v>
      </c>
      <c r="I43" s="17">
        <f t="shared" si="4"/>
        <v>0</v>
      </c>
      <c r="J43" s="17">
        <f t="shared" si="4"/>
        <v>3.0949289459748289E-2</v>
      </c>
      <c r="K43" s="17">
        <f t="shared" si="4"/>
        <v>9.5931300758800561E-2</v>
      </c>
      <c r="L43" s="17">
        <f t="shared" si="4"/>
        <v>0.27268657062420443</v>
      </c>
      <c r="M43" s="17">
        <f t="shared" si="4"/>
        <v>0</v>
      </c>
      <c r="N43" s="17">
        <f t="shared" si="4"/>
        <v>0.18741464292529783</v>
      </c>
      <c r="O43" s="17">
        <f>SUM(C43:N43)</f>
        <v>0.99999999999999989</v>
      </c>
      <c r="P43" s="7"/>
      <c r="Q43" s="7"/>
      <c r="R43" s="7"/>
      <c r="S43" s="7" t="s">
        <v>55</v>
      </c>
      <c r="T43" s="20">
        <f>O32/1000</f>
        <v>873.27</v>
      </c>
      <c r="U43" s="14">
        <f>P32</f>
        <v>0.28945784370529376</v>
      </c>
    </row>
    <row r="44" spans="1:48" ht="16" x14ac:dyDescent="0.2">
      <c r="A44" s="55" t="s">
        <v>87</v>
      </c>
      <c r="B44" s="94">
        <v>1238124.9471768932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957.51199999999994</v>
      </c>
      <c r="U44" s="14">
        <f>P34</f>
        <v>0.31738106065929578</v>
      </c>
    </row>
    <row r="45" spans="1:48" ht="16" x14ac:dyDescent="0.2">
      <c r="A45" s="6" t="s">
        <v>57</v>
      </c>
      <c r="B45" s="6">
        <f>B23+B25-B39-B44-L39</f>
        <v>295090.05282310676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99069.101011635081</v>
      </c>
      <c r="O45" s="25">
        <f>B45+N45</f>
        <v>394159.15383474185</v>
      </c>
      <c r="P45" s="7"/>
      <c r="Q45" s="7"/>
      <c r="R45" s="7"/>
      <c r="S45" s="7" t="s">
        <v>58</v>
      </c>
      <c r="T45" s="20">
        <f>SUM(T39:T44)</f>
        <v>3016.9160000000002</v>
      </c>
      <c r="U45" s="13">
        <f>SUM(U39:U44)</f>
        <v>1</v>
      </c>
    </row>
    <row r="46" spans="1:48" ht="16" x14ac:dyDescent="0.2">
      <c r="A46" s="6" t="s">
        <v>93</v>
      </c>
      <c r="B46" s="74">
        <f>B45/B23</f>
        <v>0.13211581490944624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0.3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328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328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4" t="s">
        <v>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79">
        <f t="shared" ref="O17:O23" si="0">SUM(C17:N17)</f>
        <v>0</v>
      </c>
      <c r="Q17" s="3"/>
      <c r="R17" s="3"/>
      <c r="S17" s="3"/>
      <c r="T17" s="3"/>
      <c r="U17" s="3"/>
    </row>
    <row r="18" spans="1:21" ht="16" x14ac:dyDescent="0.2">
      <c r="A18" s="4" t="s">
        <v>21</v>
      </c>
      <c r="B18" s="54">
        <v>65600</v>
      </c>
      <c r="C18" s="8">
        <v>1640</v>
      </c>
      <c r="D18" s="8">
        <v>0</v>
      </c>
      <c r="E18" s="8">
        <v>0</v>
      </c>
      <c r="F18" s="8">
        <v>11148</v>
      </c>
      <c r="G18" s="8">
        <v>0</v>
      </c>
      <c r="H18" s="8">
        <v>0</v>
      </c>
      <c r="I18" s="8"/>
      <c r="J18" s="8"/>
      <c r="K18" s="8"/>
      <c r="L18" s="8"/>
      <c r="M18" s="8"/>
      <c r="N18" s="54">
        <v>20200</v>
      </c>
      <c r="O18" s="89">
        <f t="shared" si="0"/>
        <v>32988</v>
      </c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79">
        <f t="shared" si="0"/>
        <v>0</v>
      </c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79">
        <f t="shared" si="0"/>
        <v>0</v>
      </c>
      <c r="Q20" s="3"/>
      <c r="R20" s="3"/>
      <c r="S20" s="3"/>
      <c r="T20" s="3"/>
      <c r="U20" s="3"/>
    </row>
    <row r="21" spans="1:21" ht="16" x14ac:dyDescent="0.2">
      <c r="A21" s="4" t="s">
        <v>24</v>
      </c>
      <c r="B21" s="83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79">
        <f t="shared" si="0"/>
        <v>0</v>
      </c>
      <c r="Q21" s="3"/>
      <c r="R21" s="3"/>
      <c r="S21" s="3" t="s">
        <v>26</v>
      </c>
      <c r="T21" s="11">
        <f>O42/1000</f>
        <v>862.12380000000007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79">
        <f t="shared" si="0"/>
        <v>0</v>
      </c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v>65600</v>
      </c>
      <c r="C23" s="8">
        <v>1640</v>
      </c>
      <c r="D23" s="8">
        <v>0</v>
      </c>
      <c r="E23" s="8">
        <v>0</v>
      </c>
      <c r="F23" s="8">
        <v>11148</v>
      </c>
      <c r="G23" s="8">
        <v>0</v>
      </c>
      <c r="H23" s="8">
        <v>0</v>
      </c>
      <c r="I23" s="8"/>
      <c r="J23" s="8"/>
      <c r="K23" s="8"/>
      <c r="L23" s="8"/>
      <c r="M23" s="8"/>
      <c r="N23" s="54">
        <f>SUM(N17:N20)</f>
        <v>20200</v>
      </c>
      <c r="O23" s="89">
        <f t="shared" si="0"/>
        <v>32988</v>
      </c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388.70679999999999</v>
      </c>
      <c r="U24" s="13">
        <f>N43</f>
        <v>0.4508712089841389</v>
      </c>
    </row>
    <row r="25" spans="1:21" ht="16" x14ac:dyDescent="0.2">
      <c r="A25" s="5" t="s">
        <v>86</v>
      </c>
      <c r="B25" s="61">
        <v>110396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6.2119999999999997</v>
      </c>
      <c r="U25" s="14">
        <f>G43</f>
        <v>7.2054616749937768E-3</v>
      </c>
    </row>
    <row r="26" spans="1:21" ht="15.75" x14ac:dyDescent="0.25">
      <c r="B26" s="61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43.048000000000002</v>
      </c>
      <c r="U27" s="13">
        <f>F43</f>
        <v>4.9932503893292353E-2</v>
      </c>
    </row>
    <row r="28" spans="1:21" ht="16" x14ac:dyDescent="0.2">
      <c r="A28" s="4" t="s">
        <v>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4.4999999999999998E-2</v>
      </c>
      <c r="U28" s="13">
        <f>E43</f>
        <v>5.21966798735866E-5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1807</v>
      </c>
      <c r="D31" s="8">
        <v>0</v>
      </c>
      <c r="E31" s="8">
        <v>0</v>
      </c>
      <c r="F31" s="8">
        <v>181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2474</v>
      </c>
      <c r="O31" s="8">
        <v>4462</v>
      </c>
      <c r="P31" s="17">
        <f>O31/O$39</f>
        <v>4.5947279049914896E-3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5165</v>
      </c>
      <c r="C32" s="61">
        <v>13471</v>
      </c>
      <c r="D32" s="8">
        <v>0</v>
      </c>
      <c r="E32" s="69">
        <v>45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65517</v>
      </c>
      <c r="O32" s="8">
        <v>84198</v>
      </c>
      <c r="P32" s="17">
        <f>O32/O$39</f>
        <v>8.6702577351966251E-2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16321</v>
      </c>
      <c r="C33" s="8">
        <v>294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35755</v>
      </c>
      <c r="O33" s="8">
        <v>52370</v>
      </c>
      <c r="P33" s="17">
        <f>O33/O$39</f>
        <v>5.3927812726222386E-2</v>
      </c>
      <c r="Q33" s="18" t="s">
        <v>39</v>
      </c>
      <c r="R33" s="3"/>
      <c r="S33" s="3" t="s">
        <v>35</v>
      </c>
      <c r="T33" s="12">
        <f>C42/1000</f>
        <v>424.11200000000002</v>
      </c>
      <c r="U33" s="14">
        <f>C43</f>
        <v>0.49193862876770134</v>
      </c>
    </row>
    <row r="34" spans="1:48" ht="15.75" x14ac:dyDescent="0.25">
      <c r="A34" s="4" t="s">
        <v>40</v>
      </c>
      <c r="B34" s="8">
        <v>0</v>
      </c>
      <c r="C34" s="8">
        <v>405925</v>
      </c>
      <c r="D34" s="8">
        <v>0</v>
      </c>
      <c r="E34" s="8">
        <v>0</v>
      </c>
      <c r="F34" s="8">
        <v>31719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577</v>
      </c>
      <c r="O34" s="8">
        <v>438221</v>
      </c>
      <c r="P34" s="17">
        <f>O34/O$39</f>
        <v>0.45125644492453504</v>
      </c>
      <c r="Q34" s="18" t="s">
        <v>41</v>
      </c>
      <c r="R34" s="3"/>
      <c r="S34" s="3"/>
      <c r="T34" s="12">
        <f>SUM(T24:T33)</f>
        <v>862.12380000000007</v>
      </c>
      <c r="U34" s="13">
        <f>SUM(U24:U33)</f>
        <v>0.99999999999999989</v>
      </c>
    </row>
    <row r="35" spans="1:48" ht="16" x14ac:dyDescent="0.2">
      <c r="A35" s="4" t="s">
        <v>42</v>
      </c>
      <c r="B35" s="8">
        <v>34943</v>
      </c>
      <c r="C35" s="8">
        <v>693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99165</v>
      </c>
      <c r="O35" s="8">
        <v>134800</v>
      </c>
      <c r="P35" s="17">
        <f>O35/O$39</f>
        <v>0.13880979865370971</v>
      </c>
      <c r="Q35" s="18" t="s">
        <v>43</v>
      </c>
      <c r="R35" s="18"/>
    </row>
    <row r="36" spans="1:48" ht="16" x14ac:dyDescent="0.2">
      <c r="A36" s="4" t="s">
        <v>44</v>
      </c>
      <c r="B36" s="8">
        <v>1667</v>
      </c>
      <c r="C36" s="8">
        <v>282</v>
      </c>
      <c r="D36" s="8">
        <v>0</v>
      </c>
      <c r="E36" s="8">
        <v>0</v>
      </c>
      <c r="F36" s="8">
        <v>0</v>
      </c>
      <c r="G36" s="8">
        <v>6212</v>
      </c>
      <c r="H36" s="8">
        <v>0</v>
      </c>
      <c r="I36" s="8"/>
      <c r="J36" s="8"/>
      <c r="K36" s="8"/>
      <c r="L36" s="8"/>
      <c r="M36" s="27"/>
      <c r="N36" s="8">
        <v>112738</v>
      </c>
      <c r="O36" s="8">
        <v>120898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111180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23864</v>
      </c>
      <c r="O37" s="8">
        <v>135044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1120</v>
      </c>
      <c r="O38" s="8">
        <v>1120</v>
      </c>
      <c r="P38" s="18">
        <f>SUM(P31:P35)</f>
        <v>0.73529136156142483</v>
      </c>
      <c r="Q38" s="18"/>
      <c r="R38" s="3"/>
      <c r="S38" s="7" t="s">
        <v>47</v>
      </c>
      <c r="T38" s="19">
        <f>O45/1000</f>
        <v>34.016800000000003</v>
      </c>
      <c r="U38" s="7"/>
    </row>
    <row r="39" spans="1:48" ht="16" x14ac:dyDescent="0.2">
      <c r="A39" s="4" t="s">
        <v>16</v>
      </c>
      <c r="B39" s="8">
        <v>169276</v>
      </c>
      <c r="C39" s="61">
        <f>SUM(C31:C37)</f>
        <v>422472</v>
      </c>
      <c r="D39" s="8">
        <v>0</v>
      </c>
      <c r="E39" s="69">
        <v>45</v>
      </c>
      <c r="F39" s="8">
        <v>31900</v>
      </c>
      <c r="G39" s="8">
        <v>6212</v>
      </c>
      <c r="H39" s="8">
        <v>0</v>
      </c>
      <c r="I39" s="8"/>
      <c r="J39" s="8"/>
      <c r="K39" s="8"/>
      <c r="L39" s="8"/>
      <c r="M39" s="27"/>
      <c r="N39" s="8">
        <v>341210</v>
      </c>
      <c r="O39" s="8">
        <v>971113</v>
      </c>
      <c r="P39" s="3"/>
      <c r="Q39" s="3"/>
      <c r="R39" s="3"/>
      <c r="S39" s="7" t="s">
        <v>48</v>
      </c>
      <c r="T39" s="20">
        <f>O41/1000</f>
        <v>257.06200000000001</v>
      </c>
      <c r="U39" s="13">
        <f>P41</f>
        <v>0.26470863843857512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134.80000000000001</v>
      </c>
      <c r="U40" s="14">
        <f>P35</f>
        <v>0.13880979865370971</v>
      </c>
    </row>
    <row r="41" spans="1:48" ht="16" x14ac:dyDescent="0.2">
      <c r="A41" s="21" t="s">
        <v>50</v>
      </c>
      <c r="B41" s="22">
        <f>B38+B37+B36</f>
        <v>112847</v>
      </c>
      <c r="C41" s="22">
        <f t="shared" ref="C41:O41" si="1">C38+C37+C36</f>
        <v>282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6212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137722</v>
      </c>
      <c r="O41" s="22">
        <f t="shared" si="1"/>
        <v>257062</v>
      </c>
      <c r="P41" s="17">
        <f>O41/O$39</f>
        <v>0.26470863843857512</v>
      </c>
      <c r="Q41" s="17" t="s">
        <v>51</v>
      </c>
      <c r="R41" s="7"/>
      <c r="S41" s="7" t="s">
        <v>52</v>
      </c>
      <c r="T41" s="20">
        <f>O33/1000</f>
        <v>52.37</v>
      </c>
      <c r="U41" s="13">
        <f>P33</f>
        <v>5.3927812726222386E-2</v>
      </c>
    </row>
    <row r="42" spans="1:48" ht="16" x14ac:dyDescent="0.2">
      <c r="A42" s="23" t="s">
        <v>53</v>
      </c>
      <c r="B42" s="22"/>
      <c r="C42" s="24">
        <f>C39+C23+C10</f>
        <v>424112</v>
      </c>
      <c r="D42" s="24">
        <f t="shared" ref="D42:M42" si="2">D39+D23+D10</f>
        <v>0</v>
      </c>
      <c r="E42" s="24">
        <f t="shared" si="2"/>
        <v>45</v>
      </c>
      <c r="F42" s="24">
        <f t="shared" si="2"/>
        <v>43048</v>
      </c>
      <c r="G42" s="24">
        <f t="shared" si="2"/>
        <v>6212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388706.8</v>
      </c>
      <c r="O42" s="25">
        <f>SUM(C42:N42)</f>
        <v>862123.8</v>
      </c>
      <c r="P42" s="7"/>
      <c r="Q42" s="7"/>
      <c r="R42" s="7"/>
      <c r="S42" s="7" t="s">
        <v>34</v>
      </c>
      <c r="T42" s="20">
        <f>O31/1000</f>
        <v>4.4619999999999997</v>
      </c>
      <c r="U42" s="13">
        <f>P31</f>
        <v>4.5947279049914896E-3</v>
      </c>
    </row>
    <row r="43" spans="1:48" ht="16" x14ac:dyDescent="0.2">
      <c r="A43" s="23" t="s">
        <v>54</v>
      </c>
      <c r="B43" s="22"/>
      <c r="C43" s="17">
        <f t="shared" ref="C43:N43" si="3">C42/$O42</f>
        <v>0.49193862876770134</v>
      </c>
      <c r="D43" s="17">
        <f t="shared" si="3"/>
        <v>0</v>
      </c>
      <c r="E43" s="17">
        <f t="shared" si="3"/>
        <v>5.21966798735866E-5</v>
      </c>
      <c r="F43" s="17">
        <f t="shared" si="3"/>
        <v>4.9932503893292353E-2</v>
      </c>
      <c r="G43" s="17">
        <f t="shared" si="3"/>
        <v>7.2054616749937768E-3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0.4508712089841389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84.197999999999993</v>
      </c>
      <c r="U43" s="14">
        <f>P32</f>
        <v>8.6702577351966251E-2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438.221</v>
      </c>
      <c r="U44" s="14">
        <f>P34</f>
        <v>0.45125644492453504</v>
      </c>
    </row>
    <row r="45" spans="1:48" ht="16" x14ac:dyDescent="0.2">
      <c r="A45" s="6" t="s">
        <v>57</v>
      </c>
      <c r="B45" s="6">
        <f>B23+B25-B39</f>
        <v>6720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27296.799999999999</v>
      </c>
      <c r="O45" s="25">
        <f>B45+N45</f>
        <v>34016.800000000003</v>
      </c>
      <c r="P45" s="7"/>
      <c r="Q45" s="7"/>
      <c r="R45" s="7"/>
      <c r="S45" s="7" t="s">
        <v>58</v>
      </c>
      <c r="T45" s="20">
        <f>SUM(T39:T44)</f>
        <v>971.11300000000006</v>
      </c>
      <c r="U45" s="13">
        <f>SUM(U39:U44)</f>
        <v>1</v>
      </c>
    </row>
    <row r="46" spans="1:48" ht="16" x14ac:dyDescent="0.2">
      <c r="A46" s="6" t="s">
        <v>93</v>
      </c>
      <c r="B46" s="84">
        <f>B45/(B23+B25)</f>
        <v>3.8182685970135688E-2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6"/>
      <c r="E47" s="15"/>
      <c r="F47" s="15"/>
      <c r="G47" s="16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6"/>
      <c r="E48" s="15"/>
      <c r="F48" s="16"/>
      <c r="G48" s="16"/>
      <c r="H48" s="15"/>
      <c r="I48" s="15"/>
      <c r="J48" s="15"/>
      <c r="K48" s="15"/>
      <c r="L48" s="15"/>
      <c r="M48" s="15"/>
      <c r="N48" s="27"/>
      <c r="O48" s="15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27"/>
      <c r="B49" s="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7"/>
      <c r="O49" s="15"/>
      <c r="P49" s="15"/>
      <c r="Q49" s="27"/>
      <c r="R49" s="27"/>
      <c r="S49" s="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27"/>
      <c r="B50" s="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27"/>
      <c r="O50" s="15"/>
      <c r="P50" s="15"/>
      <c r="Q50" s="27"/>
      <c r="R50" s="27"/>
      <c r="S50" s="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27"/>
      <c r="B51" s="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7"/>
      <c r="O51" s="15"/>
      <c r="P51" s="15"/>
      <c r="Q51" s="27"/>
      <c r="R51" s="27"/>
      <c r="S51" s="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27"/>
      <c r="B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7"/>
      <c r="O52" s="15"/>
      <c r="P52" s="15"/>
      <c r="Q52" s="27"/>
      <c r="R52" s="27"/>
      <c r="S52" s="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7"/>
      <c r="O53" s="15"/>
      <c r="P53" s="15"/>
      <c r="Q53" s="27"/>
      <c r="R53" s="27"/>
      <c r="S53" s="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27"/>
      <c r="B54" s="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7"/>
      <c r="O54" s="15"/>
      <c r="P54" s="15"/>
      <c r="Q54" s="27"/>
      <c r="R54" s="27"/>
      <c r="S54" s="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27"/>
      <c r="B55" s="4"/>
      <c r="C55" s="15"/>
      <c r="D55" s="16"/>
      <c r="E55" s="15"/>
      <c r="F55" s="16"/>
      <c r="G55" s="15"/>
      <c r="H55" s="15"/>
      <c r="I55" s="15"/>
      <c r="J55" s="15"/>
      <c r="K55" s="15"/>
      <c r="L55" s="15"/>
      <c r="M55" s="15"/>
      <c r="N55" s="27"/>
      <c r="O55" s="15"/>
      <c r="P55" s="15"/>
      <c r="Q55" s="27"/>
      <c r="R55" s="27"/>
      <c r="S55" s="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27"/>
      <c r="B56" s="4"/>
      <c r="C56" s="15"/>
      <c r="D56" s="16"/>
      <c r="E56" s="15"/>
      <c r="F56" s="16"/>
      <c r="G56" s="15"/>
      <c r="H56" s="15"/>
      <c r="I56" s="15"/>
      <c r="J56" s="15"/>
      <c r="K56" s="15"/>
      <c r="L56" s="15"/>
      <c r="M56" s="15"/>
      <c r="N56" s="27"/>
      <c r="O56" s="15"/>
      <c r="P56" s="15"/>
      <c r="Q56" s="27"/>
      <c r="R56" s="27"/>
      <c r="S56" s="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0" enableFormatConditionsCalculation="0"/>
  <dimension ref="A1:AV70"/>
  <sheetViews>
    <sheetView topLeftCell="G18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11.832031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76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345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345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76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35500</v>
      </c>
      <c r="C18" s="8">
        <v>191</v>
      </c>
      <c r="D18" s="8">
        <v>0</v>
      </c>
      <c r="E18" s="8">
        <v>0</v>
      </c>
      <c r="F18" s="8">
        <v>30156</v>
      </c>
      <c r="G18" s="8">
        <v>8742</v>
      </c>
      <c r="H18" s="8">
        <v>0</v>
      </c>
      <c r="I18" s="8"/>
      <c r="J18" s="8"/>
      <c r="K18" s="8"/>
      <c r="L18" s="8"/>
      <c r="M18" s="8"/>
      <c r="N18" s="8"/>
      <c r="O18" s="8">
        <f>SUM(C18:G18)</f>
        <v>39089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1435.91076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f>B18</f>
        <v>35500</v>
      </c>
      <c r="C23" s="8">
        <f>C18</f>
        <v>191</v>
      </c>
      <c r="D23" s="8">
        <v>0</v>
      </c>
      <c r="E23" s="8">
        <v>0</v>
      </c>
      <c r="F23" s="8">
        <f>F18</f>
        <v>30156</v>
      </c>
      <c r="G23" s="8">
        <f>G18</f>
        <v>8742</v>
      </c>
      <c r="H23" s="8">
        <v>0</v>
      </c>
      <c r="I23" s="8"/>
      <c r="J23" s="8"/>
      <c r="K23" s="8"/>
      <c r="L23" s="8"/>
      <c r="M23" s="8"/>
      <c r="N23" s="8"/>
      <c r="O23" s="8">
        <f>O18</f>
        <v>39089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760.72176000000002</v>
      </c>
      <c r="U24" s="13">
        <f>N43</f>
        <v>0.52978345255940562</v>
      </c>
    </row>
    <row r="25" spans="1:21" ht="16" x14ac:dyDescent="0.2">
      <c r="A25" s="5" t="s">
        <v>86</v>
      </c>
      <c r="B25" s="92">
        <v>202784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37.868000000000002</v>
      </c>
      <c r="U25" s="14">
        <f>G43</f>
        <v>2.637211242849103E-2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93.754999999999995</v>
      </c>
      <c r="U27" s="13">
        <f>F43</f>
        <v>6.5293054841374681E-2</v>
      </c>
    </row>
    <row r="28" spans="1:21" ht="15.75" x14ac:dyDescent="0.25">
      <c r="A28" s="37" t="s">
        <v>76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0.03</v>
      </c>
      <c r="U28" s="13">
        <f>E43</f>
        <v>2.0892663273865291E-5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127</v>
      </c>
      <c r="D31" s="8">
        <v>0</v>
      </c>
      <c r="E31" s="8">
        <v>0</v>
      </c>
      <c r="F31" s="8">
        <v>7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18</v>
      </c>
      <c r="O31" s="8">
        <v>152</v>
      </c>
      <c r="P31" s="17">
        <f>O31/O$39</f>
        <v>9.7037050277960072E-5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7727</v>
      </c>
      <c r="C32" s="8">
        <v>396</v>
      </c>
      <c r="D32" s="8">
        <v>0</v>
      </c>
      <c r="E32" s="61">
        <v>30</v>
      </c>
      <c r="F32" s="8">
        <v>0</v>
      </c>
      <c r="G32" s="61">
        <v>5</v>
      </c>
      <c r="H32" s="8">
        <v>0</v>
      </c>
      <c r="I32" s="8"/>
      <c r="J32" s="8"/>
      <c r="K32" s="8"/>
      <c r="L32" s="8"/>
      <c r="M32" s="27"/>
      <c r="N32" s="61">
        <f>O32-G32-C32-B32-E32</f>
        <v>22549</v>
      </c>
      <c r="O32" s="8">
        <v>30707</v>
      </c>
      <c r="P32" s="17">
        <f>O32/O$39</f>
        <v>1.9603399361087633E-2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22572</v>
      </c>
      <c r="C33" s="8">
        <v>322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125670</v>
      </c>
      <c r="O33" s="8">
        <v>148564</v>
      </c>
      <c r="P33" s="17">
        <f>O33/O$39</f>
        <v>9.484350222036092E-2</v>
      </c>
      <c r="Q33" s="18" t="s">
        <v>39</v>
      </c>
      <c r="R33" s="3"/>
      <c r="S33" s="3" t="s">
        <v>35</v>
      </c>
      <c r="T33" s="12">
        <f>C42/1000</f>
        <v>543.53599999999994</v>
      </c>
      <c r="U33" s="14">
        <f>C43</f>
        <v>0.37853048750745483</v>
      </c>
    </row>
    <row r="34" spans="1:48" ht="15.75" x14ac:dyDescent="0.25">
      <c r="A34" s="4" t="s">
        <v>40</v>
      </c>
      <c r="B34" s="8">
        <v>0</v>
      </c>
      <c r="C34" s="8">
        <v>484943</v>
      </c>
      <c r="D34" s="8">
        <v>0</v>
      </c>
      <c r="E34" s="8">
        <v>0</v>
      </c>
      <c r="F34" s="8">
        <v>63592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2172</v>
      </c>
      <c r="O34" s="8">
        <v>550708</v>
      </c>
      <c r="P34" s="17">
        <f>O34/O$39</f>
        <v>0.35157289397680813</v>
      </c>
      <c r="Q34" s="18" t="s">
        <v>41</v>
      </c>
      <c r="R34" s="3"/>
      <c r="S34" s="3"/>
      <c r="T34" s="12">
        <f>SUM(T24:T33)</f>
        <v>1435.91076</v>
      </c>
      <c r="U34" s="13">
        <f>SUM(U24:U33)</f>
        <v>1</v>
      </c>
    </row>
    <row r="35" spans="1:48" ht="16" x14ac:dyDescent="0.2">
      <c r="A35" s="4" t="s">
        <v>42</v>
      </c>
      <c r="B35" s="8">
        <v>44457</v>
      </c>
      <c r="C35" s="8">
        <v>54303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233495</v>
      </c>
      <c r="O35" s="8">
        <v>332255</v>
      </c>
      <c r="P35" s="17">
        <f>O35/O$39</f>
        <v>0.21211213907962911</v>
      </c>
      <c r="Q35" s="18" t="s">
        <v>43</v>
      </c>
      <c r="R35" s="18"/>
    </row>
    <row r="36" spans="1:48" ht="16" x14ac:dyDescent="0.2">
      <c r="A36" s="4" t="s">
        <v>44</v>
      </c>
      <c r="B36" s="8">
        <v>1609</v>
      </c>
      <c r="C36" s="8">
        <v>2126</v>
      </c>
      <c r="D36" s="8">
        <v>0</v>
      </c>
      <c r="E36" s="8">
        <v>0</v>
      </c>
      <c r="F36" s="8">
        <v>0</v>
      </c>
      <c r="G36" s="61">
        <v>29121</v>
      </c>
      <c r="H36" s="8">
        <v>0</v>
      </c>
      <c r="I36" s="8"/>
      <c r="J36" s="8"/>
      <c r="K36" s="8"/>
      <c r="L36" s="8"/>
      <c r="M36" s="27"/>
      <c r="N36" s="61">
        <f>O36-SUM(B36:M36)</f>
        <v>263297</v>
      </c>
      <c r="O36" s="8">
        <v>296153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149575</v>
      </c>
      <c r="C37" s="8">
        <v>1127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50547</v>
      </c>
      <c r="O37" s="8">
        <v>201249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6624</v>
      </c>
      <c r="O38" s="8">
        <v>6624</v>
      </c>
      <c r="P38" s="18">
        <f>SUM(P31:P35)</f>
        <v>0.67822897168816376</v>
      </c>
      <c r="Q38" s="18"/>
      <c r="R38" s="3"/>
      <c r="S38" s="7" t="s">
        <v>47</v>
      </c>
      <c r="T38" s="19">
        <f>O45/1000</f>
        <v>68.693760000000012</v>
      </c>
      <c r="U38" s="7"/>
    </row>
    <row r="39" spans="1:48" ht="16" x14ac:dyDescent="0.2">
      <c r="A39" s="4" t="s">
        <v>16</v>
      </c>
      <c r="B39" s="8">
        <v>225940</v>
      </c>
      <c r="C39" s="8">
        <v>543345</v>
      </c>
      <c r="D39" s="8">
        <v>0</v>
      </c>
      <c r="E39" s="61">
        <v>30</v>
      </c>
      <c r="F39" s="8">
        <v>63599</v>
      </c>
      <c r="G39" s="53">
        <f>SUM(G32:G36)</f>
        <v>29126</v>
      </c>
      <c r="H39" s="8">
        <v>0</v>
      </c>
      <c r="I39" s="8"/>
      <c r="J39" s="8"/>
      <c r="K39" s="8"/>
      <c r="L39" s="8"/>
      <c r="M39" s="27"/>
      <c r="N39" s="61">
        <f>SUM(N31:N38)</f>
        <v>704372</v>
      </c>
      <c r="O39" s="8">
        <v>1566412</v>
      </c>
      <c r="P39" s="3"/>
      <c r="Q39" s="3"/>
      <c r="R39" s="3"/>
      <c r="S39" s="7" t="s">
        <v>48</v>
      </c>
      <c r="T39" s="20">
        <f>O41/1000</f>
        <v>504.02600000000001</v>
      </c>
      <c r="U39" s="13">
        <f>P41</f>
        <v>0.32177102831183624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332.255</v>
      </c>
      <c r="U40" s="14">
        <f>P35</f>
        <v>0.21211213907962911</v>
      </c>
    </row>
    <row r="41" spans="1:48" ht="16" x14ac:dyDescent="0.2">
      <c r="A41" s="21" t="s">
        <v>50</v>
      </c>
      <c r="B41" s="22">
        <f>B38+B37+B36</f>
        <v>151184</v>
      </c>
      <c r="C41" s="22">
        <f t="shared" ref="C41:O41" si="0">C38+C37+C36</f>
        <v>3253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29121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320468</v>
      </c>
      <c r="O41" s="22">
        <f t="shared" si="0"/>
        <v>504026</v>
      </c>
      <c r="P41" s="17">
        <f>O41/O$39</f>
        <v>0.32177102831183624</v>
      </c>
      <c r="Q41" s="17" t="s">
        <v>51</v>
      </c>
      <c r="R41" s="7"/>
      <c r="S41" s="7" t="s">
        <v>52</v>
      </c>
      <c r="T41" s="20">
        <f>O33/1000</f>
        <v>148.56399999999999</v>
      </c>
      <c r="U41" s="13">
        <f>P33</f>
        <v>9.484350222036092E-2</v>
      </c>
    </row>
    <row r="42" spans="1:48" ht="16" x14ac:dyDescent="0.2">
      <c r="A42" s="23" t="s">
        <v>53</v>
      </c>
      <c r="B42" s="22"/>
      <c r="C42" s="24">
        <f>C39+C23+C10</f>
        <v>543536</v>
      </c>
      <c r="D42" s="24">
        <f t="shared" ref="D42:M42" si="1">D39+D23+D10</f>
        <v>0</v>
      </c>
      <c r="E42" s="24">
        <f t="shared" si="1"/>
        <v>30</v>
      </c>
      <c r="F42" s="24">
        <f t="shared" si="1"/>
        <v>93755</v>
      </c>
      <c r="G42" s="24">
        <f t="shared" si="1"/>
        <v>37868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760721.76</v>
      </c>
      <c r="O42" s="25">
        <f>SUM(C42:N42)</f>
        <v>1435910.76</v>
      </c>
      <c r="P42" s="7"/>
      <c r="Q42" s="7"/>
      <c r="R42" s="7"/>
      <c r="S42" s="7" t="s">
        <v>34</v>
      </c>
      <c r="T42" s="20">
        <f>O31/1000</f>
        <v>0.152</v>
      </c>
      <c r="U42" s="13">
        <f>P31</f>
        <v>9.7037050277960072E-5</v>
      </c>
    </row>
    <row r="43" spans="1:48" ht="16" x14ac:dyDescent="0.2">
      <c r="A43" s="23" t="s">
        <v>54</v>
      </c>
      <c r="B43" s="22"/>
      <c r="C43" s="17">
        <f t="shared" ref="C43:N43" si="2">C42/$O42</f>
        <v>0.37853048750745483</v>
      </c>
      <c r="D43" s="17">
        <f t="shared" si="2"/>
        <v>0</v>
      </c>
      <c r="E43" s="17">
        <f t="shared" si="2"/>
        <v>2.0892663273865291E-5</v>
      </c>
      <c r="F43" s="17">
        <f t="shared" si="2"/>
        <v>6.5293054841374681E-2</v>
      </c>
      <c r="G43" s="17">
        <f t="shared" si="2"/>
        <v>2.637211242849103E-2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0.52978345255940562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30.707000000000001</v>
      </c>
      <c r="U43" s="14">
        <f>P32</f>
        <v>1.9603399361087633E-2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550.70799999999997</v>
      </c>
      <c r="U44" s="14">
        <f>P34</f>
        <v>0.35157289397680813</v>
      </c>
    </row>
    <row r="45" spans="1:48" ht="16" x14ac:dyDescent="0.2">
      <c r="A45" s="6" t="s">
        <v>57</v>
      </c>
      <c r="B45" s="6">
        <f>B23+B25-B39</f>
        <v>12344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56349.760000000002</v>
      </c>
      <c r="O45" s="25">
        <f>B45+N45</f>
        <v>68693.760000000009</v>
      </c>
      <c r="P45" s="7"/>
      <c r="Q45" s="7"/>
      <c r="R45" s="7"/>
      <c r="S45" s="7" t="s">
        <v>58</v>
      </c>
      <c r="T45" s="20">
        <f>SUM(T39:T44)</f>
        <v>1566.4119999999998</v>
      </c>
      <c r="U45" s="13">
        <f>SUM(U39:U44)</f>
        <v>1</v>
      </c>
    </row>
    <row r="46" spans="1:48" ht="16" x14ac:dyDescent="0.2">
      <c r="A46" s="6" t="s">
        <v>93</v>
      </c>
      <c r="B46" s="74">
        <f>B45/(B23+B25)</f>
        <v>5.1803730002853737E-2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  <c r="P46" s="3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1" enableFormatConditionsCalculation="0"/>
  <dimension ref="A1:AV70"/>
  <sheetViews>
    <sheetView topLeftCell="A19" workbookViewId="0">
      <selection activeCell="O40" sqref="O40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10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77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150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53"/>
      <c r="U9" s="53"/>
      <c r="V9" s="8"/>
      <c r="W9" s="8"/>
      <c r="X9" s="53"/>
      <c r="Y9" s="53"/>
      <c r="Z9" s="8"/>
      <c r="AA9" s="8"/>
      <c r="AB9" s="8"/>
      <c r="AC9" s="8"/>
      <c r="AD9" s="8"/>
      <c r="AE9" s="8"/>
      <c r="AF9" s="8"/>
      <c r="AG9" s="53"/>
      <c r="AH9" s="27"/>
      <c r="AI9" s="27"/>
    </row>
    <row r="10" spans="1:35" ht="16" x14ac:dyDescent="0.2">
      <c r="A10" s="4" t="s">
        <v>16</v>
      </c>
      <c r="B10" s="54">
        <v>150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53"/>
      <c r="U10" s="53"/>
      <c r="V10" s="8"/>
      <c r="W10" s="8"/>
      <c r="X10" s="53"/>
      <c r="Y10" s="53"/>
      <c r="Z10" s="8"/>
      <c r="AA10" s="8"/>
      <c r="AB10" s="8"/>
      <c r="AC10" s="8"/>
      <c r="AD10" s="8"/>
      <c r="AE10" s="8"/>
      <c r="AF10" s="8"/>
      <c r="AG10" s="53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77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62">
        <v>14693</v>
      </c>
      <c r="C18" s="62">
        <v>730</v>
      </c>
      <c r="D18" s="8">
        <v>0</v>
      </c>
      <c r="E18" s="8">
        <v>0</v>
      </c>
      <c r="F18" s="62">
        <v>14252</v>
      </c>
      <c r="G18" s="62">
        <v>1080</v>
      </c>
      <c r="H18" s="8">
        <v>0</v>
      </c>
      <c r="I18" s="8"/>
      <c r="J18" s="8"/>
      <c r="K18" s="8"/>
      <c r="L18" s="8"/>
      <c r="M18" s="8"/>
      <c r="N18" s="8"/>
      <c r="O18" s="62">
        <f>SUM(C18:H18)</f>
        <v>16062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53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639.31508000000008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62">
        <v>14693</v>
      </c>
      <c r="C23" s="62">
        <f>C18</f>
        <v>730</v>
      </c>
      <c r="D23" s="53">
        <f t="shared" ref="D23:G23" si="0">D18</f>
        <v>0</v>
      </c>
      <c r="E23" s="53">
        <f t="shared" si="0"/>
        <v>0</v>
      </c>
      <c r="F23" s="62">
        <f t="shared" si="0"/>
        <v>14252</v>
      </c>
      <c r="G23" s="62">
        <f t="shared" si="0"/>
        <v>1080</v>
      </c>
      <c r="H23" s="8">
        <v>0</v>
      </c>
      <c r="I23" s="8"/>
      <c r="J23" s="8"/>
      <c r="K23" s="8"/>
      <c r="L23" s="8"/>
      <c r="M23" s="8"/>
      <c r="N23" s="8"/>
      <c r="O23" s="62">
        <f>O18</f>
        <v>16062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442.45008000000001</v>
      </c>
      <c r="U24" s="13">
        <f>N43</f>
        <v>0.69206889347893996</v>
      </c>
    </row>
    <row r="25" spans="1:21" ht="16" x14ac:dyDescent="0.2">
      <c r="A25" s="5" t="s">
        <v>86</v>
      </c>
      <c r="B25" s="82">
        <f>277287-B23</f>
        <v>262594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2.9209999999999998</v>
      </c>
      <c r="U25" s="14">
        <f>G43</f>
        <v>4.5689521354634706E-3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40.563000000000002</v>
      </c>
      <c r="U27" s="13">
        <f>F43</f>
        <v>6.344758831592083E-2</v>
      </c>
    </row>
    <row r="28" spans="1:21" ht="15.75" x14ac:dyDescent="0.25">
      <c r="A28" s="37" t="s">
        <v>77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3.09</v>
      </c>
      <c r="U28" s="13">
        <f>E43</f>
        <v>4.8332975346053152E-3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0</v>
      </c>
      <c r="O31" s="8">
        <v>0</v>
      </c>
      <c r="P31" s="17">
        <f>O31/O$39</f>
        <v>0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6" x14ac:dyDescent="0.2">
      <c r="A32" s="4" t="s">
        <v>36</v>
      </c>
      <c r="B32" s="62">
        <v>821</v>
      </c>
      <c r="C32" s="8">
        <v>0</v>
      </c>
      <c r="D32" s="8">
        <v>0</v>
      </c>
      <c r="E32" s="67">
        <v>772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v>5500</v>
      </c>
      <c r="O32" s="63">
        <f>SUM(B32:N32)</f>
        <v>7093</v>
      </c>
      <c r="P32" s="17">
        <f>O32/O$39</f>
        <v>8.3140125044248413E-3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6" x14ac:dyDescent="0.2">
      <c r="A33" s="4" t="s">
        <v>38</v>
      </c>
      <c r="B33" s="62">
        <v>17067</v>
      </c>
      <c r="C33" s="8">
        <v>29</v>
      </c>
      <c r="D33" s="8">
        <v>0</v>
      </c>
      <c r="E33" s="67">
        <v>386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20166</v>
      </c>
      <c r="O33" s="87">
        <f>SUM(B33:N33)</f>
        <v>37648</v>
      </c>
      <c r="P33" s="17">
        <f>O33/O$39</f>
        <v>4.4128851369883884E-2</v>
      </c>
      <c r="Q33" s="18" t="s">
        <v>39</v>
      </c>
      <c r="R33" s="3"/>
      <c r="S33" s="3" t="s">
        <v>35</v>
      </c>
      <c r="T33" s="12">
        <f>C42/1000</f>
        <v>150.291</v>
      </c>
      <c r="U33" s="14">
        <f>C43</f>
        <v>0.23508126853507036</v>
      </c>
    </row>
    <row r="34" spans="1:48" ht="16" x14ac:dyDescent="0.2">
      <c r="A34" s="4" t="s">
        <v>40</v>
      </c>
      <c r="B34" s="8">
        <v>0</v>
      </c>
      <c r="C34" s="8">
        <v>146033</v>
      </c>
      <c r="D34" s="8">
        <v>0</v>
      </c>
      <c r="E34" s="8">
        <v>0</v>
      </c>
      <c r="F34" s="8">
        <v>26311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2275</v>
      </c>
      <c r="O34" s="8">
        <v>174619</v>
      </c>
      <c r="P34" s="17">
        <f>O34/O$39</f>
        <v>0.20467849281124506</v>
      </c>
      <c r="Q34" s="18" t="s">
        <v>41</v>
      </c>
      <c r="R34" s="3"/>
      <c r="S34" s="3"/>
      <c r="T34" s="12">
        <f>SUM(T24:T33)</f>
        <v>639.31507999999997</v>
      </c>
      <c r="U34" s="13">
        <f>SUM(U24:U33)</f>
        <v>0.99999999999999989</v>
      </c>
    </row>
    <row r="35" spans="1:48" ht="16" x14ac:dyDescent="0.2">
      <c r="A35" s="4" t="s">
        <v>42</v>
      </c>
      <c r="B35" s="62">
        <v>37760</v>
      </c>
      <c r="C35" s="8">
        <v>2081</v>
      </c>
      <c r="D35" s="8">
        <v>0</v>
      </c>
      <c r="E35" s="67">
        <v>772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61">
        <v>321420</v>
      </c>
      <c r="O35" s="63">
        <f>SUM(B35:N35)</f>
        <v>362033</v>
      </c>
      <c r="P35" s="17">
        <f>O35/O$39</f>
        <v>0.42435455928583654</v>
      </c>
      <c r="Q35" s="18" t="s">
        <v>43</v>
      </c>
      <c r="R35" s="18"/>
    </row>
    <row r="36" spans="1:48" ht="16" x14ac:dyDescent="0.2">
      <c r="A36" s="4" t="s">
        <v>44</v>
      </c>
      <c r="B36" s="62">
        <v>1840</v>
      </c>
      <c r="C36" s="8">
        <v>153</v>
      </c>
      <c r="D36" s="8">
        <v>0</v>
      </c>
      <c r="E36" s="67">
        <v>688</v>
      </c>
      <c r="F36" s="8">
        <v>0</v>
      </c>
      <c r="G36" s="8">
        <v>1841</v>
      </c>
      <c r="H36" s="8">
        <v>0</v>
      </c>
      <c r="I36" s="8"/>
      <c r="J36" s="8"/>
      <c r="K36" s="8"/>
      <c r="L36" s="8"/>
      <c r="M36" s="27"/>
      <c r="N36" s="8">
        <v>21899</v>
      </c>
      <c r="O36" s="87">
        <f t="shared" ref="O36:O37" si="1">SUM(B36:N36)</f>
        <v>26421</v>
      </c>
      <c r="P36" s="18"/>
      <c r="Q36" s="18"/>
      <c r="R36" s="3"/>
      <c r="S36" s="7"/>
      <c r="T36" s="7"/>
      <c r="U36" s="7"/>
    </row>
    <row r="37" spans="1:48" ht="16" x14ac:dyDescent="0.2">
      <c r="A37" s="4" t="s">
        <v>45</v>
      </c>
      <c r="B37" s="62">
        <v>205172</v>
      </c>
      <c r="C37" s="8">
        <v>1264</v>
      </c>
      <c r="D37" s="8">
        <v>0</v>
      </c>
      <c r="E37" s="67">
        <v>472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38408</v>
      </c>
      <c r="O37" s="87">
        <f t="shared" si="1"/>
        <v>245316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8</v>
      </c>
      <c r="O38" s="8">
        <v>8</v>
      </c>
      <c r="P38" s="18">
        <f>SUM(P31:P35)</f>
        <v>0.68147591597139034</v>
      </c>
      <c r="Q38" s="18"/>
      <c r="R38" s="3"/>
      <c r="S38" s="7" t="s">
        <v>47</v>
      </c>
      <c r="T38" s="19">
        <f>O45/1000</f>
        <v>47.40108</v>
      </c>
      <c r="U38" s="7"/>
    </row>
    <row r="39" spans="1:48" ht="16" x14ac:dyDescent="0.2">
      <c r="A39" s="4" t="s">
        <v>16</v>
      </c>
      <c r="B39" s="62">
        <v>262660</v>
      </c>
      <c r="C39" s="8">
        <v>149561</v>
      </c>
      <c r="D39" s="8">
        <v>0</v>
      </c>
      <c r="E39" s="8">
        <f>SUM(E31:E38)</f>
        <v>3090</v>
      </c>
      <c r="F39" s="8">
        <v>26311</v>
      </c>
      <c r="G39" s="8">
        <v>1841</v>
      </c>
      <c r="H39" s="8">
        <v>0</v>
      </c>
      <c r="I39" s="8"/>
      <c r="J39" s="8"/>
      <c r="K39" s="8"/>
      <c r="L39" s="8"/>
      <c r="M39" s="27"/>
      <c r="N39" s="61">
        <f>SUM(N31:N38)</f>
        <v>409676</v>
      </c>
      <c r="O39" s="54">
        <f>SUM(O31:O38)</f>
        <v>853138</v>
      </c>
      <c r="P39" s="3"/>
      <c r="Q39" s="3"/>
      <c r="R39" s="3"/>
      <c r="S39" s="7" t="s">
        <v>48</v>
      </c>
      <c r="T39" s="20">
        <f>O41/1000</f>
        <v>271.745</v>
      </c>
      <c r="U39" s="13">
        <f>P41</f>
        <v>0.31852408402860966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362.03300000000002</v>
      </c>
      <c r="U40" s="14">
        <f>P35</f>
        <v>0.42435455928583654</v>
      </c>
    </row>
    <row r="41" spans="1:48" ht="16" x14ac:dyDescent="0.2">
      <c r="A41" s="21" t="s">
        <v>50</v>
      </c>
      <c r="B41" s="22">
        <f>B38+B37+B36</f>
        <v>207012</v>
      </c>
      <c r="C41" s="22">
        <f t="shared" ref="C41:O41" si="2">C38+C37+C36</f>
        <v>1417</v>
      </c>
      <c r="D41" s="22">
        <f t="shared" si="2"/>
        <v>0</v>
      </c>
      <c r="E41" s="22">
        <f t="shared" si="2"/>
        <v>1160</v>
      </c>
      <c r="F41" s="22">
        <f t="shared" si="2"/>
        <v>0</v>
      </c>
      <c r="G41" s="22">
        <f t="shared" si="2"/>
        <v>1841</v>
      </c>
      <c r="H41" s="22">
        <f t="shared" si="2"/>
        <v>0</v>
      </c>
      <c r="I41" s="22">
        <f t="shared" si="2"/>
        <v>0</v>
      </c>
      <c r="J41" s="22">
        <f t="shared" si="2"/>
        <v>0</v>
      </c>
      <c r="K41" s="22">
        <f t="shared" si="2"/>
        <v>0</v>
      </c>
      <c r="L41" s="22">
        <f t="shared" si="2"/>
        <v>0</v>
      </c>
      <c r="M41" s="22">
        <f t="shared" si="2"/>
        <v>0</v>
      </c>
      <c r="N41" s="22">
        <f t="shared" si="2"/>
        <v>60315</v>
      </c>
      <c r="O41" s="22">
        <f t="shared" si="2"/>
        <v>271745</v>
      </c>
      <c r="P41" s="17">
        <f>O41/O$39</f>
        <v>0.31852408402860966</v>
      </c>
      <c r="Q41" s="17" t="s">
        <v>51</v>
      </c>
      <c r="R41" s="7"/>
      <c r="S41" s="7" t="s">
        <v>52</v>
      </c>
      <c r="T41" s="20">
        <f>O33/1000</f>
        <v>37.648000000000003</v>
      </c>
      <c r="U41" s="13">
        <f>P33</f>
        <v>4.4128851369883884E-2</v>
      </c>
    </row>
    <row r="42" spans="1:48" ht="16" x14ac:dyDescent="0.2">
      <c r="A42" s="23" t="s">
        <v>53</v>
      </c>
      <c r="B42" s="22"/>
      <c r="C42" s="24">
        <f>C39+C23+C10</f>
        <v>150291</v>
      </c>
      <c r="D42" s="24">
        <f t="shared" ref="D42:M42" si="3">D39+D23+D10</f>
        <v>0</v>
      </c>
      <c r="E42" s="24">
        <f t="shared" si="3"/>
        <v>3090</v>
      </c>
      <c r="F42" s="24">
        <f t="shared" si="3"/>
        <v>40563</v>
      </c>
      <c r="G42" s="24">
        <f t="shared" si="3"/>
        <v>2921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si="3"/>
        <v>0</v>
      </c>
      <c r="N42" s="24">
        <f>N39+N23-B6+N45</f>
        <v>442450.08</v>
      </c>
      <c r="O42" s="25">
        <f>SUM(C42:N42)</f>
        <v>639315.08000000007</v>
      </c>
      <c r="P42" s="7"/>
      <c r="Q42" s="7"/>
      <c r="R42" s="7"/>
      <c r="S42" s="7" t="s">
        <v>34</v>
      </c>
      <c r="T42" s="20">
        <f>O31/1000</f>
        <v>0</v>
      </c>
      <c r="U42" s="13">
        <f>P31</f>
        <v>0</v>
      </c>
    </row>
    <row r="43" spans="1:48" ht="16" x14ac:dyDescent="0.2">
      <c r="A43" s="23" t="s">
        <v>54</v>
      </c>
      <c r="B43" s="22"/>
      <c r="C43" s="17">
        <f t="shared" ref="C43:N43" si="4">C42/$O42</f>
        <v>0.23508126853507036</v>
      </c>
      <c r="D43" s="17">
        <f t="shared" si="4"/>
        <v>0</v>
      </c>
      <c r="E43" s="17">
        <f t="shared" si="4"/>
        <v>4.8332975346053152E-3</v>
      </c>
      <c r="F43" s="17">
        <f t="shared" si="4"/>
        <v>6.344758831592083E-2</v>
      </c>
      <c r="G43" s="17">
        <f t="shared" si="4"/>
        <v>4.5689521354634706E-3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si="4"/>
        <v>0</v>
      </c>
      <c r="N43" s="17">
        <f t="shared" si="4"/>
        <v>0.69206889347893996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7.093</v>
      </c>
      <c r="U43" s="14">
        <f>P32</f>
        <v>8.3140125044248413E-3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174.619</v>
      </c>
      <c r="U44" s="14">
        <f>P34</f>
        <v>0.20467849281124506</v>
      </c>
    </row>
    <row r="45" spans="1:48" ht="16" x14ac:dyDescent="0.2">
      <c r="A45" s="6" t="s">
        <v>57</v>
      </c>
      <c r="B45" s="6">
        <f>B23+B25-B39</f>
        <v>14627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32774.080000000002</v>
      </c>
      <c r="O45" s="25">
        <f>B45+N45</f>
        <v>47401.08</v>
      </c>
      <c r="P45" s="7"/>
      <c r="Q45" s="7"/>
      <c r="R45" s="7"/>
      <c r="S45" s="7" t="s">
        <v>58</v>
      </c>
      <c r="T45" s="20">
        <f>SUM(T39:T44)</f>
        <v>853.13800000000003</v>
      </c>
      <c r="U45" s="13">
        <f>SUM(U39:U44)</f>
        <v>1</v>
      </c>
    </row>
    <row r="46" spans="1:48" ht="16" x14ac:dyDescent="0.2">
      <c r="A46" s="6" t="s">
        <v>93</v>
      </c>
      <c r="B46" s="74">
        <f>B45/(B23+B25)</f>
        <v>5.2750399405669939E-2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2" enableFormatConditionsCalculation="0"/>
  <dimension ref="A1:AI58"/>
  <sheetViews>
    <sheetView tabSelected="1" topLeftCell="A17" workbookViewId="0">
      <selection activeCell="O40" sqref="O40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10.1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78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217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217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78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54">
        <v>977651</v>
      </c>
      <c r="C18" s="54">
        <f>211+1195</f>
        <v>1406</v>
      </c>
      <c r="D18" s="8">
        <v>0</v>
      </c>
      <c r="E18" s="8">
        <v>0</v>
      </c>
      <c r="F18" s="54">
        <v>0</v>
      </c>
      <c r="G18" s="54">
        <f>90508/0.9+334626</f>
        <v>435190.44444444444</v>
      </c>
      <c r="H18" s="8">
        <v>0</v>
      </c>
      <c r="I18" s="8"/>
      <c r="J18" s="8"/>
      <c r="K18" s="8"/>
      <c r="L18" s="8"/>
      <c r="M18" s="8"/>
      <c r="N18" s="54">
        <v>185823</v>
      </c>
      <c r="O18" s="54">
        <f>SUM(C18:N18)</f>
        <v>622419.4444444445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2016.5400844444446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f>B18</f>
        <v>977651</v>
      </c>
      <c r="C23" s="54">
        <f>C18</f>
        <v>1406</v>
      </c>
      <c r="D23" s="8">
        <f t="shared" ref="D23:O23" si="0">D18</f>
        <v>0</v>
      </c>
      <c r="E23" s="8">
        <f t="shared" si="0"/>
        <v>0</v>
      </c>
      <c r="F23" s="8">
        <f t="shared" si="0"/>
        <v>0</v>
      </c>
      <c r="G23" s="54">
        <f t="shared" si="0"/>
        <v>435190.44444444444</v>
      </c>
      <c r="H23" s="8">
        <f t="shared" si="0"/>
        <v>0</v>
      </c>
      <c r="I23" s="8"/>
      <c r="J23" s="8"/>
      <c r="K23" s="8"/>
      <c r="L23" s="8"/>
      <c r="M23" s="8"/>
      <c r="N23" s="54">
        <f t="shared" si="0"/>
        <v>185823</v>
      </c>
      <c r="O23" s="54">
        <f t="shared" si="0"/>
        <v>622419.4444444445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882.43164000000002</v>
      </c>
      <c r="U24" s="13">
        <f>N43</f>
        <v>0.43759687536442365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436.16044444444447</v>
      </c>
      <c r="U25" s="14">
        <f>G43</f>
        <v>0.21629148252939703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>
        <f>O32-C32-B32</f>
        <v>34943</v>
      </c>
      <c r="O27" s="9"/>
      <c r="P27" s="3"/>
      <c r="Q27" s="3"/>
      <c r="R27" s="3"/>
      <c r="S27" s="3" t="s">
        <v>31</v>
      </c>
      <c r="T27" s="12">
        <f>F42/1000</f>
        <v>52.045000000000002</v>
      </c>
      <c r="U27" s="13">
        <f>F43</f>
        <v>2.5809058000619094E-2</v>
      </c>
    </row>
    <row r="28" spans="1:21" ht="15.75" x14ac:dyDescent="0.25">
      <c r="A28" s="37" t="s">
        <v>78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13.621</v>
      </c>
      <c r="U28" s="13">
        <f>E43</f>
        <v>6.7546388515022137E-3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2324</v>
      </c>
      <c r="D31" s="8">
        <v>0</v>
      </c>
      <c r="E31" s="8">
        <v>0</v>
      </c>
      <c r="F31" s="8">
        <v>5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1745</v>
      </c>
      <c r="O31" s="8">
        <v>4073</v>
      </c>
      <c r="P31" s="17">
        <f>O31/O$39</f>
        <v>2.1652961453156663E-3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6" x14ac:dyDescent="0.2">
      <c r="A32" s="4" t="s">
        <v>36</v>
      </c>
      <c r="B32" s="62">
        <v>10652</v>
      </c>
      <c r="C32" s="61">
        <v>358</v>
      </c>
      <c r="D32" s="8">
        <v>0</v>
      </c>
      <c r="E32" s="63">
        <v>9795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v>25148</v>
      </c>
      <c r="O32" s="67">
        <f>SUM(B32:N32)</f>
        <v>45953</v>
      </c>
      <c r="P32" s="17">
        <f>O32/O$39</f>
        <v>2.4429622824868848E-2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21" ht="16" x14ac:dyDescent="0.2">
      <c r="A33" s="4" t="s">
        <v>38</v>
      </c>
      <c r="B33" s="62">
        <v>36588</v>
      </c>
      <c r="C33" s="8">
        <v>216</v>
      </c>
      <c r="D33" s="8">
        <v>0</v>
      </c>
      <c r="E33" s="67">
        <v>637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123431</v>
      </c>
      <c r="O33" s="62">
        <f>SUM(B33:N33)</f>
        <v>160872</v>
      </c>
      <c r="P33" s="17">
        <f>O33/O$39</f>
        <v>8.5523084087704856E-2</v>
      </c>
      <c r="Q33" s="18" t="s">
        <v>39</v>
      </c>
      <c r="R33" s="3"/>
      <c r="S33" s="3" t="s">
        <v>35</v>
      </c>
      <c r="T33" s="12">
        <f>C42/1000</f>
        <v>632.28200000000004</v>
      </c>
      <c r="U33" s="14">
        <f>C43</f>
        <v>0.31354794525405788</v>
      </c>
    </row>
    <row r="34" spans="1:21" ht="16" x14ac:dyDescent="0.2">
      <c r="A34" s="4" t="s">
        <v>40</v>
      </c>
      <c r="B34" s="8">
        <v>0</v>
      </c>
      <c r="C34" s="8">
        <v>607237</v>
      </c>
      <c r="D34" s="8">
        <v>0</v>
      </c>
      <c r="E34" s="8">
        <v>0</v>
      </c>
      <c r="F34" s="8">
        <v>52040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31791</v>
      </c>
      <c r="O34" s="8">
        <v>691069</v>
      </c>
      <c r="P34" s="17">
        <f>O34/O$39</f>
        <v>0.36738743968749138</v>
      </c>
      <c r="Q34" s="18" t="s">
        <v>41</v>
      </c>
      <c r="R34" s="3"/>
      <c r="S34" s="3"/>
      <c r="T34" s="12">
        <f>SUM(T24:T33)</f>
        <v>2016.5400844444448</v>
      </c>
      <c r="U34" s="13">
        <f>SUM(U24:U33)</f>
        <v>0.99999999999999978</v>
      </c>
    </row>
    <row r="35" spans="1:21" ht="16" x14ac:dyDescent="0.2">
      <c r="A35" s="4" t="s">
        <v>42</v>
      </c>
      <c r="B35" s="62">
        <v>138451</v>
      </c>
      <c r="C35" s="8">
        <v>20353</v>
      </c>
      <c r="D35" s="8">
        <v>0</v>
      </c>
      <c r="E35" s="67">
        <v>1274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377054</v>
      </c>
      <c r="O35" s="63">
        <f>SUM(B35:N35)</f>
        <v>537132</v>
      </c>
      <c r="P35" s="17">
        <f>O35/O$39</f>
        <v>0.28555115372592549</v>
      </c>
      <c r="Q35" s="18" t="s">
        <v>43</v>
      </c>
      <c r="R35" s="18"/>
    </row>
    <row r="36" spans="1:21" ht="16" x14ac:dyDescent="0.2">
      <c r="A36" s="4" t="s">
        <v>44</v>
      </c>
      <c r="B36" s="62">
        <v>7265</v>
      </c>
      <c r="C36" s="8">
        <v>30</v>
      </c>
      <c r="D36" s="8">
        <v>0</v>
      </c>
      <c r="E36" s="67">
        <v>1136</v>
      </c>
      <c r="F36" s="8">
        <v>0</v>
      </c>
      <c r="G36" s="8">
        <v>970</v>
      </c>
      <c r="H36" s="8">
        <v>0</v>
      </c>
      <c r="I36" s="8"/>
      <c r="J36" s="8"/>
      <c r="K36" s="8"/>
      <c r="L36" s="8"/>
      <c r="M36" s="27"/>
      <c r="N36" s="8">
        <v>13565</v>
      </c>
      <c r="O36" s="63">
        <f>SUM(B36:N36)</f>
        <v>22966</v>
      </c>
      <c r="P36" s="18"/>
      <c r="Q36" s="18"/>
      <c r="R36" s="3"/>
      <c r="S36" s="7"/>
      <c r="T36" s="7"/>
      <c r="U36" s="7"/>
    </row>
    <row r="37" spans="1:21" ht="16" x14ac:dyDescent="0.2">
      <c r="A37" s="4" t="s">
        <v>45</v>
      </c>
      <c r="B37" s="62">
        <v>345560</v>
      </c>
      <c r="C37" s="61">
        <v>358</v>
      </c>
      <c r="D37" s="8">
        <v>0</v>
      </c>
      <c r="E37" s="67">
        <v>779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71903</v>
      </c>
      <c r="O37" s="63">
        <f>SUM(B37:N37)</f>
        <v>418600</v>
      </c>
      <c r="P37" s="18"/>
      <c r="Q37" s="18"/>
      <c r="R37" s="3"/>
      <c r="S37" s="7"/>
      <c r="T37" s="7" t="s">
        <v>27</v>
      </c>
      <c r="U37" s="7" t="s">
        <v>28</v>
      </c>
    </row>
    <row r="38" spans="1:21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371</v>
      </c>
      <c r="O38" s="8">
        <v>371</v>
      </c>
      <c r="P38" s="18">
        <f>SUM(P31:P35)</f>
        <v>0.7650565964713063</v>
      </c>
      <c r="Q38" s="18"/>
      <c r="R38" s="3"/>
      <c r="S38" s="7" t="s">
        <v>47</v>
      </c>
      <c r="T38" s="19">
        <f>O45/1000</f>
        <v>136.11870846820244</v>
      </c>
      <c r="U38" s="7"/>
    </row>
    <row r="39" spans="1:21" ht="16" x14ac:dyDescent="0.2">
      <c r="A39" s="4" t="s">
        <v>16</v>
      </c>
      <c r="B39" s="62">
        <v>538516</v>
      </c>
      <c r="C39" s="8">
        <v>630876</v>
      </c>
      <c r="D39" s="8">
        <v>0</v>
      </c>
      <c r="E39" s="63">
        <f>SUM(E31:E38)</f>
        <v>13621</v>
      </c>
      <c r="F39" s="8">
        <v>52045</v>
      </c>
      <c r="G39" s="8">
        <v>970</v>
      </c>
      <c r="H39" s="8">
        <v>0</v>
      </c>
      <c r="I39" s="8"/>
      <c r="J39" s="8"/>
      <c r="K39" s="8"/>
      <c r="L39" s="8"/>
      <c r="M39" s="27"/>
      <c r="N39" s="61">
        <f>SUM(N31:N38)</f>
        <v>645008</v>
      </c>
      <c r="O39" s="54">
        <f>SUM(O31:O38)</f>
        <v>1881036</v>
      </c>
      <c r="P39" s="3"/>
      <c r="Q39" s="3"/>
      <c r="R39" s="3"/>
      <c r="S39" s="7" t="s">
        <v>48</v>
      </c>
      <c r="T39" s="20">
        <f>O41/1000</f>
        <v>441.93700000000001</v>
      </c>
      <c r="U39" s="13">
        <f>P41</f>
        <v>0.23494340352869375</v>
      </c>
    </row>
    <row r="40" spans="1:21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>
        <f>O39-O40</f>
        <v>1881036</v>
      </c>
      <c r="S40" s="7" t="s">
        <v>49</v>
      </c>
      <c r="T40" s="20">
        <f>O35/1000</f>
        <v>537.13199999999995</v>
      </c>
      <c r="U40" s="14">
        <f>P35</f>
        <v>0.28555115372592549</v>
      </c>
    </row>
    <row r="41" spans="1:21" ht="16" x14ac:dyDescent="0.2">
      <c r="A41" s="21" t="s">
        <v>50</v>
      </c>
      <c r="B41" s="22">
        <f>B38+B37+B36</f>
        <v>352825</v>
      </c>
      <c r="C41" s="22">
        <f t="shared" ref="C41:O41" si="1">C38+C37+C36</f>
        <v>388</v>
      </c>
      <c r="D41" s="22">
        <f t="shared" si="1"/>
        <v>0</v>
      </c>
      <c r="E41" s="22">
        <f t="shared" si="1"/>
        <v>1915</v>
      </c>
      <c r="F41" s="22">
        <f t="shared" si="1"/>
        <v>0</v>
      </c>
      <c r="G41" s="22">
        <f t="shared" si="1"/>
        <v>970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85839</v>
      </c>
      <c r="O41" s="22">
        <f t="shared" si="1"/>
        <v>441937</v>
      </c>
      <c r="P41" s="17">
        <f>O41/O$39</f>
        <v>0.23494340352869375</v>
      </c>
      <c r="Q41" s="17" t="s">
        <v>51</v>
      </c>
      <c r="R41" s="7"/>
      <c r="S41" s="7" t="s">
        <v>52</v>
      </c>
      <c r="T41" s="20">
        <f>O33/1000</f>
        <v>160.87200000000001</v>
      </c>
      <c r="U41" s="13">
        <f>P33</f>
        <v>8.5523084087704856E-2</v>
      </c>
    </row>
    <row r="42" spans="1:21" ht="16" x14ac:dyDescent="0.2">
      <c r="A42" s="23" t="s">
        <v>53</v>
      </c>
      <c r="B42" s="22"/>
      <c r="C42" s="24">
        <f>C39+C23+C10</f>
        <v>632282</v>
      </c>
      <c r="D42" s="24">
        <f t="shared" ref="D42:M42" si="2">D39+D23+D10</f>
        <v>0</v>
      </c>
      <c r="E42" s="24">
        <f t="shared" si="2"/>
        <v>13621</v>
      </c>
      <c r="F42" s="24">
        <f t="shared" si="2"/>
        <v>52045</v>
      </c>
      <c r="G42" s="24">
        <f t="shared" si="2"/>
        <v>436160.44444444444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882431.64</v>
      </c>
      <c r="O42" s="25">
        <f>SUM(C42:N42)</f>
        <v>2016540.0844444446</v>
      </c>
      <c r="P42" s="7"/>
      <c r="Q42" s="7"/>
      <c r="R42" s="7"/>
      <c r="S42" s="7" t="s">
        <v>34</v>
      </c>
      <c r="T42" s="20">
        <f>O31/1000</f>
        <v>4.0730000000000004</v>
      </c>
      <c r="U42" s="13">
        <f>P31</f>
        <v>2.1652961453156663E-3</v>
      </c>
    </row>
    <row r="43" spans="1:21" ht="16" x14ac:dyDescent="0.2">
      <c r="A43" s="23" t="s">
        <v>54</v>
      </c>
      <c r="B43" s="22"/>
      <c r="C43" s="17">
        <f t="shared" ref="C43:N43" si="3">C42/$O42</f>
        <v>0.31354794525405788</v>
      </c>
      <c r="D43" s="17">
        <f t="shared" si="3"/>
        <v>0</v>
      </c>
      <c r="E43" s="17">
        <f t="shared" si="3"/>
        <v>6.7546388515022137E-3</v>
      </c>
      <c r="F43" s="17">
        <f t="shared" si="3"/>
        <v>2.5809058000619094E-2</v>
      </c>
      <c r="G43" s="17">
        <f t="shared" si="3"/>
        <v>0.21629148252939703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0.43759687536442365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45.953000000000003</v>
      </c>
      <c r="U43" s="14">
        <f>P32</f>
        <v>2.4429622824868848E-2</v>
      </c>
    </row>
    <row r="44" spans="1:21" ht="16" x14ac:dyDescent="0.2">
      <c r="A44" s="55" t="s">
        <v>90</v>
      </c>
      <c r="B44" s="94">
        <v>354616.93153179757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691.06899999999996</v>
      </c>
      <c r="U44" s="14">
        <f>P34</f>
        <v>0.36738743968749138</v>
      </c>
    </row>
    <row r="45" spans="1:21" ht="16" x14ac:dyDescent="0.2">
      <c r="A45" s="6" t="s">
        <v>57</v>
      </c>
      <c r="B45" s="6">
        <f>B23-B39-B44</f>
        <v>84518.068468202429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51600.639999999999</v>
      </c>
      <c r="O45" s="25">
        <f>B45+N45</f>
        <v>136118.70846820244</v>
      </c>
      <c r="P45" s="7"/>
      <c r="Q45" s="7"/>
      <c r="R45" s="7"/>
      <c r="S45" s="7" t="s">
        <v>58</v>
      </c>
      <c r="T45" s="20">
        <f>SUM(T39:T44)</f>
        <v>1881.0360000000001</v>
      </c>
      <c r="U45" s="13">
        <f>SUM(U39:U44)</f>
        <v>1</v>
      </c>
    </row>
    <row r="46" spans="1:21" ht="16" x14ac:dyDescent="0.2">
      <c r="A46" s="6" t="s">
        <v>93</v>
      </c>
      <c r="B46" s="74">
        <f>B45/B23</f>
        <v>8.6450142707574007E-2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21" ht="16" x14ac:dyDescent="0.2">
      <c r="A47" s="7"/>
      <c r="B47" s="7"/>
      <c r="C47" s="28"/>
      <c r="D47" s="28"/>
      <c r="E47" s="28"/>
      <c r="F47" s="28"/>
      <c r="G47" s="28"/>
      <c r="H47" s="28"/>
      <c r="I47" s="28"/>
      <c r="J47" s="28"/>
      <c r="K47" s="28"/>
      <c r="L47" s="6"/>
      <c r="M47" s="6"/>
      <c r="N47" s="29"/>
      <c r="O47" s="7"/>
      <c r="P47" s="6"/>
      <c r="Q47" s="13"/>
      <c r="R47" s="7"/>
      <c r="S47" s="7"/>
      <c r="T47" s="6"/>
      <c r="U47" s="30"/>
    </row>
    <row r="48" spans="1:21" ht="16" x14ac:dyDescent="0.2">
      <c r="A48" s="23"/>
      <c r="B48" s="7"/>
      <c r="C48" s="28"/>
      <c r="D48" s="28"/>
      <c r="E48" s="28"/>
      <c r="F48" s="28"/>
      <c r="G48" s="28"/>
      <c r="H48" s="28"/>
      <c r="I48" s="28"/>
      <c r="J48" s="28"/>
      <c r="K48" s="28"/>
      <c r="L48" s="6"/>
      <c r="M48" s="6"/>
      <c r="N48" s="29"/>
      <c r="O48" s="7"/>
      <c r="P48" s="6"/>
      <c r="Q48" s="13"/>
      <c r="R48" s="7"/>
      <c r="S48" s="7"/>
      <c r="T48" s="6"/>
      <c r="U48" s="30"/>
    </row>
    <row r="49" spans="1:21" ht="16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29"/>
      <c r="O49" s="7"/>
      <c r="P49" s="6"/>
      <c r="Q49" s="13"/>
      <c r="R49" s="7"/>
      <c r="S49" s="7"/>
      <c r="T49" s="31"/>
      <c r="U49" s="32"/>
    </row>
    <row r="50" spans="1:2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6"/>
    </row>
    <row r="51" spans="1:21" x14ac:dyDescent="0.2">
      <c r="A51" s="7"/>
      <c r="B51" s="33"/>
      <c r="C51" s="33"/>
      <c r="D51" s="33"/>
      <c r="E51" s="33"/>
      <c r="F51" s="33"/>
      <c r="G51" s="33"/>
      <c r="H51" s="33"/>
      <c r="I51" s="33"/>
      <c r="J51" s="7"/>
      <c r="K51" s="7"/>
      <c r="L51" s="7"/>
      <c r="M51" s="7"/>
      <c r="N51" s="7"/>
      <c r="O51" s="7"/>
      <c r="P51" s="7"/>
      <c r="Q51" s="7"/>
      <c r="R51" s="7"/>
      <c r="S51" s="7"/>
      <c r="T51" s="33"/>
      <c r="U51" s="34"/>
    </row>
    <row r="52" spans="1:21" ht="16" x14ac:dyDescent="0.2">
      <c r="A52" s="7"/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7"/>
      <c r="N52" s="7"/>
      <c r="O52" s="7"/>
      <c r="P52" s="6"/>
      <c r="Q52" s="29"/>
      <c r="R52" s="7"/>
      <c r="S52" s="7"/>
      <c r="T52" s="6"/>
      <c r="U52" s="30"/>
    </row>
    <row r="53" spans="1:21" ht="16" x14ac:dyDescent="0.2">
      <c r="A53" s="7"/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7"/>
      <c r="N53" s="7"/>
      <c r="O53" s="7"/>
      <c r="P53" s="6"/>
      <c r="Q53" s="29"/>
      <c r="R53" s="7"/>
      <c r="S53" s="7"/>
      <c r="T53" s="6"/>
      <c r="U53" s="30"/>
    </row>
    <row r="54" spans="1:21" ht="16" x14ac:dyDescent="0.2">
      <c r="A54" s="7"/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7"/>
      <c r="N54" s="7"/>
      <c r="O54" s="7"/>
      <c r="P54" s="6"/>
      <c r="Q54" s="29"/>
      <c r="R54" s="7"/>
      <c r="S54" s="7"/>
      <c r="T54" s="6"/>
      <c r="U54" s="30"/>
    </row>
    <row r="55" spans="1:21" ht="16" x14ac:dyDescent="0.2">
      <c r="A55" s="7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  <c r="N55" s="7"/>
      <c r="O55" s="7"/>
      <c r="P55" s="6"/>
      <c r="Q55" s="29"/>
      <c r="R55" s="7"/>
      <c r="S55" s="7"/>
      <c r="T55" s="6"/>
      <c r="U55" s="30"/>
    </row>
    <row r="56" spans="1:21" ht="16" x14ac:dyDescent="0.2">
      <c r="A56" s="7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  <c r="N56" s="7"/>
      <c r="O56" s="7"/>
      <c r="P56" s="6"/>
      <c r="Q56" s="29"/>
      <c r="R56" s="7"/>
      <c r="S56" s="7"/>
      <c r="T56" s="6"/>
      <c r="U56" s="30"/>
    </row>
    <row r="57" spans="1:21" ht="16" x14ac:dyDescent="0.2">
      <c r="A57" s="7"/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6"/>
      <c r="Q57" s="29"/>
      <c r="R57" s="7"/>
      <c r="S57" s="7"/>
      <c r="T57" s="6"/>
      <c r="U57" s="30"/>
    </row>
    <row r="58" spans="1:21" ht="16" x14ac:dyDescent="0.2">
      <c r="A58" s="7"/>
      <c r="B58" s="31"/>
      <c r="C58" s="31"/>
      <c r="D58" s="31"/>
      <c r="E58" s="31"/>
      <c r="F58" s="31"/>
      <c r="G58" s="31"/>
      <c r="H58" s="31"/>
      <c r="I58" s="31"/>
      <c r="J58" s="7"/>
      <c r="K58" s="7"/>
      <c r="L58" s="7"/>
      <c r="M58" s="7"/>
      <c r="N58" s="7"/>
      <c r="O58" s="7"/>
      <c r="P58" s="31"/>
      <c r="Q58" s="35"/>
      <c r="R58" s="7"/>
      <c r="S58" s="36"/>
      <c r="T58" s="31"/>
      <c r="U58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3" enableFormatConditionsCalculation="0"/>
  <dimension ref="A1:AV56"/>
  <sheetViews>
    <sheetView topLeftCell="E15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6.5" style="2" customWidth="1"/>
    <col min="13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79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156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53"/>
      <c r="V9" s="8"/>
      <c r="W9" s="8"/>
      <c r="X9" s="8"/>
      <c r="Y9" s="53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156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53"/>
      <c r="V10" s="8"/>
      <c r="W10" s="8"/>
      <c r="X10" s="8"/>
      <c r="Y10" s="53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79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62">
        <v>11508</v>
      </c>
      <c r="C18" s="62">
        <v>5795</v>
      </c>
      <c r="D18" s="8">
        <v>0</v>
      </c>
      <c r="E18" s="8">
        <v>0</v>
      </c>
      <c r="F18" s="8">
        <v>0</v>
      </c>
      <c r="G18" s="62">
        <v>1000</v>
      </c>
      <c r="H18" s="8">
        <v>0</v>
      </c>
      <c r="I18" s="8"/>
      <c r="J18" s="8"/>
      <c r="K18" s="8"/>
      <c r="L18" s="8"/>
      <c r="M18" s="8"/>
      <c r="N18" s="54">
        <v>1100</v>
      </c>
      <c r="O18" s="54">
        <v>7895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53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53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54">
        <v>3626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567.16624000000002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v>15134</v>
      </c>
      <c r="C23" s="62">
        <f>C18</f>
        <v>5795</v>
      </c>
      <c r="D23" s="8">
        <v>0</v>
      </c>
      <c r="E23" s="8">
        <v>0</v>
      </c>
      <c r="F23" s="8">
        <v>0</v>
      </c>
      <c r="G23" s="62">
        <f>G18</f>
        <v>1000</v>
      </c>
      <c r="H23" s="8">
        <v>0</v>
      </c>
      <c r="I23" s="8"/>
      <c r="J23" s="8"/>
      <c r="K23" s="8"/>
      <c r="L23" s="8"/>
      <c r="M23" s="8"/>
      <c r="N23" s="54">
        <f>SUM(N17:N20)</f>
        <v>1100</v>
      </c>
      <c r="O23" s="54">
        <v>7895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384.69223999999997</v>
      </c>
      <c r="U24" s="13">
        <f>N43</f>
        <v>0.67827069537848372</v>
      </c>
    </row>
    <row r="25" spans="1:21" ht="16" x14ac:dyDescent="0.2">
      <c r="A25" s="5" t="s">
        <v>86</v>
      </c>
      <c r="B25" s="64">
        <v>181187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6.694</v>
      </c>
      <c r="U25" s="14">
        <f>G43</f>
        <v>1.1802536060679493E-2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11.282</v>
      </c>
      <c r="U27" s="13">
        <f>F43</f>
        <v>1.989187508762863E-2</v>
      </c>
    </row>
    <row r="28" spans="1:21" ht="16" x14ac:dyDescent="0.2">
      <c r="A28" s="37" t="s">
        <v>79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7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147</v>
      </c>
      <c r="D31" s="8">
        <v>0</v>
      </c>
      <c r="E31" s="8">
        <v>0</v>
      </c>
      <c r="F31" s="8">
        <v>15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459</v>
      </c>
      <c r="O31" s="8">
        <v>621</v>
      </c>
      <c r="P31" s="17">
        <f>O31/O$39</f>
        <v>8.6714040553126663E-4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1455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15778</v>
      </c>
      <c r="O32" s="8">
        <v>17233</v>
      </c>
      <c r="P32" s="17">
        <f>O32/O$39</f>
        <v>2.4063495343833039E-2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61">
        <v>25026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58922</v>
      </c>
      <c r="O33" s="61">
        <f>SUM(B33:N33)</f>
        <v>83948</v>
      </c>
      <c r="P33" s="17">
        <f>O33/O$39</f>
        <v>0.11722174358057773</v>
      </c>
      <c r="Q33" s="18" t="s">
        <v>39</v>
      </c>
      <c r="R33" s="3"/>
      <c r="S33" s="3" t="s">
        <v>35</v>
      </c>
      <c r="T33" s="12">
        <f>C42/1000</f>
        <v>164.49799999999999</v>
      </c>
      <c r="U33" s="14">
        <f>C43</f>
        <v>0.29003489347320816</v>
      </c>
    </row>
    <row r="34" spans="1:48" ht="15.75" x14ac:dyDescent="0.25">
      <c r="A34" s="4" t="s">
        <v>40</v>
      </c>
      <c r="B34" s="8">
        <v>0</v>
      </c>
      <c r="C34" s="8">
        <v>152615</v>
      </c>
      <c r="D34" s="8">
        <v>0</v>
      </c>
      <c r="E34" s="8">
        <v>0</v>
      </c>
      <c r="F34" s="8">
        <v>11267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2005</v>
      </c>
      <c r="O34" s="8">
        <v>165887</v>
      </c>
      <c r="P34" s="17">
        <f>O34/O$39</f>
        <v>0.2316381971857733</v>
      </c>
      <c r="Q34" s="18" t="s">
        <v>41</v>
      </c>
      <c r="R34" s="3"/>
      <c r="S34" s="3"/>
      <c r="T34" s="12">
        <f>SUM(T24:T33)</f>
        <v>567.16624000000002</v>
      </c>
      <c r="U34" s="13">
        <f>SUM(U24:U33)</f>
        <v>1</v>
      </c>
    </row>
    <row r="35" spans="1:48" ht="16" x14ac:dyDescent="0.2">
      <c r="A35" s="4" t="s">
        <v>42</v>
      </c>
      <c r="B35" s="8">
        <v>24484</v>
      </c>
      <c r="C35" s="8">
        <v>2429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95206</v>
      </c>
      <c r="O35" s="8">
        <v>122119</v>
      </c>
      <c r="P35" s="17">
        <f>O35/O$39</f>
        <v>0.17052225311283856</v>
      </c>
      <c r="Q35" s="18" t="s">
        <v>43</v>
      </c>
      <c r="R35" s="18"/>
    </row>
    <row r="36" spans="1:48" ht="16" x14ac:dyDescent="0.2">
      <c r="A36" s="4" t="s">
        <v>44</v>
      </c>
      <c r="B36" s="8">
        <v>13905</v>
      </c>
      <c r="C36" s="8">
        <v>1239</v>
      </c>
      <c r="D36" s="8">
        <v>0</v>
      </c>
      <c r="E36" s="8">
        <v>0</v>
      </c>
      <c r="F36" s="8">
        <v>0</v>
      </c>
      <c r="G36" s="8">
        <v>5694</v>
      </c>
      <c r="H36" s="8">
        <v>0</v>
      </c>
      <c r="I36" s="8"/>
      <c r="J36" s="8"/>
      <c r="K36" s="8"/>
      <c r="L36" s="8"/>
      <c r="M36" s="27"/>
      <c r="N36" s="8">
        <v>143691</v>
      </c>
      <c r="O36" s="8">
        <v>164528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61">
        <v>120421</v>
      </c>
      <c r="C37" s="8">
        <v>2273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34472</v>
      </c>
      <c r="O37" s="61">
        <f>SUM(B37:N37)</f>
        <v>157166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4645</v>
      </c>
      <c r="O38" s="8">
        <v>4645</v>
      </c>
      <c r="P38" s="18">
        <f>SUM(P31:P35)</f>
        <v>0.54431282962855387</v>
      </c>
      <c r="Q38" s="18"/>
      <c r="R38" s="3"/>
      <c r="S38" s="7" t="s">
        <v>47</v>
      </c>
      <c r="T38" s="19">
        <f>O45/1000</f>
        <v>39.444240000000008</v>
      </c>
      <c r="U38" s="7"/>
    </row>
    <row r="39" spans="1:48" ht="16" x14ac:dyDescent="0.2">
      <c r="A39" s="4" t="s">
        <v>16</v>
      </c>
      <c r="B39" s="8">
        <v>185291</v>
      </c>
      <c r="C39" s="8">
        <v>158703</v>
      </c>
      <c r="D39" s="8">
        <v>0</v>
      </c>
      <c r="E39" s="8">
        <v>0</v>
      </c>
      <c r="F39" s="8">
        <v>11282</v>
      </c>
      <c r="G39" s="8">
        <v>5694</v>
      </c>
      <c r="H39" s="8">
        <v>0</v>
      </c>
      <c r="I39" s="8"/>
      <c r="J39" s="8"/>
      <c r="K39" s="8"/>
      <c r="L39" s="8"/>
      <c r="M39" s="27"/>
      <c r="N39" s="8">
        <v>355178</v>
      </c>
      <c r="O39" s="8">
        <v>716147</v>
      </c>
      <c r="P39" s="3"/>
      <c r="Q39" s="3"/>
      <c r="R39" s="3"/>
      <c r="S39" s="7" t="s">
        <v>48</v>
      </c>
      <c r="T39" s="20">
        <f>O41/1000</f>
        <v>326.339</v>
      </c>
      <c r="U39" s="13">
        <f>P41</f>
        <v>0.45568717037144607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122.119</v>
      </c>
      <c r="U40" s="14">
        <f>P35</f>
        <v>0.17052225311283856</v>
      </c>
    </row>
    <row r="41" spans="1:48" ht="16" x14ac:dyDescent="0.2">
      <c r="A41" s="21" t="s">
        <v>50</v>
      </c>
      <c r="B41" s="22">
        <f>B38+B37+B36</f>
        <v>134326</v>
      </c>
      <c r="C41" s="22">
        <f t="shared" ref="C41:O41" si="0">C38+C37+C36</f>
        <v>3512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5694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182808</v>
      </c>
      <c r="O41" s="22">
        <f t="shared" si="0"/>
        <v>326339</v>
      </c>
      <c r="P41" s="17">
        <f>O41/O$39</f>
        <v>0.45568717037144607</v>
      </c>
      <c r="Q41" s="17" t="s">
        <v>51</v>
      </c>
      <c r="R41" s="7"/>
      <c r="S41" s="7" t="s">
        <v>52</v>
      </c>
      <c r="T41" s="20">
        <f>O33/1000</f>
        <v>83.947999999999993</v>
      </c>
      <c r="U41" s="13">
        <f>P33</f>
        <v>0.11722174358057773</v>
      </c>
    </row>
    <row r="42" spans="1:48" ht="16" x14ac:dyDescent="0.2">
      <c r="A42" s="23" t="s">
        <v>53</v>
      </c>
      <c r="B42" s="22"/>
      <c r="C42" s="24">
        <f>C39+C23+C10</f>
        <v>164498</v>
      </c>
      <c r="D42" s="24">
        <f t="shared" ref="D42:M42" si="1">D39+D23+D10</f>
        <v>0</v>
      </c>
      <c r="E42" s="24">
        <f t="shared" si="1"/>
        <v>0</v>
      </c>
      <c r="F42" s="24">
        <f t="shared" si="1"/>
        <v>11282</v>
      </c>
      <c r="G42" s="24">
        <f t="shared" si="1"/>
        <v>6694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384692.24</v>
      </c>
      <c r="O42" s="25">
        <f>SUM(C42:N42)</f>
        <v>567166.24</v>
      </c>
      <c r="P42" s="7"/>
      <c r="Q42" s="7"/>
      <c r="R42" s="7"/>
      <c r="S42" s="7" t="s">
        <v>34</v>
      </c>
      <c r="T42" s="20">
        <f>O31/1000</f>
        <v>0.621</v>
      </c>
      <c r="U42" s="13">
        <f>P31</f>
        <v>8.6714040553126663E-4</v>
      </c>
    </row>
    <row r="43" spans="1:48" ht="16" x14ac:dyDescent="0.2">
      <c r="A43" s="23" t="s">
        <v>54</v>
      </c>
      <c r="B43" s="22"/>
      <c r="C43" s="17">
        <f t="shared" ref="C43:N43" si="2">C42/$O42</f>
        <v>0.29003489347320816</v>
      </c>
      <c r="D43" s="17">
        <f t="shared" si="2"/>
        <v>0</v>
      </c>
      <c r="E43" s="17">
        <f t="shared" si="2"/>
        <v>0</v>
      </c>
      <c r="F43" s="17">
        <f t="shared" si="2"/>
        <v>1.989187508762863E-2</v>
      </c>
      <c r="G43" s="17">
        <f t="shared" si="2"/>
        <v>1.1802536060679493E-2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0.67827069537848372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17.233000000000001</v>
      </c>
      <c r="U43" s="14">
        <f>P32</f>
        <v>2.4063495343833039E-2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165.887</v>
      </c>
      <c r="U44" s="14">
        <f>P34</f>
        <v>0.2316381971857733</v>
      </c>
    </row>
    <row r="45" spans="1:48" ht="16" x14ac:dyDescent="0.2">
      <c r="A45" s="6" t="s">
        <v>57</v>
      </c>
      <c r="B45" s="6">
        <f>B23+B25-B39</f>
        <v>11030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28414.240000000002</v>
      </c>
      <c r="O45" s="25">
        <f>B45+N45</f>
        <v>39444.240000000005</v>
      </c>
      <c r="P45" s="7"/>
      <c r="Q45" s="7"/>
      <c r="R45" s="7"/>
      <c r="S45" s="7" t="s">
        <v>58</v>
      </c>
      <c r="T45" s="20">
        <f>SUM(T39:T44)</f>
        <v>716.14699999999993</v>
      </c>
      <c r="U45" s="13">
        <f>SUM(U39:U44)</f>
        <v>0.99999999999999989</v>
      </c>
    </row>
    <row r="46" spans="1:48" ht="16" x14ac:dyDescent="0.2">
      <c r="A46" s="6" t="s">
        <v>93</v>
      </c>
      <c r="B46" s="74">
        <f>B45/(B25+B23)</f>
        <v>5.6183495397843328E-2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80"/>
      <c r="L52" s="8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ht="16" x14ac:dyDescent="0.2">
      <c r="A53" s="7"/>
      <c r="B53" s="6"/>
      <c r="C53" s="6"/>
      <c r="D53" s="6"/>
      <c r="E53" s="6"/>
      <c r="F53" s="6"/>
      <c r="G53" s="6"/>
      <c r="H53" s="6"/>
      <c r="I53" s="6"/>
      <c r="J53" s="40"/>
      <c r="K53" s="80"/>
      <c r="L53" s="80"/>
      <c r="M53" s="7"/>
      <c r="N53" s="7"/>
      <c r="O53" s="7"/>
      <c r="P53" s="6"/>
      <c r="Q53" s="29"/>
      <c r="R53" s="7"/>
      <c r="S53" s="7"/>
      <c r="T53" s="6"/>
      <c r="U53" s="30"/>
    </row>
    <row r="54" spans="1:48" ht="16" x14ac:dyDescent="0.2">
      <c r="A54" s="7"/>
      <c r="B54" s="31"/>
      <c r="C54" s="31"/>
      <c r="D54" s="31"/>
      <c r="E54" s="31"/>
      <c r="F54" s="31"/>
      <c r="G54" s="31"/>
      <c r="H54" s="31"/>
      <c r="I54" s="31"/>
      <c r="J54" s="40"/>
      <c r="K54" s="80"/>
      <c r="L54" s="80"/>
      <c r="M54" s="7"/>
      <c r="N54" s="7"/>
      <c r="O54" s="7"/>
      <c r="P54" s="31"/>
      <c r="Q54" s="35"/>
      <c r="R54" s="7"/>
      <c r="S54" s="36"/>
      <c r="T54" s="31"/>
      <c r="U54" s="35"/>
    </row>
    <row r="55" spans="1:48" x14ac:dyDescent="0.2">
      <c r="K55" s="80"/>
      <c r="L55" s="80"/>
    </row>
    <row r="56" spans="1:48" x14ac:dyDescent="0.2">
      <c r="K56" s="81"/>
      <c r="L56" s="81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4" enableFormatConditionsCalculation="0"/>
  <dimension ref="A1:AV70"/>
  <sheetViews>
    <sheetView topLeftCell="H19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80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105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63">
        <v>137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63">
        <v>242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80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26255</v>
      </c>
      <c r="C18" s="8">
        <v>1065</v>
      </c>
      <c r="D18" s="8">
        <v>0</v>
      </c>
      <c r="E18" s="8">
        <v>0</v>
      </c>
      <c r="F18" s="8">
        <v>1109</v>
      </c>
      <c r="G18" s="8">
        <v>26179</v>
      </c>
      <c r="H18" s="8">
        <v>0</v>
      </c>
      <c r="I18" s="8"/>
      <c r="J18" s="8"/>
      <c r="K18" s="8"/>
      <c r="L18" s="8"/>
      <c r="M18" s="8"/>
      <c r="N18" s="8"/>
      <c r="O18" s="8">
        <v>28352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186.03355999999999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26255</v>
      </c>
      <c r="C23" s="8">
        <v>1065</v>
      </c>
      <c r="D23" s="8">
        <v>0</v>
      </c>
      <c r="E23" s="8">
        <v>0</v>
      </c>
      <c r="F23" s="8">
        <v>1109</v>
      </c>
      <c r="G23" s="8">
        <v>26179</v>
      </c>
      <c r="H23" s="8">
        <v>0</v>
      </c>
      <c r="I23" s="8"/>
      <c r="J23" s="8"/>
      <c r="K23" s="8"/>
      <c r="L23" s="8"/>
      <c r="M23" s="8"/>
      <c r="N23" s="8">
        <f>SUM(N17:N20)</f>
        <v>0</v>
      </c>
      <c r="O23" s="8">
        <v>28352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105.09156</v>
      </c>
      <c r="U24" s="13">
        <f>N43</f>
        <v>0.5649064609632799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31.927</v>
      </c>
      <c r="U25" s="14">
        <f>G43</f>
        <v>0.17161957229652541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3.55</v>
      </c>
      <c r="U27" s="13">
        <f>F43</f>
        <v>1.908257843369766E-2</v>
      </c>
    </row>
    <row r="28" spans="1:21" ht="15.75" x14ac:dyDescent="0.25">
      <c r="A28" s="37" t="s">
        <v>80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61">
        <v>283</v>
      </c>
      <c r="D31" s="8">
        <v>0</v>
      </c>
      <c r="E31" s="8">
        <v>0</v>
      </c>
      <c r="F31" s="8">
        <v>27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457</v>
      </c>
      <c r="O31" s="61">
        <f>SUM(B31:N31)</f>
        <v>767</v>
      </c>
      <c r="P31" s="17">
        <f>O31/O$39</f>
        <v>4.4339360865744805E-3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54">
        <v>124</v>
      </c>
      <c r="C32" s="61">
        <v>283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991</v>
      </c>
      <c r="O32" s="63">
        <f>SUM(B32:N32)</f>
        <v>1398</v>
      </c>
      <c r="P32" s="17">
        <f>O32/O$39</f>
        <v>8.0816722933912954E-3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54">
        <v>3839</v>
      </c>
      <c r="C33" s="8">
        <v>8950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9233</v>
      </c>
      <c r="O33" s="54">
        <f>SUM(B33:N33)</f>
        <v>22022</v>
      </c>
      <c r="P33" s="17">
        <f>O33/O$39</f>
        <v>0.12730657170605375</v>
      </c>
      <c r="Q33" s="18" t="s">
        <v>39</v>
      </c>
      <c r="R33" s="3"/>
      <c r="S33" s="3" t="s">
        <v>35</v>
      </c>
      <c r="T33" s="12">
        <f>C42/1000</f>
        <v>45.465000000000003</v>
      </c>
      <c r="U33" s="14">
        <f>C43</f>
        <v>0.24439138830649695</v>
      </c>
    </row>
    <row r="34" spans="1:48" ht="15.75" x14ac:dyDescent="0.25">
      <c r="A34" s="4" t="s">
        <v>40</v>
      </c>
      <c r="B34" s="8">
        <v>0</v>
      </c>
      <c r="C34" s="8">
        <v>32845</v>
      </c>
      <c r="D34" s="8">
        <v>0</v>
      </c>
      <c r="E34" s="8">
        <v>0</v>
      </c>
      <c r="F34" s="8">
        <v>2414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7</v>
      </c>
      <c r="O34" s="8">
        <v>35266</v>
      </c>
      <c r="P34" s="17">
        <f>O34/O$39</f>
        <v>0.20386856587892521</v>
      </c>
      <c r="Q34" s="18" t="s">
        <v>41</v>
      </c>
      <c r="R34" s="3"/>
      <c r="S34" s="3"/>
      <c r="T34" s="12">
        <f>SUM(T24:T33)</f>
        <v>186.03356000000002</v>
      </c>
      <c r="U34" s="13">
        <f>SUM(U24:U33)</f>
        <v>1</v>
      </c>
    </row>
    <row r="35" spans="1:48" ht="16" x14ac:dyDescent="0.2">
      <c r="A35" s="4" t="s">
        <v>42</v>
      </c>
      <c r="B35" s="54">
        <v>717</v>
      </c>
      <c r="C35" s="8">
        <v>1811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21549</v>
      </c>
      <c r="O35" s="54">
        <f>SUM(B35:N35)</f>
        <v>24077</v>
      </c>
      <c r="P35" s="17">
        <f>O35/O$39</f>
        <v>0.1391862831244508</v>
      </c>
      <c r="Q35" s="18" t="s">
        <v>43</v>
      </c>
      <c r="R35" s="18"/>
    </row>
    <row r="36" spans="1:48" ht="16" x14ac:dyDescent="0.2">
      <c r="A36" s="4" t="s">
        <v>44</v>
      </c>
      <c r="B36" s="54">
        <v>1374</v>
      </c>
      <c r="C36" s="8">
        <v>208</v>
      </c>
      <c r="D36" s="8">
        <v>0</v>
      </c>
      <c r="E36" s="8">
        <v>0</v>
      </c>
      <c r="F36" s="8">
        <v>0</v>
      </c>
      <c r="G36" s="8">
        <v>5748</v>
      </c>
      <c r="H36" s="8">
        <v>0</v>
      </c>
      <c r="I36" s="8"/>
      <c r="J36" s="8"/>
      <c r="K36" s="8"/>
      <c r="L36" s="8"/>
      <c r="M36" s="27"/>
      <c r="N36" s="8">
        <v>40707</v>
      </c>
      <c r="O36" s="54">
        <f t="shared" ref="O36:O39" si="0">SUM(B36:N36)</f>
        <v>48037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54">
        <v>17034</v>
      </c>
      <c r="C37" s="8">
        <v>20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6217</v>
      </c>
      <c r="O37" s="54">
        <f t="shared" si="0"/>
        <v>23271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18146</v>
      </c>
      <c r="O38" s="8">
        <v>18146</v>
      </c>
      <c r="P38" s="18">
        <f>SUM(P31:P35)</f>
        <v>0.48287702908939556</v>
      </c>
      <c r="Q38" s="18"/>
      <c r="R38" s="3"/>
      <c r="S38" s="7" t="s">
        <v>47</v>
      </c>
      <c r="T38" s="19">
        <f>O45/1000</f>
        <v>10.951560000000001</v>
      </c>
      <c r="U38" s="7"/>
    </row>
    <row r="39" spans="1:48" ht="16" x14ac:dyDescent="0.2">
      <c r="A39" s="4" t="s">
        <v>16</v>
      </c>
      <c r="B39" s="54">
        <f>SUM(B31:B38)</f>
        <v>23088</v>
      </c>
      <c r="C39" s="8">
        <v>44400</v>
      </c>
      <c r="D39" s="8">
        <v>0</v>
      </c>
      <c r="E39" s="8">
        <v>0</v>
      </c>
      <c r="F39" s="8">
        <v>2441</v>
      </c>
      <c r="G39" s="8">
        <v>5748</v>
      </c>
      <c r="H39" s="8">
        <v>0</v>
      </c>
      <c r="I39" s="8"/>
      <c r="J39" s="8"/>
      <c r="K39" s="8"/>
      <c r="L39" s="8"/>
      <c r="M39" s="27"/>
      <c r="N39" s="8">
        <v>97307</v>
      </c>
      <c r="O39" s="54">
        <f t="shared" si="0"/>
        <v>172984</v>
      </c>
      <c r="P39" s="3"/>
      <c r="Q39" s="3"/>
      <c r="R39" s="3"/>
      <c r="S39" s="7" t="s">
        <v>48</v>
      </c>
      <c r="T39" s="20">
        <f>O41/1000</f>
        <v>89.453999999999994</v>
      </c>
      <c r="U39" s="13">
        <f>P41</f>
        <v>0.51712297091060444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24.077000000000002</v>
      </c>
      <c r="U40" s="14">
        <f>P35</f>
        <v>0.1391862831244508</v>
      </c>
    </row>
    <row r="41" spans="1:48" ht="16" x14ac:dyDescent="0.2">
      <c r="A41" s="21" t="s">
        <v>50</v>
      </c>
      <c r="B41" s="22">
        <f>B38+B37+B36</f>
        <v>18408</v>
      </c>
      <c r="C41" s="22">
        <f t="shared" ref="C41:O41" si="1">C38+C37+C36</f>
        <v>228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5748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65070</v>
      </c>
      <c r="O41" s="22">
        <f t="shared" si="1"/>
        <v>89454</v>
      </c>
      <c r="P41" s="17">
        <f>O41/O$39</f>
        <v>0.51712297091060444</v>
      </c>
      <c r="Q41" s="17" t="s">
        <v>51</v>
      </c>
      <c r="R41" s="7"/>
      <c r="S41" s="7" t="s">
        <v>52</v>
      </c>
      <c r="T41" s="20">
        <f>O33/1000</f>
        <v>22.021999999999998</v>
      </c>
      <c r="U41" s="13">
        <f>P33</f>
        <v>0.12730657170605375</v>
      </c>
    </row>
    <row r="42" spans="1:48" ht="16" x14ac:dyDescent="0.2">
      <c r="A42" s="23" t="s">
        <v>53</v>
      </c>
      <c r="B42" s="22"/>
      <c r="C42" s="24">
        <f>C39+C23+C10</f>
        <v>45465</v>
      </c>
      <c r="D42" s="24">
        <f t="shared" ref="D42:M42" si="2">D39+D23+D10</f>
        <v>0</v>
      </c>
      <c r="E42" s="24">
        <f t="shared" si="2"/>
        <v>0</v>
      </c>
      <c r="F42" s="24">
        <f t="shared" si="2"/>
        <v>3550</v>
      </c>
      <c r="G42" s="24">
        <f t="shared" si="2"/>
        <v>31927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105091.56</v>
      </c>
      <c r="O42" s="25">
        <f>SUM(C42:N42)</f>
        <v>186033.56</v>
      </c>
      <c r="P42" s="7"/>
      <c r="Q42" s="7"/>
      <c r="R42" s="7"/>
      <c r="S42" s="7" t="s">
        <v>34</v>
      </c>
      <c r="T42" s="20">
        <f>O31/1000</f>
        <v>0.76700000000000002</v>
      </c>
      <c r="U42" s="13">
        <f>P31</f>
        <v>4.4339360865744805E-3</v>
      </c>
    </row>
    <row r="43" spans="1:48" ht="16" x14ac:dyDescent="0.2">
      <c r="A43" s="23" t="s">
        <v>54</v>
      </c>
      <c r="B43" s="22"/>
      <c r="C43" s="17">
        <f t="shared" ref="C43:N43" si="3">C42/$O42</f>
        <v>0.24439138830649695</v>
      </c>
      <c r="D43" s="17">
        <f t="shared" si="3"/>
        <v>0</v>
      </c>
      <c r="E43" s="17">
        <f t="shared" si="3"/>
        <v>0</v>
      </c>
      <c r="F43" s="17">
        <f t="shared" si="3"/>
        <v>1.908257843369766E-2</v>
      </c>
      <c r="G43" s="17">
        <f t="shared" si="3"/>
        <v>0.17161957229652541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0.5649064609632799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1.3979999999999999</v>
      </c>
      <c r="U43" s="14">
        <f>P32</f>
        <v>8.0816722933912954E-3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35.265999999999998</v>
      </c>
      <c r="U44" s="14">
        <f>P34</f>
        <v>0.20386856587892521</v>
      </c>
    </row>
    <row r="45" spans="1:48" ht="16" x14ac:dyDescent="0.2">
      <c r="A45" s="6" t="s">
        <v>57</v>
      </c>
      <c r="B45" s="6">
        <f>B23+B25-B39</f>
        <v>3167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7784.56</v>
      </c>
      <c r="O45" s="25">
        <f>B45+N45</f>
        <v>10951.560000000001</v>
      </c>
      <c r="P45" s="7"/>
      <c r="Q45" s="7"/>
      <c r="R45" s="7"/>
      <c r="S45" s="7" t="s">
        <v>58</v>
      </c>
      <c r="T45" s="20">
        <f>SUM(T39:T44)</f>
        <v>172.98399999999998</v>
      </c>
      <c r="U45" s="13">
        <f>SUM(U39:U44)</f>
        <v>1</v>
      </c>
    </row>
    <row r="46" spans="1:48" ht="16" x14ac:dyDescent="0.2">
      <c r="A46" s="6" t="s">
        <v>93</v>
      </c>
      <c r="B46" s="74">
        <f>B45/B23</f>
        <v>0.12062464292515711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40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1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1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1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1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1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1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5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5" width="10.1640625" style="2" bestFit="1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81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994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18949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801</v>
      </c>
      <c r="C7" s="8">
        <v>3424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3424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63">
        <v>176933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63">
        <v>197677</v>
      </c>
      <c r="C10" s="8">
        <v>3424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3424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81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54">
        <v>132000</v>
      </c>
      <c r="C17" s="8">
        <v>597</v>
      </c>
      <c r="D17" s="8">
        <v>0</v>
      </c>
      <c r="E17" s="8">
        <v>0</v>
      </c>
      <c r="F17" s="8">
        <v>0</v>
      </c>
      <c r="G17" s="54">
        <v>157526</v>
      </c>
      <c r="H17" s="8">
        <v>0</v>
      </c>
      <c r="I17" s="8"/>
      <c r="J17" s="8"/>
      <c r="K17" s="8"/>
      <c r="L17" s="8"/>
      <c r="M17" s="8"/>
      <c r="N17" s="54">
        <v>2000</v>
      </c>
      <c r="O17" s="54">
        <f>SUM(C17:N17)</f>
        <v>160123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22264</v>
      </c>
      <c r="C18" s="8">
        <v>846</v>
      </c>
      <c r="D18" s="8">
        <v>0</v>
      </c>
      <c r="E18" s="8">
        <v>0</v>
      </c>
      <c r="F18" s="8">
        <v>0</v>
      </c>
      <c r="G18" s="8">
        <v>26452</v>
      </c>
      <c r="H18" s="8">
        <v>0</v>
      </c>
      <c r="I18" s="8"/>
      <c r="J18" s="8"/>
      <c r="K18" s="8"/>
      <c r="L18" s="8"/>
      <c r="M18" s="8"/>
      <c r="N18" s="8"/>
      <c r="O18" s="8">
        <v>27298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13406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3286.49352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f>SUM(B17:B22)</f>
        <v>167670</v>
      </c>
      <c r="C23" s="8">
        <v>1443</v>
      </c>
      <c r="D23" s="8">
        <v>0</v>
      </c>
      <c r="E23" s="8">
        <v>0</v>
      </c>
      <c r="F23" s="8">
        <v>0</v>
      </c>
      <c r="G23" s="54">
        <v>183978</v>
      </c>
      <c r="H23" s="8">
        <v>0</v>
      </c>
      <c r="I23" s="8"/>
      <c r="J23" s="8"/>
      <c r="K23" s="8"/>
      <c r="L23" s="8"/>
      <c r="M23" s="8"/>
      <c r="N23" s="54">
        <f>SUM(N17:N20)</f>
        <v>2000</v>
      </c>
      <c r="O23" s="54">
        <v>187421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2396.0615200000002</v>
      </c>
      <c r="U24" s="13">
        <f>N43</f>
        <v>0.72906321141932451</v>
      </c>
    </row>
    <row r="25" spans="1:21" ht="16" x14ac:dyDescent="0.2">
      <c r="B25" s="60" t="s">
        <v>89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261.75799999999998</v>
      </c>
      <c r="U25" s="14">
        <f>G43</f>
        <v>7.9646589414239896E-2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43.831000000000003</v>
      </c>
      <c r="U27" s="13">
        <f>F43</f>
        <v>1.3336706655061349E-2</v>
      </c>
    </row>
    <row r="28" spans="1:21" ht="16" x14ac:dyDescent="0.2">
      <c r="A28" s="37" t="s">
        <v>81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1.4259999999999999</v>
      </c>
      <c r="U28" s="13">
        <f>E43</f>
        <v>4.3389709771890863E-4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17306</v>
      </c>
      <c r="D31" s="8">
        <v>0</v>
      </c>
      <c r="E31" s="8">
        <v>0</v>
      </c>
      <c r="F31" s="8">
        <v>1676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27950</v>
      </c>
      <c r="O31" s="8">
        <v>46932</v>
      </c>
      <c r="P31" s="17">
        <f>O31/O$39</f>
        <v>1.5208070789531927E-2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3626</v>
      </c>
      <c r="C32" s="8">
        <v>1110</v>
      </c>
      <c r="D32" s="8">
        <v>0</v>
      </c>
      <c r="E32" s="61">
        <v>1426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70">
        <v>1608918</v>
      </c>
      <c r="O32" s="70">
        <f>(SUM(B32:N32))</f>
        <v>1615080</v>
      </c>
      <c r="P32" s="17">
        <f>O32/O$39</f>
        <v>0.52335828370317106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39302</v>
      </c>
      <c r="C33" s="8">
        <v>12117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59651</v>
      </c>
      <c r="O33" s="8">
        <v>111070</v>
      </c>
      <c r="P33" s="17">
        <f>O33/O$39</f>
        <v>3.5991656494360161E-2</v>
      </c>
      <c r="Q33" s="18" t="s">
        <v>39</v>
      </c>
      <c r="R33" s="3"/>
      <c r="S33" s="3" t="s">
        <v>35</v>
      </c>
      <c r="T33" s="12">
        <f>C42/1000</f>
        <v>583.41700000000003</v>
      </c>
      <c r="U33" s="14">
        <f>C43</f>
        <v>0.17751959541365533</v>
      </c>
    </row>
    <row r="34" spans="1:48" ht="15.75" x14ac:dyDescent="0.25">
      <c r="A34" s="4" t="s">
        <v>40</v>
      </c>
      <c r="B34" s="8">
        <v>0</v>
      </c>
      <c r="C34" s="8">
        <v>534883</v>
      </c>
      <c r="D34" s="8">
        <v>0</v>
      </c>
      <c r="E34" s="8">
        <v>0</v>
      </c>
      <c r="F34" s="8">
        <v>42155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1414</v>
      </c>
      <c r="O34" s="8">
        <v>578452</v>
      </c>
      <c r="P34" s="17">
        <f>O34/O$39</f>
        <v>0.18744436555753691</v>
      </c>
      <c r="Q34" s="18" t="s">
        <v>41</v>
      </c>
      <c r="R34" s="3"/>
      <c r="S34" s="3"/>
      <c r="T34" s="12">
        <f>SUM(T24:T33)</f>
        <v>3286.49352</v>
      </c>
      <c r="U34" s="13">
        <f>SUM(U24:U33)</f>
        <v>1</v>
      </c>
    </row>
    <row r="35" spans="1:48" ht="16" x14ac:dyDescent="0.2">
      <c r="A35" s="4" t="s">
        <v>42</v>
      </c>
      <c r="B35" s="8">
        <v>20501</v>
      </c>
      <c r="C35" s="8">
        <v>10718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118126</v>
      </c>
      <c r="O35" s="8">
        <v>149345</v>
      </c>
      <c r="P35" s="17">
        <f>O35/O$39</f>
        <v>4.8394471406772471E-2</v>
      </c>
      <c r="Q35" s="18" t="s">
        <v>43</v>
      </c>
      <c r="R35" s="18"/>
    </row>
    <row r="36" spans="1:48" ht="16" x14ac:dyDescent="0.2">
      <c r="A36" s="4" t="s">
        <v>44</v>
      </c>
      <c r="B36" s="8">
        <v>5572</v>
      </c>
      <c r="C36" s="8">
        <v>2093</v>
      </c>
      <c r="D36" s="8">
        <v>0</v>
      </c>
      <c r="E36" s="8">
        <v>0</v>
      </c>
      <c r="F36" s="8">
        <v>0</v>
      </c>
      <c r="G36" s="8">
        <v>77780</v>
      </c>
      <c r="H36" s="8">
        <v>0</v>
      </c>
      <c r="I36" s="8"/>
      <c r="J36" s="8"/>
      <c r="K36" s="8"/>
      <c r="L36" s="8"/>
      <c r="M36" s="27"/>
      <c r="N36" s="61">
        <v>211949</v>
      </c>
      <c r="O36" s="61">
        <f>(SUM(B36:N36))</f>
        <v>297394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81136</v>
      </c>
      <c r="C37" s="8">
        <v>324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38628</v>
      </c>
      <c r="O37" s="8">
        <v>120088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167632</v>
      </c>
      <c r="O38" s="8">
        <v>167632</v>
      </c>
      <c r="P38" s="18">
        <f>SUM(P31:P35)</f>
        <v>0.81039684795137246</v>
      </c>
      <c r="Q38" s="18"/>
      <c r="R38" s="3"/>
      <c r="S38" s="7" t="s">
        <v>47</v>
      </c>
      <c r="T38" s="19">
        <f>O45/1000</f>
        <v>196.27452</v>
      </c>
      <c r="U38" s="7"/>
    </row>
    <row r="39" spans="1:48" ht="16" x14ac:dyDescent="0.2">
      <c r="A39" s="4" t="s">
        <v>16</v>
      </c>
      <c r="B39" s="8">
        <v>150137</v>
      </c>
      <c r="C39" s="8">
        <v>578550</v>
      </c>
      <c r="D39" s="8">
        <v>0</v>
      </c>
      <c r="E39" s="61">
        <v>1426</v>
      </c>
      <c r="F39" s="8">
        <v>43831</v>
      </c>
      <c r="G39" s="8">
        <v>77780</v>
      </c>
      <c r="H39" s="8">
        <v>0</v>
      </c>
      <c r="I39" s="8"/>
      <c r="J39" s="8"/>
      <c r="K39" s="8"/>
      <c r="L39" s="8"/>
      <c r="M39" s="27"/>
      <c r="N39" s="61">
        <f>O39-SUM(B39:M39)</f>
        <v>2234269</v>
      </c>
      <c r="O39" s="8">
        <v>3085993</v>
      </c>
      <c r="P39" s="3"/>
      <c r="Q39" s="3"/>
      <c r="R39" s="3"/>
      <c r="S39" s="7" t="s">
        <v>48</v>
      </c>
      <c r="T39" s="20">
        <f>O41/1000</f>
        <v>585.11400000000003</v>
      </c>
      <c r="U39" s="13">
        <f>P41</f>
        <v>0.18960315204862746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149.345</v>
      </c>
      <c r="U40" s="14">
        <f>P35</f>
        <v>4.8394471406772471E-2</v>
      </c>
    </row>
    <row r="41" spans="1:48" ht="16" x14ac:dyDescent="0.2">
      <c r="A41" s="21" t="s">
        <v>50</v>
      </c>
      <c r="B41" s="22">
        <f>B38+B37+B36</f>
        <v>86708</v>
      </c>
      <c r="C41" s="22">
        <f t="shared" ref="C41:O41" si="0">C38+C37+C36</f>
        <v>2417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77780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418209</v>
      </c>
      <c r="O41" s="22">
        <f t="shared" si="0"/>
        <v>585114</v>
      </c>
      <c r="P41" s="17">
        <f>O41/O$39</f>
        <v>0.18960315204862746</v>
      </c>
      <c r="Q41" s="17" t="s">
        <v>51</v>
      </c>
      <c r="R41" s="7"/>
      <c r="S41" s="7" t="s">
        <v>52</v>
      </c>
      <c r="T41" s="20">
        <f>O33/1000</f>
        <v>111.07</v>
      </c>
      <c r="U41" s="13">
        <f>P33</f>
        <v>3.5991656494360161E-2</v>
      </c>
    </row>
    <row r="42" spans="1:48" ht="16" x14ac:dyDescent="0.2">
      <c r="A42" s="23" t="s">
        <v>53</v>
      </c>
      <c r="B42" s="22"/>
      <c r="C42" s="24">
        <f>C39+C23+C10</f>
        <v>583417</v>
      </c>
      <c r="D42" s="24">
        <f t="shared" ref="D42:M42" si="1">D39+D23+D10</f>
        <v>0</v>
      </c>
      <c r="E42" s="24">
        <f t="shared" si="1"/>
        <v>1426</v>
      </c>
      <c r="F42" s="24">
        <f t="shared" si="1"/>
        <v>43831</v>
      </c>
      <c r="G42" s="24">
        <f t="shared" si="1"/>
        <v>261758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2396061.52</v>
      </c>
      <c r="O42" s="25">
        <f>SUM(C42:N42)</f>
        <v>3286493.52</v>
      </c>
      <c r="P42" s="7"/>
      <c r="Q42" s="7"/>
      <c r="R42" s="7"/>
      <c r="S42" s="7" t="s">
        <v>34</v>
      </c>
      <c r="T42" s="20">
        <f>O31/1000</f>
        <v>46.932000000000002</v>
      </c>
      <c r="U42" s="13">
        <f>P31</f>
        <v>1.5208070789531927E-2</v>
      </c>
    </row>
    <row r="43" spans="1:48" ht="16" x14ac:dyDescent="0.2">
      <c r="A43" s="23" t="s">
        <v>54</v>
      </c>
      <c r="B43" s="22"/>
      <c r="C43" s="17">
        <f t="shared" ref="C43:N43" si="2">C42/$O42</f>
        <v>0.17751959541365533</v>
      </c>
      <c r="D43" s="17">
        <f t="shared" si="2"/>
        <v>0</v>
      </c>
      <c r="E43" s="17">
        <f t="shared" si="2"/>
        <v>4.3389709771890863E-4</v>
      </c>
      <c r="F43" s="17">
        <f t="shared" si="2"/>
        <v>1.3336706655061349E-2</v>
      </c>
      <c r="G43" s="17">
        <f t="shared" si="2"/>
        <v>7.9646589414239896E-2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0.72906321141932451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1615.08</v>
      </c>
      <c r="U43" s="14">
        <f>P32</f>
        <v>0.52335828370317106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578.452</v>
      </c>
      <c r="U44" s="14">
        <f>P34</f>
        <v>0.18744436555753691</v>
      </c>
    </row>
    <row r="45" spans="1:48" ht="16" x14ac:dyDescent="0.2">
      <c r="A45" s="6" t="s">
        <v>57</v>
      </c>
      <c r="B45" s="6">
        <f>B23-B39</f>
        <v>17533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178741.52</v>
      </c>
      <c r="O45" s="25">
        <f>B45+N45</f>
        <v>196274.52</v>
      </c>
      <c r="P45" s="7"/>
      <c r="Q45" s="7"/>
      <c r="R45" s="7"/>
      <c r="S45" s="7" t="s">
        <v>58</v>
      </c>
      <c r="T45" s="20">
        <f>SUM(T39:T44)</f>
        <v>3085.9930000000004</v>
      </c>
      <c r="U45" s="13">
        <f>SUM(U39:U44)</f>
        <v>1</v>
      </c>
    </row>
    <row r="46" spans="1:48" ht="16" x14ac:dyDescent="0.2">
      <c r="A46" s="6" t="s">
        <v>93</v>
      </c>
      <c r="B46" s="74">
        <f>B45/B23</f>
        <v>0.10456849764418202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0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1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1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1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1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1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1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1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1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6" enableFormatConditionsCalculation="0"/>
  <dimension ref="A1:AV70"/>
  <sheetViews>
    <sheetView topLeftCell="G15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9.5" style="2" customWidth="1"/>
    <col min="16" max="16" width="10.1640625" style="2" customWidth="1"/>
    <col min="17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82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493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54">
        <v>146200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146693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82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54">
        <v>1107100</v>
      </c>
      <c r="C17" s="54">
        <v>6300</v>
      </c>
      <c r="D17" s="8">
        <v>0</v>
      </c>
      <c r="E17" s="8">
        <v>0</v>
      </c>
      <c r="F17" s="8">
        <v>0</v>
      </c>
      <c r="G17" s="54">
        <v>589940</v>
      </c>
      <c r="H17" s="8">
        <v>0</v>
      </c>
      <c r="I17" s="8"/>
      <c r="J17" s="8"/>
      <c r="K17" s="54">
        <v>557800</v>
      </c>
      <c r="L17" s="8"/>
      <c r="M17" s="8"/>
      <c r="N17" s="8"/>
      <c r="O17" s="54">
        <f>SUM(C17:K17)</f>
        <v>1154040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1185</v>
      </c>
      <c r="C18" s="8">
        <v>1532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/>
      <c r="J18" s="8"/>
      <c r="K18" s="8"/>
      <c r="L18" s="8"/>
      <c r="M18" s="8"/>
      <c r="N18" s="8"/>
      <c r="O18" s="8">
        <v>1532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64"/>
      <c r="O20" s="77">
        <f>N20</f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2342.3141600000004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f>SUM(B17:B18)</f>
        <v>1108285</v>
      </c>
      <c r="C23" s="54">
        <f t="shared" ref="C23:O23" si="0">SUM(C17:C18)</f>
        <v>7832</v>
      </c>
      <c r="D23" s="8">
        <f t="shared" si="0"/>
        <v>0</v>
      </c>
      <c r="E23" s="8">
        <f t="shared" si="0"/>
        <v>0</v>
      </c>
      <c r="F23" s="8">
        <f t="shared" si="0"/>
        <v>0</v>
      </c>
      <c r="G23" s="54">
        <f t="shared" si="0"/>
        <v>589940</v>
      </c>
      <c r="H23" s="8">
        <f t="shared" si="0"/>
        <v>0</v>
      </c>
      <c r="I23" s="8"/>
      <c r="J23" s="8"/>
      <c r="K23" s="54">
        <f t="shared" si="0"/>
        <v>557800</v>
      </c>
      <c r="L23" s="8"/>
      <c r="M23" s="8"/>
      <c r="N23" s="8"/>
      <c r="O23" s="54">
        <f t="shared" si="0"/>
        <v>1155572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565.49516000000006</v>
      </c>
      <c r="U24" s="13">
        <f>N43</f>
        <v>0.2414258384537111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604.62800000000004</v>
      </c>
      <c r="U25" s="14">
        <f>G43</f>
        <v>0.25813275192769186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45.143999999999998</v>
      </c>
      <c r="U27" s="13">
        <f>F43</f>
        <v>1.927324727439636E-2</v>
      </c>
    </row>
    <row r="28" spans="1:21" ht="15.75" x14ac:dyDescent="0.25">
      <c r="A28" s="37" t="s">
        <v>82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557.79999999999995</v>
      </c>
      <c r="U30" s="46">
        <f>K43</f>
        <v>0.23814055754160662</v>
      </c>
    </row>
    <row r="31" spans="1:21" ht="15.75" x14ac:dyDescent="0.25">
      <c r="A31" s="4" t="s">
        <v>33</v>
      </c>
      <c r="B31" s="8">
        <v>0</v>
      </c>
      <c r="C31" s="8">
        <v>9919</v>
      </c>
      <c r="D31" s="8">
        <v>0</v>
      </c>
      <c r="E31" s="8">
        <v>0</v>
      </c>
      <c r="F31" s="8">
        <v>972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7433</v>
      </c>
      <c r="O31" s="8">
        <v>18324</v>
      </c>
      <c r="P31" s="17">
        <f>O31/O$39</f>
        <v>1.1615074749382767E-2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61">
        <f>O32-SUM(C32:N32)</f>
        <v>53262</v>
      </c>
      <c r="C32" s="8">
        <v>2457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v>20000</v>
      </c>
      <c r="O32" s="8">
        <v>75719</v>
      </c>
      <c r="P32" s="17">
        <f>O32/O$39</f>
        <v>4.7996171411728537E-2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61">
        <f>B39-SUM(B34:B38,B32)</f>
        <v>24360.839424000005</v>
      </c>
      <c r="C33" s="8">
        <v>1077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35599</v>
      </c>
      <c r="O33" s="61">
        <f>SUM(B33:N33)</f>
        <v>61036.839424000005</v>
      </c>
      <c r="P33" s="17">
        <f>O33/O$39</f>
        <v>3.8689557540702524E-2</v>
      </c>
      <c r="Q33" s="18" t="s">
        <v>39</v>
      </c>
      <c r="R33" s="3"/>
      <c r="S33" s="3" t="s">
        <v>35</v>
      </c>
      <c r="T33" s="12">
        <f>C42/1000</f>
        <v>569.24699999999996</v>
      </c>
      <c r="U33" s="14">
        <f>C43</f>
        <v>0.24302760480259403</v>
      </c>
    </row>
    <row r="34" spans="1:48" ht="15.75" x14ac:dyDescent="0.25">
      <c r="A34" s="4" t="s">
        <v>40</v>
      </c>
      <c r="B34" s="8">
        <v>0</v>
      </c>
      <c r="C34" s="8">
        <v>504483</v>
      </c>
      <c r="D34" s="8">
        <v>0</v>
      </c>
      <c r="E34" s="8">
        <v>0</v>
      </c>
      <c r="F34" s="8">
        <v>44171</v>
      </c>
      <c r="G34" s="8">
        <v>0</v>
      </c>
      <c r="H34" s="8">
        <v>0</v>
      </c>
      <c r="I34" s="8"/>
      <c r="J34" s="8"/>
      <c r="K34" s="8"/>
      <c r="L34" s="8"/>
      <c r="M34" s="27"/>
      <c r="N34" s="61">
        <f>0.003744*(C34+F34)</f>
        <v>2054.1605759999998</v>
      </c>
      <c r="O34" s="61">
        <f>SUM(B34:N34)</f>
        <v>550708.16057599999</v>
      </c>
      <c r="P34" s="17">
        <f>O34/O$39</f>
        <v>0.34907861002976032</v>
      </c>
      <c r="Q34" s="18" t="s">
        <v>41</v>
      </c>
      <c r="R34" s="3"/>
      <c r="S34" s="3"/>
      <c r="T34" s="12">
        <f>SUM(T24:T33)</f>
        <v>2342.3141599999999</v>
      </c>
      <c r="U34" s="13">
        <f>SUM(U24:U33)</f>
        <v>0.99999999999999989</v>
      </c>
    </row>
    <row r="35" spans="1:48" ht="16" x14ac:dyDescent="0.2">
      <c r="A35" s="4" t="s">
        <v>42</v>
      </c>
      <c r="B35" s="61">
        <f>O35-SUM(C35:N35)</f>
        <v>126115.16057599999</v>
      </c>
      <c r="C35" s="8">
        <v>42948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61">
        <f>N39-SUM(N36:N38,N31:N34)</f>
        <v>450907.83942400001</v>
      </c>
      <c r="O35" s="8">
        <v>619971</v>
      </c>
      <c r="P35" s="17">
        <f>O35/O$39</f>
        <v>0.39298240053752365</v>
      </c>
      <c r="Q35" s="18" t="s">
        <v>43</v>
      </c>
      <c r="R35" s="18"/>
    </row>
    <row r="36" spans="1:48" ht="16" x14ac:dyDescent="0.2">
      <c r="A36" s="4" t="s">
        <v>44</v>
      </c>
      <c r="B36" s="8">
        <v>2327</v>
      </c>
      <c r="C36" s="8">
        <v>496</v>
      </c>
      <c r="D36" s="8">
        <v>0</v>
      </c>
      <c r="E36" s="8">
        <v>0</v>
      </c>
      <c r="F36" s="8">
        <v>0</v>
      </c>
      <c r="G36" s="8">
        <v>14688</v>
      </c>
      <c r="H36" s="8">
        <v>0</v>
      </c>
      <c r="I36" s="8"/>
      <c r="J36" s="8"/>
      <c r="K36" s="8"/>
      <c r="L36" s="8"/>
      <c r="M36" s="27"/>
      <c r="N36" s="8">
        <v>105516</v>
      </c>
      <c r="O36" s="8">
        <v>123026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91316</v>
      </c>
      <c r="C37" s="8">
        <v>36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31124</v>
      </c>
      <c r="O37" s="8">
        <v>122476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6343</v>
      </c>
      <c r="O38" s="8">
        <v>6343</v>
      </c>
      <c r="P38" s="18">
        <f>SUM(P31:P35)</f>
        <v>0.84036181426909784</v>
      </c>
      <c r="Q38" s="18"/>
      <c r="R38" s="3"/>
      <c r="S38" s="7" t="s">
        <v>47</v>
      </c>
      <c r="T38" s="19">
        <f>O45/1000</f>
        <v>208.7887073103698</v>
      </c>
      <c r="U38" s="7"/>
    </row>
    <row r="39" spans="1:48" ht="16" x14ac:dyDescent="0.2">
      <c r="A39" s="4" t="s">
        <v>16</v>
      </c>
      <c r="B39" s="8">
        <v>297381</v>
      </c>
      <c r="C39" s="8">
        <v>561415</v>
      </c>
      <c r="D39" s="8">
        <v>0</v>
      </c>
      <c r="E39" s="8">
        <v>0</v>
      </c>
      <c r="F39" s="8">
        <v>45144</v>
      </c>
      <c r="G39" s="8">
        <v>14688</v>
      </c>
      <c r="H39" s="8">
        <v>0</v>
      </c>
      <c r="I39" s="8"/>
      <c r="J39" s="8"/>
      <c r="K39" s="8"/>
      <c r="L39" s="8"/>
      <c r="M39" s="27"/>
      <c r="N39" s="8">
        <v>658977</v>
      </c>
      <c r="O39" s="8">
        <v>1577605</v>
      </c>
      <c r="P39" s="3"/>
      <c r="Q39" s="3"/>
      <c r="R39" s="3"/>
      <c r="S39" s="7" t="s">
        <v>48</v>
      </c>
      <c r="T39" s="20">
        <f>O41/1000</f>
        <v>251.845</v>
      </c>
      <c r="U39" s="13">
        <f>P41</f>
        <v>0.15963755185867184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619.971</v>
      </c>
      <c r="U40" s="14">
        <f>P35</f>
        <v>0.39298240053752365</v>
      </c>
    </row>
    <row r="41" spans="1:48" ht="16" x14ac:dyDescent="0.2">
      <c r="A41" s="21" t="s">
        <v>50</v>
      </c>
      <c r="B41" s="22">
        <f>B38+B37+B36</f>
        <v>93643</v>
      </c>
      <c r="C41" s="22">
        <f t="shared" ref="C41:O41" si="1">C38+C37+C36</f>
        <v>532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14688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142983</v>
      </c>
      <c r="O41" s="22">
        <f t="shared" si="1"/>
        <v>251845</v>
      </c>
      <c r="P41" s="17">
        <f>O41/O$39</f>
        <v>0.15963755185867184</v>
      </c>
      <c r="Q41" s="17" t="s">
        <v>51</v>
      </c>
      <c r="R41" s="7"/>
      <c r="S41" s="7" t="s">
        <v>52</v>
      </c>
      <c r="T41" s="20">
        <f>O33/1000</f>
        <v>61.036839424000007</v>
      </c>
      <c r="U41" s="13">
        <f>P33</f>
        <v>3.8689557540702524E-2</v>
      </c>
    </row>
    <row r="42" spans="1:48" ht="16" x14ac:dyDescent="0.2">
      <c r="A42" s="23" t="s">
        <v>53</v>
      </c>
      <c r="B42" s="22"/>
      <c r="C42" s="24">
        <f>C39+C23+C10</f>
        <v>569247</v>
      </c>
      <c r="D42" s="24">
        <f t="shared" ref="D42:M42" si="2">D39+D23+D10</f>
        <v>0</v>
      </c>
      <c r="E42" s="24">
        <f t="shared" si="2"/>
        <v>0</v>
      </c>
      <c r="F42" s="24">
        <f t="shared" si="2"/>
        <v>45144</v>
      </c>
      <c r="G42" s="24">
        <f t="shared" si="2"/>
        <v>604628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557800</v>
      </c>
      <c r="L42" s="24">
        <f t="shared" si="2"/>
        <v>0</v>
      </c>
      <c r="M42" s="24">
        <f t="shared" si="2"/>
        <v>0</v>
      </c>
      <c r="N42" s="24">
        <f>N39+N23-B6+N45</f>
        <v>565495.16</v>
      </c>
      <c r="O42" s="25">
        <f>SUM(C42:N42)</f>
        <v>2342314.16</v>
      </c>
      <c r="P42" s="7"/>
      <c r="Q42" s="7"/>
      <c r="R42" s="7"/>
      <c r="S42" s="7" t="s">
        <v>34</v>
      </c>
      <c r="T42" s="20">
        <f>O31/1000</f>
        <v>18.324000000000002</v>
      </c>
      <c r="U42" s="13">
        <f>P31</f>
        <v>1.1615074749382767E-2</v>
      </c>
    </row>
    <row r="43" spans="1:48" ht="16" x14ac:dyDescent="0.2">
      <c r="A43" s="23" t="s">
        <v>54</v>
      </c>
      <c r="B43" s="22"/>
      <c r="C43" s="17">
        <f t="shared" ref="C43:N43" si="3">C42/$O42</f>
        <v>0.24302760480259403</v>
      </c>
      <c r="D43" s="17">
        <f t="shared" si="3"/>
        <v>0</v>
      </c>
      <c r="E43" s="17">
        <f t="shared" si="3"/>
        <v>0</v>
      </c>
      <c r="F43" s="17">
        <f t="shared" si="3"/>
        <v>1.927324727439636E-2</v>
      </c>
      <c r="G43" s="17">
        <f t="shared" si="3"/>
        <v>0.25813275192769186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0.23814055754160662</v>
      </c>
      <c r="L43" s="17">
        <f t="shared" si="3"/>
        <v>0</v>
      </c>
      <c r="M43" s="17">
        <f t="shared" si="3"/>
        <v>0</v>
      </c>
      <c r="N43" s="17">
        <f t="shared" si="3"/>
        <v>0.2414258384537111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75.718999999999994</v>
      </c>
      <c r="U43" s="14">
        <f>P32</f>
        <v>4.7996171411728537E-2</v>
      </c>
    </row>
    <row r="44" spans="1:48" x14ac:dyDescent="0.2">
      <c r="A44" s="55" t="s">
        <v>87</v>
      </c>
      <c r="B44" s="93">
        <v>654833.45268963021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550.70816057599995</v>
      </c>
      <c r="U44" s="14">
        <f>P34</f>
        <v>0.34907861002976032</v>
      </c>
    </row>
    <row r="45" spans="1:48" ht="16" x14ac:dyDescent="0.2">
      <c r="A45" s="6" t="s">
        <v>57</v>
      </c>
      <c r="B45" s="6">
        <f>B23+B25-B39-B44</f>
        <v>156070.54731036979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52718.16</v>
      </c>
      <c r="O45" s="25">
        <f>B45+N45</f>
        <v>208788.70731036979</v>
      </c>
      <c r="P45" s="7"/>
      <c r="Q45" s="7"/>
      <c r="R45" s="7"/>
      <c r="S45" s="7" t="s">
        <v>58</v>
      </c>
      <c r="T45" s="20">
        <f>SUM(T39:T44)</f>
        <v>1577.604</v>
      </c>
      <c r="U45" s="13">
        <f>SUM(U39:U44)</f>
        <v>0.99999936612776952</v>
      </c>
    </row>
    <row r="46" spans="1:48" ht="16" x14ac:dyDescent="0.2">
      <c r="A46" s="6" t="s">
        <v>93</v>
      </c>
      <c r="B46" s="74">
        <f>B45/B23</f>
        <v>0.14082167250334507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7" enableFormatConditionsCalculation="0"/>
  <dimension ref="A1:AV58"/>
  <sheetViews>
    <sheetView topLeftCell="A12" workbookViewId="0">
      <selection activeCell="N32" sqref="N32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9.5" style="2" customWidth="1"/>
    <col min="13" max="13" width="5.33203125" style="2" customWidth="1"/>
    <col min="14" max="14" width="8.83203125" style="2"/>
    <col min="15" max="15" width="10.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83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108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54">
        <v>6400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6508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83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54">
        <f>171200+4000+7200</f>
        <v>182400</v>
      </c>
      <c r="C17" s="54">
        <v>7200</v>
      </c>
      <c r="D17" s="8">
        <v>0</v>
      </c>
      <c r="E17" s="8">
        <v>0</v>
      </c>
      <c r="F17" s="8">
        <v>0</v>
      </c>
      <c r="G17" s="54">
        <v>17500</v>
      </c>
      <c r="H17" s="8">
        <v>0</v>
      </c>
      <c r="I17" s="8"/>
      <c r="J17" s="8"/>
      <c r="K17" s="54">
        <v>157100</v>
      </c>
      <c r="L17" s="8"/>
      <c r="M17" s="8"/>
      <c r="N17" s="67">
        <f>7200*1.015</f>
        <v>7307.9999999999991</v>
      </c>
      <c r="O17" s="54">
        <f>SUM(C17:N17)</f>
        <v>189108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54192</v>
      </c>
      <c r="C18" s="8">
        <v>2119</v>
      </c>
      <c r="D18" s="8">
        <v>0</v>
      </c>
      <c r="E18" s="8">
        <v>0</v>
      </c>
      <c r="F18" s="8">
        <v>0</v>
      </c>
      <c r="G18" s="8">
        <v>36255</v>
      </c>
      <c r="H18" s="8">
        <v>0</v>
      </c>
      <c r="I18" s="8"/>
      <c r="J18" s="8"/>
      <c r="K18" s="8"/>
      <c r="L18" s="8"/>
      <c r="M18" s="8"/>
      <c r="N18" s="8"/>
      <c r="O18" s="8">
        <v>38375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54">
        <v>33400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1480.9309422652652</v>
      </c>
      <c r="U21" s="3"/>
    </row>
    <row r="22" spans="1:21" ht="16" x14ac:dyDescent="0.2">
      <c r="A22" s="66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66" t="s">
        <v>16</v>
      </c>
      <c r="B23" s="54">
        <f>SUM(B17:B22)</f>
        <v>269992</v>
      </c>
      <c r="C23" s="54">
        <f>SUM(C17:C22)</f>
        <v>9319</v>
      </c>
      <c r="D23" s="8">
        <v>0</v>
      </c>
      <c r="E23" s="8">
        <v>0</v>
      </c>
      <c r="F23" s="8">
        <v>0</v>
      </c>
      <c r="G23" s="54">
        <f>SUM(G17:G22)</f>
        <v>53755</v>
      </c>
      <c r="H23" s="8">
        <v>0</v>
      </c>
      <c r="I23" s="54"/>
      <c r="J23" s="54"/>
      <c r="K23" s="54">
        <f>SUM(K17:K22)</f>
        <v>157100</v>
      </c>
      <c r="L23" s="54"/>
      <c r="M23" s="54"/>
      <c r="N23" s="67">
        <f>N17</f>
        <v>7307.9999999999991</v>
      </c>
      <c r="O23" s="54">
        <f>SUM(O17:O22)</f>
        <v>227483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369.57872058108183</v>
      </c>
      <c r="U24" s="13">
        <f>N43</f>
        <v>0.24955837577123341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73.616</v>
      </c>
      <c r="U25" s="14">
        <f>G43</f>
        <v>4.9709272660206097E-2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9.8040000000000003</v>
      </c>
      <c r="U27" s="13">
        <f>F43</f>
        <v>6.6201601439994104E-3</v>
      </c>
    </row>
    <row r="28" spans="1:21" ht="16" x14ac:dyDescent="0.2">
      <c r="A28" s="37" t="s">
        <v>83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281.94222168418349</v>
      </c>
      <c r="U28" s="13">
        <f>E43</f>
        <v>0.19038174815425113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92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157.1</v>
      </c>
      <c r="U30" s="46">
        <f>K43</f>
        <v>0.10608192152410316</v>
      </c>
    </row>
    <row r="31" spans="1:21" ht="15.75" x14ac:dyDescent="0.25">
      <c r="A31" s="4" t="s">
        <v>33</v>
      </c>
      <c r="B31" s="8">
        <v>0</v>
      </c>
      <c r="C31" s="8">
        <v>4144</v>
      </c>
      <c r="D31" s="8">
        <v>0</v>
      </c>
      <c r="E31" s="8">
        <v>0</v>
      </c>
      <c r="F31" s="8">
        <v>415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6913</v>
      </c>
      <c r="O31" s="8">
        <v>11472</v>
      </c>
      <c r="P31" s="17">
        <f>O31/O$39</f>
        <v>1.043182214979922E-2</v>
      </c>
      <c r="Q31" s="18" t="s">
        <v>34</v>
      </c>
      <c r="R31" s="3"/>
      <c r="S31" s="3" t="s">
        <v>5</v>
      </c>
      <c r="T31" s="12">
        <f>I42/1000</f>
        <v>204.202</v>
      </c>
      <c r="U31" s="13">
        <f>I43</f>
        <v>0.13788759095521905</v>
      </c>
    </row>
    <row r="32" spans="1:21" ht="16" x14ac:dyDescent="0.2">
      <c r="A32" s="4" t="s">
        <v>36</v>
      </c>
      <c r="B32" s="8">
        <v>0</v>
      </c>
      <c r="C32" s="69">
        <v>193997</v>
      </c>
      <c r="D32" s="8">
        <v>0</v>
      </c>
      <c r="E32" s="70">
        <v>281942.22168418352</v>
      </c>
      <c r="F32" s="8">
        <v>0</v>
      </c>
      <c r="G32" s="8">
        <v>0</v>
      </c>
      <c r="H32" s="8">
        <v>0</v>
      </c>
      <c r="I32" s="72">
        <v>204202</v>
      </c>
      <c r="J32" s="8"/>
      <c r="K32" s="8"/>
      <c r="L32" s="72"/>
      <c r="M32" s="27"/>
      <c r="N32" s="61">
        <f>579949-E32-C32</f>
        <v>104009.77831581648</v>
      </c>
      <c r="O32" s="73">
        <f>I32+579949</f>
        <v>784151</v>
      </c>
      <c r="P32" s="17">
        <f>O32/O$39</f>
        <v>0.71305123523249725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12970</v>
      </c>
      <c r="C33" s="8">
        <v>1456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36911</v>
      </c>
      <c r="O33" s="8">
        <v>51336</v>
      </c>
      <c r="P33" s="17">
        <f>O33/O$39</f>
        <v>4.6681312925565967E-2</v>
      </c>
      <c r="Q33" s="18" t="s">
        <v>39</v>
      </c>
      <c r="R33" s="3"/>
      <c r="S33" s="3" t="s">
        <v>35</v>
      </c>
      <c r="T33" s="12">
        <f>C42/1000</f>
        <v>384.68799999999999</v>
      </c>
      <c r="U33" s="14">
        <f>C43</f>
        <v>0.25976093079098789</v>
      </c>
    </row>
    <row r="34" spans="1:48" ht="15.75" x14ac:dyDescent="0.25">
      <c r="A34" s="4" t="s">
        <v>40</v>
      </c>
      <c r="B34" s="8">
        <v>0</v>
      </c>
      <c r="C34" s="8">
        <v>132507</v>
      </c>
      <c r="D34" s="8">
        <v>0</v>
      </c>
      <c r="E34" s="8">
        <v>0</v>
      </c>
      <c r="F34" s="8">
        <v>9388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29646</v>
      </c>
      <c r="O34" s="8">
        <v>171542</v>
      </c>
      <c r="P34" s="17">
        <f>O34/O$39</f>
        <v>0.15598811325146947</v>
      </c>
      <c r="Q34" s="18" t="s">
        <v>41</v>
      </c>
      <c r="R34" s="3"/>
      <c r="S34" s="3"/>
      <c r="T34" s="12">
        <f>SUM(T24:T33)</f>
        <v>1480.9309422652655</v>
      </c>
      <c r="U34" s="13">
        <f>SUM(U24:U33)</f>
        <v>1.0000000000000002</v>
      </c>
    </row>
    <row r="35" spans="1:48" ht="16" x14ac:dyDescent="0.2">
      <c r="A35" s="4" t="s">
        <v>42</v>
      </c>
      <c r="B35" s="8">
        <v>4782</v>
      </c>
      <c r="C35" s="8">
        <v>42376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47850</v>
      </c>
      <c r="O35" s="8">
        <v>95007</v>
      </c>
      <c r="P35" s="17">
        <f>O35/O$39</f>
        <v>8.6392619158470588E-2</v>
      </c>
      <c r="Q35" s="18" t="s">
        <v>43</v>
      </c>
      <c r="R35" s="18"/>
    </row>
    <row r="36" spans="1:48" ht="16" x14ac:dyDescent="0.2">
      <c r="A36" s="4" t="s">
        <v>44</v>
      </c>
      <c r="B36" s="8">
        <v>188</v>
      </c>
      <c r="C36" s="8">
        <v>782</v>
      </c>
      <c r="D36" s="8">
        <v>0</v>
      </c>
      <c r="E36" s="8">
        <v>0</v>
      </c>
      <c r="F36" s="8">
        <v>0</v>
      </c>
      <c r="G36" s="8">
        <v>19861</v>
      </c>
      <c r="H36" s="8">
        <v>0</v>
      </c>
      <c r="I36" s="8"/>
      <c r="J36" s="8"/>
      <c r="K36" s="8"/>
      <c r="L36" s="8"/>
      <c r="M36" s="27"/>
      <c r="N36" s="8">
        <v>77471</v>
      </c>
      <c r="O36" s="8">
        <v>98301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53436</v>
      </c>
      <c r="C37" s="8">
        <v>107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13745</v>
      </c>
      <c r="O37" s="8">
        <v>67289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24816</v>
      </c>
      <c r="O38" s="8">
        <v>24816</v>
      </c>
      <c r="P38" s="18">
        <f>SUM(P31:P35)</f>
        <v>1.0125451027178025</v>
      </c>
      <c r="Q38" s="18"/>
      <c r="R38" s="3"/>
      <c r="S38" s="7" t="s">
        <v>47</v>
      </c>
      <c r="T38" s="19">
        <f>O45/1000</f>
        <v>65.535548404335287</v>
      </c>
      <c r="U38" s="7"/>
    </row>
    <row r="39" spans="1:48" ht="16" x14ac:dyDescent="0.2">
      <c r="A39" s="4" t="s">
        <v>16</v>
      </c>
      <c r="B39" s="8">
        <v>71376</v>
      </c>
      <c r="C39" s="69">
        <f>SUM(C31:C38)</f>
        <v>375369</v>
      </c>
      <c r="D39" s="8">
        <v>0</v>
      </c>
      <c r="E39" s="70">
        <f>E32</f>
        <v>281942.22168418352</v>
      </c>
      <c r="F39" s="8">
        <v>9804</v>
      </c>
      <c r="G39" s="8">
        <v>19861</v>
      </c>
      <c r="H39" s="8">
        <v>0</v>
      </c>
      <c r="I39" s="72">
        <f>SUM(I31:I38)</f>
        <v>204202</v>
      </c>
      <c r="J39" s="8"/>
      <c r="K39" s="72"/>
      <c r="L39" s="72"/>
      <c r="M39" s="27"/>
      <c r="N39" s="61">
        <f>SUM(N31:N38)</f>
        <v>341361.77831581648</v>
      </c>
      <c r="O39" s="64">
        <f>L32+1099712</f>
        <v>1099712</v>
      </c>
      <c r="P39" s="3"/>
      <c r="Q39" s="3"/>
      <c r="R39" s="3"/>
      <c r="S39" s="7" t="s">
        <v>48</v>
      </c>
      <c r="T39" s="20">
        <f>O41/1000</f>
        <v>190.40600000000001</v>
      </c>
      <c r="U39" s="13">
        <f>P41</f>
        <v>0.17314169528021883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95.007000000000005</v>
      </c>
      <c r="U40" s="14">
        <f>P35</f>
        <v>8.6392619158470588E-2</v>
      </c>
    </row>
    <row r="41" spans="1:48" ht="16" x14ac:dyDescent="0.2">
      <c r="A41" s="21" t="s">
        <v>50</v>
      </c>
      <c r="B41" s="22">
        <f>B38+B37+B36</f>
        <v>53624</v>
      </c>
      <c r="C41" s="22">
        <f t="shared" ref="C41:O41" si="0">C38+C37+C36</f>
        <v>889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19861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116032</v>
      </c>
      <c r="O41" s="22">
        <f t="shared" si="0"/>
        <v>190406</v>
      </c>
      <c r="P41" s="17">
        <f>O41/O$39</f>
        <v>0.17314169528021883</v>
      </c>
      <c r="Q41" s="17" t="s">
        <v>51</v>
      </c>
      <c r="R41" s="7"/>
      <c r="S41" s="7" t="s">
        <v>52</v>
      </c>
      <c r="T41" s="20">
        <f>O33/1000</f>
        <v>51.335999999999999</v>
      </c>
      <c r="U41" s="13">
        <f>P33</f>
        <v>4.6681312925565967E-2</v>
      </c>
    </row>
    <row r="42" spans="1:48" ht="16" x14ac:dyDescent="0.2">
      <c r="A42" s="23" t="s">
        <v>53</v>
      </c>
      <c r="B42" s="22"/>
      <c r="C42" s="24">
        <f t="shared" ref="C42:M42" si="1">C39+C23+C10</f>
        <v>384688</v>
      </c>
      <c r="D42" s="24">
        <f t="shared" si="1"/>
        <v>0</v>
      </c>
      <c r="E42" s="24">
        <f t="shared" si="1"/>
        <v>281942.22168418352</v>
      </c>
      <c r="F42" s="24">
        <f t="shared" si="1"/>
        <v>9804</v>
      </c>
      <c r="G42" s="24">
        <f t="shared" si="1"/>
        <v>73616</v>
      </c>
      <c r="H42" s="24">
        <f t="shared" si="1"/>
        <v>0</v>
      </c>
      <c r="I42" s="24">
        <f t="shared" si="1"/>
        <v>204202</v>
      </c>
      <c r="J42" s="24">
        <f t="shared" si="1"/>
        <v>0</v>
      </c>
      <c r="K42" s="24">
        <f t="shared" si="1"/>
        <v>157100</v>
      </c>
      <c r="L42" s="24">
        <f t="shared" si="1"/>
        <v>0</v>
      </c>
      <c r="M42" s="24">
        <f t="shared" si="1"/>
        <v>0</v>
      </c>
      <c r="N42" s="24">
        <f>N39+N23-B6+N45</f>
        <v>369578.72058108181</v>
      </c>
      <c r="O42" s="25">
        <f>SUM(C42:N42)</f>
        <v>1480930.9422652652</v>
      </c>
      <c r="P42" s="7"/>
      <c r="Q42" s="7"/>
      <c r="R42" s="7"/>
      <c r="S42" s="7" t="s">
        <v>34</v>
      </c>
      <c r="T42" s="20">
        <f>O31/1000</f>
        <v>11.472</v>
      </c>
      <c r="U42" s="13">
        <f>P31</f>
        <v>1.043182214979922E-2</v>
      </c>
    </row>
    <row r="43" spans="1:48" ht="16" x14ac:dyDescent="0.2">
      <c r="A43" s="23" t="s">
        <v>54</v>
      </c>
      <c r="B43" s="22"/>
      <c r="C43" s="17">
        <f t="shared" ref="C43:N43" si="2">C42/$O42</f>
        <v>0.25976093079098789</v>
      </c>
      <c r="D43" s="17">
        <f t="shared" si="2"/>
        <v>0</v>
      </c>
      <c r="E43" s="17">
        <f t="shared" si="2"/>
        <v>0.19038174815425113</v>
      </c>
      <c r="F43" s="17">
        <f t="shared" si="2"/>
        <v>6.6201601439994104E-3</v>
      </c>
      <c r="G43" s="17">
        <f t="shared" si="2"/>
        <v>4.9709272660206097E-2</v>
      </c>
      <c r="H43" s="17">
        <f t="shared" si="2"/>
        <v>0</v>
      </c>
      <c r="I43" s="17">
        <f t="shared" si="2"/>
        <v>0.13788759095521905</v>
      </c>
      <c r="J43" s="17">
        <f t="shared" si="2"/>
        <v>0</v>
      </c>
      <c r="K43" s="17">
        <f t="shared" si="2"/>
        <v>0.10608192152410316</v>
      </c>
      <c r="L43" s="17">
        <f t="shared" si="2"/>
        <v>0</v>
      </c>
      <c r="M43" s="17">
        <f t="shared" si="2"/>
        <v>0</v>
      </c>
      <c r="N43" s="17">
        <f t="shared" si="2"/>
        <v>0.24955837577123341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784.15099999999995</v>
      </c>
      <c r="U43" s="14">
        <f>P32</f>
        <v>0.71305123523249725</v>
      </c>
    </row>
    <row r="44" spans="1:48" x14ac:dyDescent="0.2">
      <c r="A44" s="55" t="s">
        <v>90</v>
      </c>
      <c r="B44" s="93">
        <v>160389.39386093002</v>
      </c>
      <c r="C44" s="93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171.542</v>
      </c>
      <c r="U44" s="14">
        <f>P34</f>
        <v>0.15598811325146947</v>
      </c>
    </row>
    <row r="45" spans="1:48" ht="16" x14ac:dyDescent="0.2">
      <c r="A45" s="6" t="s">
        <v>57</v>
      </c>
      <c r="B45" s="6">
        <f>B23+B25-B39-B44</f>
        <v>38226.606139069976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27308.942265265319</v>
      </c>
      <c r="O45" s="25">
        <f>B45+N45</f>
        <v>65535.548404335292</v>
      </c>
      <c r="P45" s="7"/>
      <c r="Q45" s="7"/>
      <c r="R45" s="7"/>
      <c r="S45" s="7" t="s">
        <v>58</v>
      </c>
      <c r="T45" s="20">
        <f>SUM(T39:T44)</f>
        <v>1303.9139999999998</v>
      </c>
      <c r="U45" s="13">
        <f>SUM(U39:U44)</f>
        <v>1.1856867979980215</v>
      </c>
    </row>
    <row r="46" spans="1:48" ht="16" x14ac:dyDescent="0.2">
      <c r="A46" s="6" t="s">
        <v>93</v>
      </c>
      <c r="B46" s="74">
        <f>B45/B23</f>
        <v>0.14158421782523176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ht="16" x14ac:dyDescent="0.2">
      <c r="A48" s="23"/>
      <c r="B48" s="7"/>
      <c r="C48" s="28"/>
      <c r="D48" s="28"/>
      <c r="E48" s="28"/>
      <c r="F48" s="28"/>
      <c r="G48" s="28"/>
      <c r="H48" s="28"/>
      <c r="I48" s="28"/>
      <c r="J48" s="28"/>
      <c r="K48" s="28"/>
      <c r="L48" s="6"/>
      <c r="M48" s="6"/>
      <c r="N48" s="29"/>
      <c r="O48" s="7"/>
      <c r="P48" s="6"/>
      <c r="Q48" s="13"/>
      <c r="R48" s="7"/>
      <c r="S48" s="7"/>
      <c r="T48" s="6"/>
      <c r="U48" s="30"/>
    </row>
    <row r="49" spans="1:21" ht="16" x14ac:dyDescent="0.2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6"/>
      <c r="M49" s="6"/>
      <c r="N49" s="29"/>
      <c r="O49" s="7"/>
      <c r="P49" s="6"/>
      <c r="Q49" s="13"/>
      <c r="R49" s="7"/>
      <c r="S49" s="7"/>
      <c r="T49" s="31"/>
      <c r="U49" s="32"/>
    </row>
    <row r="50" spans="1:21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6"/>
    </row>
    <row r="51" spans="1:21" x14ac:dyDescent="0.2">
      <c r="A51" s="7"/>
      <c r="B51" s="33"/>
      <c r="C51" s="33"/>
      <c r="D51" s="33"/>
      <c r="E51" s="33"/>
      <c r="F51" s="33"/>
      <c r="G51" s="33"/>
      <c r="H51" s="33"/>
      <c r="I51" s="33"/>
      <c r="J51" s="7"/>
      <c r="K51" s="7"/>
      <c r="L51" s="7"/>
      <c r="M51" s="7"/>
      <c r="N51" s="7"/>
      <c r="O51" s="7"/>
      <c r="P51" s="7"/>
      <c r="Q51" s="7"/>
      <c r="R51" s="7"/>
      <c r="S51" s="7"/>
      <c r="T51" s="33"/>
      <c r="U51" s="34"/>
    </row>
    <row r="52" spans="1:21" ht="16" x14ac:dyDescent="0.2">
      <c r="A52" s="7"/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7"/>
      <c r="N52" s="7"/>
      <c r="O52" s="7"/>
      <c r="P52" s="6"/>
      <c r="Q52" s="29"/>
      <c r="R52" s="7"/>
      <c r="S52" s="7"/>
      <c r="T52" s="6"/>
      <c r="U52" s="30"/>
    </row>
    <row r="53" spans="1:21" ht="16" x14ac:dyDescent="0.2">
      <c r="A53" s="7"/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7"/>
      <c r="N53" s="7"/>
      <c r="O53" s="7"/>
      <c r="P53" s="6"/>
      <c r="Q53" s="29"/>
      <c r="R53" s="7"/>
      <c r="S53" s="7"/>
      <c r="T53" s="6"/>
      <c r="U53" s="30"/>
    </row>
    <row r="54" spans="1:21" ht="16" x14ac:dyDescent="0.2">
      <c r="A54" s="7"/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7"/>
      <c r="N54" s="7"/>
      <c r="O54" s="7"/>
      <c r="P54" s="6"/>
      <c r="Q54" s="29"/>
      <c r="R54" s="7"/>
      <c r="S54" s="7"/>
      <c r="T54" s="6"/>
      <c r="U54" s="30"/>
    </row>
    <row r="55" spans="1:21" ht="16" x14ac:dyDescent="0.2">
      <c r="A55" s="7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  <c r="N55" s="7"/>
      <c r="O55" s="7"/>
      <c r="P55" s="6"/>
      <c r="Q55" s="29"/>
      <c r="R55" s="7"/>
      <c r="S55" s="7"/>
      <c r="T55" s="6"/>
      <c r="U55" s="30"/>
    </row>
    <row r="56" spans="1:21" ht="16" x14ac:dyDescent="0.2">
      <c r="A56" s="7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  <c r="N56" s="7"/>
      <c r="O56" s="7"/>
      <c r="P56" s="6"/>
      <c r="Q56" s="29"/>
      <c r="R56" s="7"/>
      <c r="S56" s="7"/>
      <c r="T56" s="6"/>
      <c r="U56" s="30"/>
    </row>
    <row r="57" spans="1:21" ht="16" x14ac:dyDescent="0.2">
      <c r="A57" s="7"/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6"/>
      <c r="Q57" s="29"/>
      <c r="R57" s="7"/>
      <c r="S57" s="7"/>
      <c r="T57" s="6"/>
      <c r="U57" s="30"/>
    </row>
    <row r="58" spans="1:21" ht="16" x14ac:dyDescent="0.2">
      <c r="A58" s="7"/>
      <c r="B58" s="31"/>
      <c r="C58" s="31"/>
      <c r="D58" s="31"/>
      <c r="E58" s="31"/>
      <c r="F58" s="31"/>
      <c r="G58" s="31"/>
      <c r="H58" s="31"/>
      <c r="I58" s="31"/>
      <c r="J58" s="7"/>
      <c r="K58" s="7"/>
      <c r="L58" s="7"/>
      <c r="M58" s="7"/>
      <c r="N58" s="7"/>
      <c r="O58" s="7"/>
      <c r="P58" s="31"/>
      <c r="Q58" s="35"/>
      <c r="R58" s="7"/>
      <c r="S58" s="36"/>
      <c r="T58" s="31"/>
      <c r="U58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59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396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f>B4</f>
        <v>396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4" t="s">
        <v>59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65098</v>
      </c>
      <c r="C18" s="8">
        <v>0</v>
      </c>
      <c r="D18" s="8">
        <v>0</v>
      </c>
      <c r="E18" s="8">
        <v>0</v>
      </c>
      <c r="F18" s="8">
        <v>3239</v>
      </c>
      <c r="G18" s="8">
        <v>47444</v>
      </c>
      <c r="H18" s="8">
        <v>0</v>
      </c>
      <c r="I18" s="8"/>
      <c r="J18" s="8"/>
      <c r="K18" s="8"/>
      <c r="L18" s="8"/>
      <c r="M18" s="8"/>
      <c r="N18" s="64">
        <v>5364.81</v>
      </c>
      <c r="O18" s="64">
        <v>56048.81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77"/>
      <c r="O20" s="77">
        <f>N20</f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554.42444999999998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65098</v>
      </c>
      <c r="C23" s="8">
        <v>0</v>
      </c>
      <c r="D23" s="8">
        <v>0</v>
      </c>
      <c r="E23" s="8">
        <v>0</v>
      </c>
      <c r="F23" s="8">
        <v>3239</v>
      </c>
      <c r="G23" s="8">
        <v>47444</v>
      </c>
      <c r="H23" s="8">
        <v>0</v>
      </c>
      <c r="I23" s="8"/>
      <c r="J23" s="8"/>
      <c r="K23" s="8"/>
      <c r="L23" s="8"/>
      <c r="M23" s="8"/>
      <c r="N23" s="64">
        <f>SUM(N17:N20)</f>
        <v>5364.81</v>
      </c>
      <c r="O23" s="64">
        <f>O18+O20</f>
        <v>56048.81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266.11245000000002</v>
      </c>
      <c r="U24" s="13">
        <f>N43</f>
        <v>0.47997964375488855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65.543999999999997</v>
      </c>
      <c r="U25" s="14">
        <f>G43</f>
        <v>0.11821989452305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21.986000000000001</v>
      </c>
      <c r="U27" s="13">
        <f>F43</f>
        <v>3.9655538279381439E-2</v>
      </c>
    </row>
    <row r="28" spans="1:21" ht="15.75" x14ac:dyDescent="0.25">
      <c r="A28" s="4" t="s">
        <v>59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1.7000000000000001E-2</v>
      </c>
      <c r="U28" s="13">
        <f>E43</f>
        <v>3.0662428397593216E-5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4668</v>
      </c>
      <c r="D31" s="8">
        <v>0</v>
      </c>
      <c r="E31" s="8">
        <v>0</v>
      </c>
      <c r="F31" s="8">
        <v>419</v>
      </c>
      <c r="G31" s="8">
        <v>0</v>
      </c>
      <c r="H31" s="8">
        <v>0</v>
      </c>
      <c r="I31" s="8"/>
      <c r="J31" s="8"/>
      <c r="K31" s="8"/>
      <c r="L31" s="8"/>
      <c r="M31" s="27"/>
      <c r="N31" s="61">
        <v>7174</v>
      </c>
      <c r="O31" s="61">
        <f>SUM(B31:N31)</f>
        <v>12261</v>
      </c>
      <c r="P31" s="17">
        <f>O31/O$39</f>
        <v>2.2929157300639196E-2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54">
        <v>3945</v>
      </c>
      <c r="C32" s="8">
        <v>1151</v>
      </c>
      <c r="D32" s="8">
        <v>0</v>
      </c>
      <c r="E32" s="61">
        <v>17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61">
        <f>14287-4354</f>
        <v>9933</v>
      </c>
      <c r="O32" s="61">
        <f t="shared" ref="O32:O38" si="0">SUM(B32:N32)</f>
        <v>15046</v>
      </c>
      <c r="P32" s="17">
        <f>O32/O$39</f>
        <v>2.8137354273339642E-2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54">
        <v>12812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61">
        <v>24383</v>
      </c>
      <c r="O33" s="61">
        <f t="shared" si="0"/>
        <v>37195</v>
      </c>
      <c r="P33" s="17">
        <f>O33/O$39</f>
        <v>6.9557948437914921E-2</v>
      </c>
      <c r="Q33" s="18" t="s">
        <v>39</v>
      </c>
      <c r="R33" s="3"/>
      <c r="S33" s="3" t="s">
        <v>35</v>
      </c>
      <c r="T33" s="12">
        <f>C42/1000</f>
        <v>200.76499999999999</v>
      </c>
      <c r="U33" s="14">
        <f>C43</f>
        <v>0.36211426101428251</v>
      </c>
    </row>
    <row r="34" spans="1:48" ht="15.75" x14ac:dyDescent="0.25">
      <c r="A34" s="4" t="s">
        <v>40</v>
      </c>
      <c r="B34" s="8">
        <v>0</v>
      </c>
      <c r="C34" s="61">
        <f>C39-C37-C36-C35-C32-C31</f>
        <v>192388</v>
      </c>
      <c r="D34" s="8">
        <v>0</v>
      </c>
      <c r="E34" s="8">
        <v>0</v>
      </c>
      <c r="F34" s="8">
        <v>18328</v>
      </c>
      <c r="G34" s="8">
        <v>0</v>
      </c>
      <c r="H34" s="8">
        <v>0</v>
      </c>
      <c r="I34" s="8"/>
      <c r="J34" s="8"/>
      <c r="K34" s="8"/>
      <c r="L34" s="8"/>
      <c r="M34" s="27"/>
      <c r="N34" s="61">
        <f>O34-F34-C34</f>
        <v>2745</v>
      </c>
      <c r="O34" s="8">
        <v>213461</v>
      </c>
      <c r="P34" s="17">
        <f>O34/O$39</f>
        <v>0.39919099963720278</v>
      </c>
      <c r="Q34" s="18" t="s">
        <v>41</v>
      </c>
      <c r="R34" s="3"/>
      <c r="S34" s="3"/>
      <c r="T34" s="12">
        <f>SUM(T24:T33)</f>
        <v>554.42444999999998</v>
      </c>
      <c r="U34" s="13">
        <f>SUM(U24:U33)</f>
        <v>1</v>
      </c>
    </row>
    <row r="35" spans="1:48" ht="16" x14ac:dyDescent="0.2">
      <c r="A35" s="4" t="s">
        <v>42</v>
      </c>
      <c r="B35" s="54">
        <v>361</v>
      </c>
      <c r="C35" s="8">
        <v>1682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61">
        <f>57000+2177</f>
        <v>59177</v>
      </c>
      <c r="O35" s="61">
        <f t="shared" si="0"/>
        <v>61220</v>
      </c>
      <c r="P35" s="17">
        <f>O35/O$39</f>
        <v>0.11448682896542954</v>
      </c>
      <c r="Q35" s="18" t="s">
        <v>43</v>
      </c>
      <c r="R35" s="18"/>
    </row>
    <row r="36" spans="1:48" ht="16" x14ac:dyDescent="0.2">
      <c r="A36" s="4" t="s">
        <v>44</v>
      </c>
      <c r="B36" s="54">
        <v>7857</v>
      </c>
      <c r="C36" s="61">
        <v>707</v>
      </c>
      <c r="D36" s="8">
        <v>0</v>
      </c>
      <c r="E36" s="8">
        <v>0</v>
      </c>
      <c r="F36" s="8">
        <v>0</v>
      </c>
      <c r="G36" s="8">
        <v>18100</v>
      </c>
      <c r="H36" s="8">
        <v>0</v>
      </c>
      <c r="I36" s="8"/>
      <c r="J36" s="8"/>
      <c r="K36" s="8"/>
      <c r="L36" s="8"/>
      <c r="M36" s="27"/>
      <c r="N36" s="61">
        <v>121697</v>
      </c>
      <c r="O36" s="61">
        <f t="shared" si="0"/>
        <v>148361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54">
        <v>30697</v>
      </c>
      <c r="C37" s="8">
        <v>169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61">
        <v>8020</v>
      </c>
      <c r="O37" s="61">
        <f t="shared" si="0"/>
        <v>38886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61">
        <v>8304</v>
      </c>
      <c r="O38" s="61">
        <f t="shared" si="0"/>
        <v>8304</v>
      </c>
      <c r="P38" s="18">
        <f>SUM(P31:P35)</f>
        <v>0.63430228861452598</v>
      </c>
      <c r="Q38" s="18"/>
      <c r="R38" s="3"/>
      <c r="S38" s="7" t="s">
        <v>47</v>
      </c>
      <c r="T38" s="19">
        <f>O45/1000</f>
        <v>28.740639999999999</v>
      </c>
      <c r="U38" s="7"/>
    </row>
    <row r="39" spans="1:48" ht="16" x14ac:dyDescent="0.2">
      <c r="A39" s="4" t="s">
        <v>16</v>
      </c>
      <c r="B39" s="54">
        <f>SUM(B32:B38)</f>
        <v>55672</v>
      </c>
      <c r="C39" s="61">
        <v>200765</v>
      </c>
      <c r="D39" s="8">
        <v>0</v>
      </c>
      <c r="E39" s="61">
        <v>17</v>
      </c>
      <c r="F39" s="8">
        <v>18747</v>
      </c>
      <c r="G39" s="8">
        <v>18100</v>
      </c>
      <c r="H39" s="8">
        <v>0</v>
      </c>
      <c r="I39" s="8"/>
      <c r="J39" s="8"/>
      <c r="K39" s="8"/>
      <c r="L39" s="8"/>
      <c r="M39" s="27"/>
      <c r="N39" s="8">
        <v>241433</v>
      </c>
      <c r="O39" s="64">
        <f>SUM(O31:O38)</f>
        <v>534734</v>
      </c>
      <c r="P39" s="3"/>
      <c r="Q39" s="3"/>
      <c r="R39" s="3"/>
      <c r="S39" s="7" t="s">
        <v>48</v>
      </c>
      <c r="T39" s="20">
        <f>O41/1000</f>
        <v>195.55099999999999</v>
      </c>
      <c r="U39" s="13">
        <f>P41</f>
        <v>0.36569771138547391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61.22</v>
      </c>
      <c r="U40" s="14">
        <f>P35</f>
        <v>0.11448682896542954</v>
      </c>
    </row>
    <row r="41" spans="1:48" ht="16" x14ac:dyDescent="0.2">
      <c r="A41" s="21" t="s">
        <v>50</v>
      </c>
      <c r="B41" s="22">
        <f>B38+B37+B36</f>
        <v>38554</v>
      </c>
      <c r="C41" s="22">
        <f t="shared" ref="C41:O41" si="1">C38+C37+C36</f>
        <v>876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18100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138021</v>
      </c>
      <c r="O41" s="22">
        <f t="shared" si="1"/>
        <v>195551</v>
      </c>
      <c r="P41" s="17">
        <f>O41/O$39</f>
        <v>0.36569771138547391</v>
      </c>
      <c r="Q41" s="17" t="s">
        <v>51</v>
      </c>
      <c r="R41" s="7"/>
      <c r="S41" s="7" t="s">
        <v>52</v>
      </c>
      <c r="T41" s="20">
        <f>O33/1000</f>
        <v>37.195</v>
      </c>
      <c r="U41" s="13">
        <f>P33</f>
        <v>6.9557948437914921E-2</v>
      </c>
    </row>
    <row r="42" spans="1:48" ht="16" x14ac:dyDescent="0.2">
      <c r="A42" s="23" t="s">
        <v>53</v>
      </c>
      <c r="B42" s="22"/>
      <c r="C42" s="24">
        <f>C39+C23+C10</f>
        <v>200765</v>
      </c>
      <c r="D42" s="24">
        <f t="shared" ref="D42:M42" si="2">D39+D23+D10</f>
        <v>0</v>
      </c>
      <c r="E42" s="24">
        <f t="shared" si="2"/>
        <v>17</v>
      </c>
      <c r="F42" s="24">
        <f t="shared" si="2"/>
        <v>21986</v>
      </c>
      <c r="G42" s="24">
        <f t="shared" si="2"/>
        <v>65544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266112.45</v>
      </c>
      <c r="O42" s="25">
        <f>SUM(C42:N42)</f>
        <v>554424.44999999995</v>
      </c>
      <c r="P42" s="7"/>
      <c r="Q42" s="7"/>
      <c r="R42" s="7"/>
      <c r="S42" s="7" t="s">
        <v>34</v>
      </c>
      <c r="T42" s="20">
        <f>O31/1000</f>
        <v>12.260999999999999</v>
      </c>
      <c r="U42" s="13">
        <f>P31</f>
        <v>2.2929157300639196E-2</v>
      </c>
    </row>
    <row r="43" spans="1:48" ht="16" x14ac:dyDescent="0.2">
      <c r="A43" s="23" t="s">
        <v>54</v>
      </c>
      <c r="B43" s="22"/>
      <c r="C43" s="17">
        <f t="shared" ref="C43:N43" si="3">C42/$O42</f>
        <v>0.36211426101428251</v>
      </c>
      <c r="D43" s="17">
        <f t="shared" si="3"/>
        <v>0</v>
      </c>
      <c r="E43" s="17">
        <f t="shared" si="3"/>
        <v>3.0662428397593216E-5</v>
      </c>
      <c r="F43" s="17">
        <f t="shared" si="3"/>
        <v>3.9655538279381439E-2</v>
      </c>
      <c r="G43" s="17">
        <f t="shared" si="3"/>
        <v>0.11821989452305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0.47997964375488855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15.045999999999999</v>
      </c>
      <c r="U43" s="14">
        <f>P32</f>
        <v>2.8137354273339642E-2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213.46100000000001</v>
      </c>
      <c r="U44" s="14">
        <f>P34</f>
        <v>0.39919099963720278</v>
      </c>
    </row>
    <row r="45" spans="1:48" ht="16" x14ac:dyDescent="0.2">
      <c r="A45" s="6" t="s">
        <v>57</v>
      </c>
      <c r="B45" s="6">
        <f>B23+B25-B39</f>
        <v>9426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19314.64</v>
      </c>
      <c r="O45" s="25">
        <f>B45+N45</f>
        <v>28740.639999999999</v>
      </c>
      <c r="P45" s="7"/>
      <c r="Q45" s="7"/>
      <c r="R45" s="7"/>
      <c r="S45" s="7" t="s">
        <v>58</v>
      </c>
      <c r="T45" s="20">
        <f>SUM(T39:T44)</f>
        <v>534.73399999999992</v>
      </c>
      <c r="U45" s="13">
        <f>SUM(U39:U44)</f>
        <v>1</v>
      </c>
    </row>
    <row r="46" spans="1:48" ht="16" x14ac:dyDescent="0.2">
      <c r="A46" s="6" t="s">
        <v>93</v>
      </c>
      <c r="B46" s="74">
        <f>B45/B23</f>
        <v>0.14479707517896095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"/>
      <c r="B47" s="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27"/>
      <c r="O47" s="15"/>
      <c r="P47" s="15"/>
      <c r="Q47" s="27"/>
      <c r="R47" s="4"/>
      <c r="S47" s="4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27"/>
      <c r="AH47" s="4"/>
      <c r="AI47" s="4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48" ht="16" x14ac:dyDescent="0.2">
      <c r="A48" s="27"/>
      <c r="B48" s="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7"/>
      <c r="O48" s="15"/>
      <c r="P48" s="15"/>
      <c r="Q48" s="27"/>
      <c r="R48" s="27"/>
      <c r="S48" s="4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27"/>
      <c r="AH48" s="27"/>
      <c r="AI48" s="4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</row>
    <row r="49" spans="1:48" ht="16" x14ac:dyDescent="0.2">
      <c r="A49" s="27"/>
      <c r="B49" s="4"/>
      <c r="C49" s="15"/>
      <c r="D49" s="15"/>
      <c r="E49" s="15"/>
      <c r="F49" s="15"/>
      <c r="G49" s="65"/>
      <c r="H49" s="15"/>
      <c r="I49" s="15"/>
      <c r="J49" s="15"/>
      <c r="K49" s="15"/>
      <c r="L49" s="15"/>
      <c r="M49" s="15"/>
      <c r="N49" s="27"/>
      <c r="O49" s="15"/>
      <c r="P49" s="15"/>
      <c r="Q49" s="27"/>
      <c r="R49" s="27"/>
      <c r="S49" s="4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27"/>
      <c r="AH49" s="27"/>
      <c r="AI49" s="4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</row>
    <row r="50" spans="1:48" ht="16" x14ac:dyDescent="0.2">
      <c r="A50" s="27"/>
      <c r="B50" s="4"/>
      <c r="C50" s="15"/>
      <c r="D50" s="15"/>
      <c r="E50" s="15"/>
      <c r="F50" s="15"/>
      <c r="G50" s="65"/>
      <c r="H50" s="15"/>
      <c r="I50" s="15"/>
      <c r="J50" s="15"/>
      <c r="K50" s="15"/>
      <c r="L50" s="15"/>
      <c r="M50" s="15"/>
      <c r="N50" s="27"/>
      <c r="O50" s="15"/>
      <c r="P50" s="15"/>
      <c r="Q50" s="27"/>
      <c r="R50" s="27"/>
      <c r="S50" s="4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27"/>
      <c r="AH50" s="27"/>
      <c r="AI50" s="4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1:48" ht="16" x14ac:dyDescent="0.2">
      <c r="A51" s="27"/>
      <c r="B51" s="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7"/>
      <c r="O51" s="15"/>
      <c r="P51" s="15"/>
      <c r="Q51" s="27"/>
      <c r="R51" s="27"/>
      <c r="S51" s="4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27"/>
      <c r="AH51" s="27"/>
      <c r="AI51" s="4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1:48" ht="16" x14ac:dyDescent="0.2">
      <c r="A52" s="27"/>
      <c r="B52" s="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7"/>
      <c r="O52" s="15"/>
      <c r="P52" s="15"/>
      <c r="Q52" s="27"/>
      <c r="R52" s="27"/>
      <c r="S52" s="4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27"/>
      <c r="AH52" s="27"/>
      <c r="AI52" s="4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1:48" ht="16" x14ac:dyDescent="0.2">
      <c r="A53" s="27"/>
      <c r="B53" s="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7"/>
      <c r="O53" s="15"/>
      <c r="P53" s="15"/>
      <c r="Q53" s="27"/>
      <c r="R53" s="27"/>
      <c r="S53" s="4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27"/>
      <c r="AH53" s="27"/>
      <c r="AI53" s="4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1:48" ht="16" x14ac:dyDescent="0.2">
      <c r="A54" s="27"/>
      <c r="B54" s="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7"/>
      <c r="O54" s="15"/>
      <c r="P54" s="15"/>
      <c r="Q54" s="27"/>
      <c r="R54" s="27"/>
      <c r="S54" s="4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27"/>
      <c r="AH54" s="27"/>
      <c r="AI54" s="4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48" ht="16" x14ac:dyDescent="0.2">
      <c r="A55" s="27"/>
      <c r="B55" s="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7"/>
      <c r="O55" s="15"/>
      <c r="P55" s="15"/>
      <c r="Q55" s="27"/>
      <c r="R55" s="27"/>
      <c r="S55" s="4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27"/>
      <c r="AH55" s="27"/>
      <c r="AI55" s="4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48" ht="16" x14ac:dyDescent="0.2">
      <c r="A56" s="27"/>
      <c r="B56" s="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27"/>
      <c r="O56" s="15"/>
      <c r="P56" s="15"/>
      <c r="Q56" s="27"/>
      <c r="R56" s="27"/>
      <c r="S56" s="4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27"/>
      <c r="AH56" s="27"/>
      <c r="AI56" s="4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 enableFormatConditionsCalculation="0"/>
  <dimension ref="A1:AV70"/>
  <sheetViews>
    <sheetView topLeftCell="A2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60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524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63">
        <v>2867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63">
        <v>3391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60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76128</v>
      </c>
      <c r="C18" s="8">
        <v>995</v>
      </c>
      <c r="D18" s="8">
        <v>0</v>
      </c>
      <c r="E18" s="8">
        <v>0</v>
      </c>
      <c r="F18" s="8">
        <v>8413</v>
      </c>
      <c r="G18" s="8">
        <v>53882</v>
      </c>
      <c r="H18" s="8">
        <v>0</v>
      </c>
      <c r="I18" s="8"/>
      <c r="J18" s="8"/>
      <c r="K18" s="8"/>
      <c r="L18" s="8"/>
      <c r="M18" s="8"/>
      <c r="N18" s="64">
        <v>3078.2400000000002</v>
      </c>
      <c r="O18" s="64">
        <v>66368.240000000005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77"/>
      <c r="O20" s="77">
        <f>N20</f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767.18308000000002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76128</v>
      </c>
      <c r="C23" s="8">
        <v>995</v>
      </c>
      <c r="D23" s="8">
        <v>0</v>
      </c>
      <c r="E23" s="8">
        <v>0</v>
      </c>
      <c r="F23" s="8">
        <v>8413</v>
      </c>
      <c r="G23" s="8">
        <v>53882</v>
      </c>
      <c r="H23" s="8">
        <v>0</v>
      </c>
      <c r="I23" s="8"/>
      <c r="J23" s="8"/>
      <c r="K23" s="8"/>
      <c r="L23" s="8"/>
      <c r="M23" s="8"/>
      <c r="N23" s="64">
        <f>SUM(N17:N20)</f>
        <v>3078.2400000000002</v>
      </c>
      <c r="O23" s="8">
        <v>66368.240000000005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380.96808000000004</v>
      </c>
      <c r="U24" s="13">
        <f>N43</f>
        <v>0.496580399035912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80.341999999999999</v>
      </c>
      <c r="U25" s="14">
        <f>G43</f>
        <v>0.10472337320056641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28.9</v>
      </c>
      <c r="U27" s="13">
        <f>F43</f>
        <v>3.7670278129700148E-2</v>
      </c>
    </row>
    <row r="28" spans="1:21" ht="16" x14ac:dyDescent="0.2">
      <c r="A28" s="37" t="s">
        <v>60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1.4E-2</v>
      </c>
      <c r="U28" s="13">
        <f>E43</f>
        <v>1.8248577640685191E-5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2808</v>
      </c>
      <c r="D31" s="8">
        <v>0</v>
      </c>
      <c r="E31" s="8">
        <v>0</v>
      </c>
      <c r="F31" s="8">
        <v>261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3523</v>
      </c>
      <c r="O31" s="8">
        <v>6592</v>
      </c>
      <c r="P31" s="17">
        <f>O31/O$39</f>
        <v>8.9769638470212059E-3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54">
        <v>5322</v>
      </c>
      <c r="C32" s="8">
        <v>483</v>
      </c>
      <c r="D32" s="8">
        <v>0</v>
      </c>
      <c r="E32" s="8">
        <v>14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7748</v>
      </c>
      <c r="O32" s="54">
        <f>SUM(B32:N32)</f>
        <v>13567</v>
      </c>
      <c r="P32" s="17">
        <f>O32/O$39</f>
        <v>1.8475495830178504E-2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54">
        <v>19555</v>
      </c>
      <c r="C33" s="8">
        <v>468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15632</v>
      </c>
      <c r="O33" s="54">
        <f>SUM(B33:N33)</f>
        <v>35655</v>
      </c>
      <c r="P33" s="17">
        <f>O33/O$39</f>
        <v>4.8554861341859996E-2</v>
      </c>
      <c r="Q33" s="18" t="s">
        <v>39</v>
      </c>
      <c r="R33" s="3"/>
      <c r="S33" s="3" t="s">
        <v>35</v>
      </c>
      <c r="T33" s="12">
        <f>C42/1000</f>
        <v>276.959</v>
      </c>
      <c r="U33" s="14">
        <f>C43</f>
        <v>0.36100770105618074</v>
      </c>
    </row>
    <row r="34" spans="1:48" ht="15.75" x14ac:dyDescent="0.25">
      <c r="A34" s="4" t="s">
        <v>40</v>
      </c>
      <c r="B34" s="8">
        <v>0</v>
      </c>
      <c r="C34" s="8">
        <v>268415</v>
      </c>
      <c r="D34" s="8">
        <v>0</v>
      </c>
      <c r="E34" s="8">
        <v>0</v>
      </c>
      <c r="F34" s="8">
        <v>20226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5187</v>
      </c>
      <c r="O34" s="8">
        <v>293828</v>
      </c>
      <c r="P34" s="17">
        <f>O34/O$39</f>
        <v>0.40013400079528927</v>
      </c>
      <c r="Q34" s="18" t="s">
        <v>41</v>
      </c>
      <c r="R34" s="3"/>
      <c r="S34" s="3"/>
      <c r="T34" s="12">
        <f>SUM(T24:T33)</f>
        <v>767.18308000000002</v>
      </c>
      <c r="U34" s="13">
        <f>SUM(U24:U33)</f>
        <v>1</v>
      </c>
    </row>
    <row r="35" spans="1:48" ht="16" x14ac:dyDescent="0.2">
      <c r="A35" s="4" t="s">
        <v>42</v>
      </c>
      <c r="B35" s="54">
        <v>3242</v>
      </c>
      <c r="C35" s="8">
        <v>2816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77474</v>
      </c>
      <c r="O35" s="54">
        <f>SUM(B35:N35)</f>
        <v>83532</v>
      </c>
      <c r="P35" s="17">
        <f>O35/O$39</f>
        <v>0.11375360195227174</v>
      </c>
      <c r="Q35" s="18" t="s">
        <v>43</v>
      </c>
      <c r="R35" s="18"/>
    </row>
    <row r="36" spans="1:48" ht="16" x14ac:dyDescent="0.2">
      <c r="A36" s="4" t="s">
        <v>44</v>
      </c>
      <c r="B36" s="54">
        <v>3597</v>
      </c>
      <c r="C36" s="8">
        <v>975</v>
      </c>
      <c r="D36" s="8">
        <v>0</v>
      </c>
      <c r="E36" s="8">
        <v>0</v>
      </c>
      <c r="F36" s="8">
        <v>0</v>
      </c>
      <c r="G36" s="8">
        <v>26460</v>
      </c>
      <c r="H36" s="8">
        <v>0</v>
      </c>
      <c r="I36" s="8"/>
      <c r="J36" s="8"/>
      <c r="K36" s="8"/>
      <c r="L36" s="8"/>
      <c r="M36" s="27"/>
      <c r="N36" s="8">
        <v>178466</v>
      </c>
      <c r="O36" s="54">
        <f t="shared" ref="O36:O37" si="0">SUM(B36:N36)</f>
        <v>209498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54">
        <v>29784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11401</v>
      </c>
      <c r="O37" s="54">
        <f t="shared" si="0"/>
        <v>41185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50467</v>
      </c>
      <c r="O38" s="8">
        <v>50467</v>
      </c>
      <c r="P38" s="18">
        <f>SUM(P31:P35)</f>
        <v>0.58989492376662067</v>
      </c>
      <c r="Q38" s="18"/>
      <c r="R38" s="3"/>
      <c r="S38" s="7" t="s">
        <v>47</v>
      </c>
      <c r="T38" s="19">
        <f>O45/1000</f>
        <v>42.619839999999996</v>
      </c>
      <c r="U38" s="7"/>
    </row>
    <row r="39" spans="1:48" ht="16" x14ac:dyDescent="0.2">
      <c r="A39" s="4" t="s">
        <v>16</v>
      </c>
      <c r="B39" s="54">
        <f>SUM(B32:B37)</f>
        <v>61500</v>
      </c>
      <c r="C39" s="8">
        <v>275964</v>
      </c>
      <c r="D39" s="8">
        <v>0</v>
      </c>
      <c r="E39" s="8">
        <v>14</v>
      </c>
      <c r="F39" s="8">
        <v>20487</v>
      </c>
      <c r="G39" s="8">
        <v>26460</v>
      </c>
      <c r="H39" s="8">
        <v>0</v>
      </c>
      <c r="I39" s="8"/>
      <c r="J39" s="8"/>
      <c r="K39" s="8"/>
      <c r="L39" s="8"/>
      <c r="M39" s="27"/>
      <c r="N39" s="8">
        <v>349898</v>
      </c>
      <c r="O39" s="54">
        <f>SUM(O31:O38)</f>
        <v>734324</v>
      </c>
      <c r="P39" s="3"/>
      <c r="Q39" s="3"/>
      <c r="R39" s="3"/>
      <c r="S39" s="7" t="s">
        <v>48</v>
      </c>
      <c r="T39" s="20">
        <f>O41/1000</f>
        <v>602.29999999999995</v>
      </c>
      <c r="U39" s="13">
        <f>P41</f>
        <v>0.82021015246675855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83.531999999999996</v>
      </c>
      <c r="U40" s="14">
        <f>P35</f>
        <v>0.11375360195227174</v>
      </c>
    </row>
    <row r="41" spans="1:48" ht="16" x14ac:dyDescent="0.2">
      <c r="A41" s="21" t="s">
        <v>50</v>
      </c>
      <c r="B41" s="22">
        <f>B38+B37+B36</f>
        <v>33381</v>
      </c>
      <c r="C41" s="22">
        <f t="shared" ref="C41:N41" si="1">C38+C37+C36</f>
        <v>975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26460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240334</v>
      </c>
      <c r="O41" s="22">
        <f>(O38+O37+O36)+(O38+O37+O36)</f>
        <v>602300</v>
      </c>
      <c r="P41" s="17">
        <f>O41/O$39</f>
        <v>0.82021015246675855</v>
      </c>
      <c r="Q41" s="17" t="s">
        <v>51</v>
      </c>
      <c r="R41" s="7"/>
      <c r="S41" s="7" t="s">
        <v>52</v>
      </c>
      <c r="T41" s="20">
        <f>O33/1000</f>
        <v>35.655000000000001</v>
      </c>
      <c r="U41" s="13">
        <f>P33</f>
        <v>4.8554861341859996E-2</v>
      </c>
    </row>
    <row r="42" spans="1:48" ht="16" x14ac:dyDescent="0.2">
      <c r="A42" s="23" t="s">
        <v>53</v>
      </c>
      <c r="B42" s="22"/>
      <c r="C42" s="24">
        <f>C39+C23+C10</f>
        <v>276959</v>
      </c>
      <c r="D42" s="24">
        <f t="shared" ref="D42:M42" si="2">D39+D23+D10</f>
        <v>0</v>
      </c>
      <c r="E42" s="24">
        <f t="shared" si="2"/>
        <v>14</v>
      </c>
      <c r="F42" s="24">
        <f t="shared" si="2"/>
        <v>28900</v>
      </c>
      <c r="G42" s="24">
        <f t="shared" si="2"/>
        <v>80342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380968.08</v>
      </c>
      <c r="O42" s="25">
        <f>SUM(C42:N42)</f>
        <v>767183.08000000007</v>
      </c>
      <c r="P42" s="7"/>
      <c r="Q42" s="7"/>
      <c r="R42" s="7"/>
      <c r="S42" s="7" t="s">
        <v>34</v>
      </c>
      <c r="T42" s="20">
        <f>O31/1000</f>
        <v>6.5919999999999996</v>
      </c>
      <c r="U42" s="13">
        <f>P31</f>
        <v>8.9769638470212059E-3</v>
      </c>
    </row>
    <row r="43" spans="1:48" ht="16" x14ac:dyDescent="0.2">
      <c r="A43" s="23" t="s">
        <v>54</v>
      </c>
      <c r="B43" s="22"/>
      <c r="C43" s="17">
        <f t="shared" ref="C43:N43" si="3">C42/$O42</f>
        <v>0.36100770105618074</v>
      </c>
      <c r="D43" s="17">
        <f t="shared" si="3"/>
        <v>0</v>
      </c>
      <c r="E43" s="17">
        <f t="shared" si="3"/>
        <v>1.8248577640685191E-5</v>
      </c>
      <c r="F43" s="17">
        <f t="shared" si="3"/>
        <v>3.7670278129700148E-2</v>
      </c>
      <c r="G43" s="17">
        <f t="shared" si="3"/>
        <v>0.10472337320056641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0.496580399035912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13.567</v>
      </c>
      <c r="U43" s="14">
        <f>P32</f>
        <v>1.8475495830178504E-2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293.82799999999997</v>
      </c>
      <c r="U44" s="14">
        <f>P34</f>
        <v>0.40013400079528927</v>
      </c>
    </row>
    <row r="45" spans="1:48" ht="16" x14ac:dyDescent="0.2">
      <c r="A45" s="6" t="s">
        <v>57</v>
      </c>
      <c r="B45" s="6">
        <f>B23+B25-B39</f>
        <v>14628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27991.84</v>
      </c>
      <c r="O45" s="25">
        <f>B45+N45</f>
        <v>42619.839999999997</v>
      </c>
      <c r="P45" s="7"/>
      <c r="Q45" s="7"/>
      <c r="R45" s="7"/>
      <c r="S45" s="7" t="s">
        <v>58</v>
      </c>
      <c r="T45" s="20">
        <f>SUM(T39:T44)</f>
        <v>1035.4739999999999</v>
      </c>
      <c r="U45" s="13">
        <f>SUM(U39:U44)</f>
        <v>1.4101050762333793</v>
      </c>
    </row>
    <row r="46" spans="1:48" ht="16" x14ac:dyDescent="0.2">
      <c r="A46" s="6" t="s">
        <v>93</v>
      </c>
      <c r="B46" s="74">
        <f>B45/B23</f>
        <v>0.1921500630517024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38"/>
      <c r="E48" s="40"/>
      <c r="F48" s="41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38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1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1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1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1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1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1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1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1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1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5" enableFormatConditionsCalculation="0"/>
  <dimension ref="A1:AV70"/>
  <sheetViews>
    <sheetView topLeftCell="A11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61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567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567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61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54">
        <v>46100</v>
      </c>
      <c r="C18" s="8">
        <v>0</v>
      </c>
      <c r="D18" s="8">
        <v>0</v>
      </c>
      <c r="E18" s="54">
        <v>5500</v>
      </c>
      <c r="F18" s="54">
        <v>4600</v>
      </c>
      <c r="G18" s="54">
        <f>1000*(34.1+18.4)</f>
        <v>52500</v>
      </c>
      <c r="H18" s="8">
        <v>0</v>
      </c>
      <c r="I18" s="8"/>
      <c r="J18" s="8"/>
      <c r="K18" s="8"/>
      <c r="L18" s="8"/>
      <c r="M18" s="8"/>
      <c r="N18" s="8"/>
      <c r="O18" s="54">
        <f>SUM(C18:N18)</f>
        <v>62600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885.43463755412495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f>SUM(B17:B22)</f>
        <v>46100</v>
      </c>
      <c r="C23" s="8">
        <f t="shared" ref="C23:O23" si="0">SUM(C17:C22)</f>
        <v>0</v>
      </c>
      <c r="D23" s="8">
        <f t="shared" si="0"/>
        <v>0</v>
      </c>
      <c r="E23" s="54">
        <f t="shared" si="0"/>
        <v>5500</v>
      </c>
      <c r="F23" s="54">
        <f t="shared" si="0"/>
        <v>4600</v>
      </c>
      <c r="G23" s="54">
        <f t="shared" si="0"/>
        <v>52500</v>
      </c>
      <c r="H23" s="8">
        <f t="shared" si="0"/>
        <v>0</v>
      </c>
      <c r="I23" s="8"/>
      <c r="J23" s="8"/>
      <c r="K23" s="8"/>
      <c r="L23" s="8"/>
      <c r="M23" s="8"/>
      <c r="N23" s="8"/>
      <c r="O23" s="54">
        <f t="shared" si="0"/>
        <v>62600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479.27591999999999</v>
      </c>
      <c r="U24" s="13">
        <f>N43</f>
        <v>0.54128887630138911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77.739000000000004</v>
      </c>
      <c r="U25" s="14">
        <f>G43</f>
        <v>8.7797559190525759E-2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22.891999999999999</v>
      </c>
      <c r="U27" s="13">
        <f>F43</f>
        <v>2.585396937173768E-2</v>
      </c>
    </row>
    <row r="28" spans="1:21" ht="16" x14ac:dyDescent="0.2">
      <c r="A28" s="37" t="s">
        <v>61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29.547717554124862</v>
      </c>
      <c r="U28" s="13">
        <f>E43</f>
        <v>3.3370862513065702E-2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663</v>
      </c>
      <c r="D31" s="8">
        <v>0</v>
      </c>
      <c r="E31" s="8">
        <v>0</v>
      </c>
      <c r="F31" s="8">
        <v>63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1319</v>
      </c>
      <c r="O31" s="8">
        <v>2045</v>
      </c>
      <c r="P31" s="17">
        <f>O31/O$39</f>
        <v>2.4557729180852074E-3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67">
        <v>100</v>
      </c>
      <c r="C32" s="61">
        <v>390</v>
      </c>
      <c r="D32" s="8">
        <v>0</v>
      </c>
      <c r="E32" s="61">
        <v>24047.717554124862</v>
      </c>
      <c r="F32" s="8">
        <v>0</v>
      </c>
      <c r="G32" s="61">
        <v>39</v>
      </c>
      <c r="H32" s="8">
        <v>0</v>
      </c>
      <c r="I32" s="8"/>
      <c r="J32" s="8"/>
      <c r="K32" s="8"/>
      <c r="L32" s="8"/>
      <c r="M32" s="27"/>
      <c r="N32" s="61">
        <v>24825</v>
      </c>
      <c r="O32" s="61">
        <f>(SUM(B32:N32))</f>
        <v>49401.717554124858</v>
      </c>
      <c r="P32" s="17">
        <f>O32/O$39</f>
        <v>5.9324890012867684E-2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67">
        <v>11385</v>
      </c>
      <c r="C33" s="8">
        <v>8165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20760</v>
      </c>
      <c r="O33" s="67">
        <v>40309</v>
      </c>
      <c r="P33" s="17">
        <f>O33/O$39</f>
        <v>4.8405745992712287E-2</v>
      </c>
      <c r="Q33" s="18" t="s">
        <v>39</v>
      </c>
      <c r="R33" s="3"/>
      <c r="S33" s="3" t="s">
        <v>35</v>
      </c>
      <c r="T33" s="12">
        <f>C42/1000</f>
        <v>275.98</v>
      </c>
      <c r="U33" s="14">
        <f>C43</f>
        <v>0.31168873262328173</v>
      </c>
    </row>
    <row r="34" spans="1:48" ht="15.75" x14ac:dyDescent="0.25">
      <c r="A34" s="4" t="s">
        <v>40</v>
      </c>
      <c r="B34" s="8">
        <v>0</v>
      </c>
      <c r="C34" s="8">
        <v>250033</v>
      </c>
      <c r="D34" s="8">
        <v>0</v>
      </c>
      <c r="E34" s="8">
        <v>0</v>
      </c>
      <c r="F34" s="8">
        <v>18229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1481</v>
      </c>
      <c r="O34" s="8">
        <v>269743</v>
      </c>
      <c r="P34" s="17">
        <f>O34/O$39</f>
        <v>0.32392545439758341</v>
      </c>
      <c r="Q34" s="18" t="s">
        <v>41</v>
      </c>
      <c r="R34" s="3"/>
      <c r="S34" s="3"/>
      <c r="T34" s="12">
        <f>SUM(T24:T33)</f>
        <v>885.43463755412495</v>
      </c>
      <c r="U34" s="13">
        <f>SUM(U24:U33)</f>
        <v>1</v>
      </c>
    </row>
    <row r="35" spans="1:48" ht="16" x14ac:dyDescent="0.2">
      <c r="A35" s="4" t="s">
        <v>42</v>
      </c>
      <c r="B35" s="67">
        <v>1215</v>
      </c>
      <c r="C35" s="8">
        <v>15743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80821</v>
      </c>
      <c r="O35" s="67">
        <v>97779</v>
      </c>
      <c r="P35" s="17">
        <f>O35/O$39</f>
        <v>0.11741956975914597</v>
      </c>
      <c r="Q35" s="18" t="s">
        <v>43</v>
      </c>
      <c r="R35" s="18"/>
    </row>
    <row r="36" spans="1:48" ht="16" x14ac:dyDescent="0.2">
      <c r="A36" s="4" t="s">
        <v>44</v>
      </c>
      <c r="B36" s="54">
        <v>1300</v>
      </c>
      <c r="C36" s="61">
        <v>940</v>
      </c>
      <c r="D36" s="8">
        <v>0</v>
      </c>
      <c r="E36" s="8">
        <v>0</v>
      </c>
      <c r="F36" s="8">
        <v>0</v>
      </c>
      <c r="G36" s="61">
        <v>25200</v>
      </c>
      <c r="H36" s="8">
        <v>0</v>
      </c>
      <c r="I36" s="8"/>
      <c r="J36" s="8"/>
      <c r="K36" s="8"/>
      <c r="L36" s="8"/>
      <c r="M36" s="27"/>
      <c r="N36" s="8">
        <v>163052</v>
      </c>
      <c r="O36" s="67">
        <v>190492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54">
        <v>31400</v>
      </c>
      <c r="C37" s="8">
        <v>46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21298</v>
      </c>
      <c r="O37" s="67">
        <v>52744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130218</v>
      </c>
      <c r="O38" s="8">
        <v>130218</v>
      </c>
      <c r="P38" s="18">
        <f>SUM(P31:P35)</f>
        <v>0.55153143308039465</v>
      </c>
      <c r="Q38" s="18"/>
      <c r="R38" s="3"/>
      <c r="S38" s="7" t="s">
        <v>47</v>
      </c>
      <c r="T38" s="19">
        <f>O45/1000</f>
        <v>36.201920000000001</v>
      </c>
      <c r="U38" s="7"/>
    </row>
    <row r="39" spans="1:48" ht="16" x14ac:dyDescent="0.2">
      <c r="A39" s="4" t="s">
        <v>16</v>
      </c>
      <c r="B39" s="54">
        <v>45400</v>
      </c>
      <c r="C39" s="8">
        <v>275980</v>
      </c>
      <c r="D39" s="8">
        <v>0</v>
      </c>
      <c r="E39" s="61">
        <f>E32</f>
        <v>24047.717554124862</v>
      </c>
      <c r="F39" s="8">
        <v>18292</v>
      </c>
      <c r="G39" s="8">
        <v>25239</v>
      </c>
      <c r="H39" s="8">
        <v>0</v>
      </c>
      <c r="I39" s="8"/>
      <c r="J39" s="8"/>
      <c r="K39" s="8"/>
      <c r="L39" s="8"/>
      <c r="M39" s="27"/>
      <c r="N39" s="61">
        <f>SUM(N31:N38)</f>
        <v>443774</v>
      </c>
      <c r="O39" s="63">
        <f>(SUM(O31:O38))</f>
        <v>832731.71755412489</v>
      </c>
      <c r="P39" s="3"/>
      <c r="Q39" s="3"/>
      <c r="R39" s="3"/>
      <c r="S39" s="7" t="s">
        <v>48</v>
      </c>
      <c r="T39" s="20">
        <f>O41/1000</f>
        <v>373.45400000000001</v>
      </c>
      <c r="U39" s="13">
        <f>P41</f>
        <v>0.4484685669196054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97.778999999999996</v>
      </c>
      <c r="U40" s="14">
        <f>P35</f>
        <v>0.11741956975914597</v>
      </c>
    </row>
    <row r="41" spans="1:48" ht="16" x14ac:dyDescent="0.2">
      <c r="A41" s="21" t="s">
        <v>50</v>
      </c>
      <c r="B41" s="22">
        <f>B38+B37+B36</f>
        <v>32700</v>
      </c>
      <c r="C41" s="22">
        <f t="shared" ref="C41:O41" si="1">C38+C37+C36</f>
        <v>986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25200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314568</v>
      </c>
      <c r="O41" s="22">
        <f t="shared" si="1"/>
        <v>373454</v>
      </c>
      <c r="P41" s="17">
        <f>O41/O$39</f>
        <v>0.4484685669196054</v>
      </c>
      <c r="Q41" s="17" t="s">
        <v>51</v>
      </c>
      <c r="R41" s="7"/>
      <c r="S41" s="7" t="s">
        <v>52</v>
      </c>
      <c r="T41" s="20">
        <f>O33/1000</f>
        <v>40.308999999999997</v>
      </c>
      <c r="U41" s="13">
        <f>P33</f>
        <v>4.8405745992712287E-2</v>
      </c>
    </row>
    <row r="42" spans="1:48" ht="16" x14ac:dyDescent="0.2">
      <c r="A42" s="23" t="s">
        <v>53</v>
      </c>
      <c r="B42" s="22"/>
      <c r="C42" s="24">
        <f>C39+C23+C10</f>
        <v>275980</v>
      </c>
      <c r="D42" s="24">
        <f t="shared" ref="D42:M42" si="2">D39+D23+D10</f>
        <v>0</v>
      </c>
      <c r="E42" s="24">
        <f t="shared" si="2"/>
        <v>29547.717554124862</v>
      </c>
      <c r="F42" s="24">
        <f t="shared" si="2"/>
        <v>22892</v>
      </c>
      <c r="G42" s="24">
        <f t="shared" si="2"/>
        <v>77739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479275.92</v>
      </c>
      <c r="O42" s="25">
        <f>SUM(C42:N42)</f>
        <v>885434.63755412493</v>
      </c>
      <c r="P42" s="7"/>
      <c r="Q42" s="7"/>
      <c r="R42" s="7"/>
      <c r="S42" s="7" t="s">
        <v>34</v>
      </c>
      <c r="T42" s="20">
        <f>O31/1000</f>
        <v>2.0449999999999999</v>
      </c>
      <c r="U42" s="13">
        <f>P31</f>
        <v>2.4557729180852074E-3</v>
      </c>
    </row>
    <row r="43" spans="1:48" ht="16" x14ac:dyDescent="0.2">
      <c r="A43" s="23" t="s">
        <v>54</v>
      </c>
      <c r="B43" s="22"/>
      <c r="C43" s="17">
        <f t="shared" ref="C43:N43" si="3">C42/$O42</f>
        <v>0.31168873262328173</v>
      </c>
      <c r="D43" s="17">
        <f t="shared" si="3"/>
        <v>0</v>
      </c>
      <c r="E43" s="17">
        <f t="shared" si="3"/>
        <v>3.3370862513065702E-2</v>
      </c>
      <c r="F43" s="17">
        <f t="shared" si="3"/>
        <v>2.585396937173768E-2</v>
      </c>
      <c r="G43" s="17">
        <f t="shared" si="3"/>
        <v>8.7797559190525759E-2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0.54128887630138911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49.401717554124858</v>
      </c>
      <c r="U43" s="14">
        <f>P32</f>
        <v>5.9324890012867684E-2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269.74299999999999</v>
      </c>
      <c r="U44" s="14">
        <f>P34</f>
        <v>0.32392545439758341</v>
      </c>
    </row>
    <row r="45" spans="1:48" ht="16" x14ac:dyDescent="0.2">
      <c r="A45" s="6" t="s">
        <v>57</v>
      </c>
      <c r="B45" s="6">
        <f>B23+B25-B39</f>
        <v>700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35501.919999999998</v>
      </c>
      <c r="O45" s="25">
        <f>B45+N45</f>
        <v>36201.919999999998</v>
      </c>
      <c r="P45" s="7"/>
      <c r="Q45" s="7"/>
      <c r="R45" s="7"/>
      <c r="S45" s="7" t="s">
        <v>58</v>
      </c>
      <c r="T45" s="20">
        <f>SUM(T39:T44)</f>
        <v>832.73171755412477</v>
      </c>
      <c r="U45" s="13">
        <f>SUM(U39:U44)</f>
        <v>1</v>
      </c>
    </row>
    <row r="46" spans="1:48" ht="16" x14ac:dyDescent="0.2">
      <c r="A46" s="6" t="s">
        <v>93</v>
      </c>
      <c r="B46" s="74">
        <f>B45/B23</f>
        <v>1.5184381778741865E-2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6"/>
      <c r="C47" s="40"/>
      <c r="D47" s="6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38"/>
      <c r="D48" s="40"/>
      <c r="E48" s="40"/>
      <c r="F48" s="41"/>
      <c r="G48" s="40"/>
      <c r="H48" s="41"/>
      <c r="I48" s="40"/>
      <c r="J48" s="40"/>
      <c r="K48" s="40"/>
      <c r="L48" s="40"/>
      <c r="M48" s="40"/>
      <c r="N48" s="40"/>
      <c r="O48" s="40"/>
      <c r="P48" s="41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0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1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0"/>
      <c r="E55" s="40"/>
      <c r="F55" s="41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0"/>
      <c r="E56" s="40"/>
      <c r="F56" s="41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enableFormatConditionsCalculation="0"/>
  <dimension ref="A1:AV70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4" width="8.83203125" style="2"/>
    <col min="15" max="15" width="9.332031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62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938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938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62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255016</v>
      </c>
      <c r="C18" s="8">
        <v>53</v>
      </c>
      <c r="D18" s="8">
        <v>0</v>
      </c>
      <c r="E18" s="8">
        <v>0</v>
      </c>
      <c r="F18" s="8">
        <v>9554</v>
      </c>
      <c r="G18" s="8">
        <v>34249</v>
      </c>
      <c r="H18" s="8">
        <v>0</v>
      </c>
      <c r="I18" s="8"/>
      <c r="J18" s="8"/>
      <c r="K18" s="8"/>
      <c r="L18" s="8"/>
      <c r="M18" s="8"/>
      <c r="N18" s="54">
        <v>80312</v>
      </c>
      <c r="O18" s="54">
        <f>SUM(C18:N18)</f>
        <v>124168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O20" s="83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1390.6868399999998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255016</v>
      </c>
      <c r="C23" s="8">
        <v>53</v>
      </c>
      <c r="D23" s="8">
        <v>0</v>
      </c>
      <c r="E23" s="8">
        <v>0</v>
      </c>
      <c r="F23" s="8">
        <v>9554</v>
      </c>
      <c r="G23" s="8">
        <v>34249</v>
      </c>
      <c r="H23" s="8">
        <v>0</v>
      </c>
      <c r="I23" s="8"/>
      <c r="J23" s="8"/>
      <c r="K23" s="8"/>
      <c r="L23" s="8"/>
      <c r="M23" s="8"/>
      <c r="N23" s="54">
        <f>SUM(N17:N19)</f>
        <v>80312</v>
      </c>
      <c r="O23" s="54">
        <f>SUM(O17:O22)</f>
        <v>124168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756.09284000000002</v>
      </c>
      <c r="U24" s="13">
        <f>N43</f>
        <v>0.54368303362962722</v>
      </c>
    </row>
    <row r="25" spans="1:21" ht="16" x14ac:dyDescent="0.2">
      <c r="A25" s="5" t="s">
        <v>86</v>
      </c>
      <c r="B25" s="54">
        <f>317718-B23</f>
        <v>62702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46.625</v>
      </c>
      <c r="U25" s="14">
        <f>G43</f>
        <v>3.3526598986152775E-2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51.768999999999998</v>
      </c>
      <c r="U27" s="13">
        <f>F43</f>
        <v>3.7225490679123709E-2</v>
      </c>
    </row>
    <row r="28" spans="1:21" ht="16" x14ac:dyDescent="0.2">
      <c r="A28" s="37" t="s">
        <v>62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298</v>
      </c>
      <c r="D31" s="8">
        <v>0</v>
      </c>
      <c r="E31" s="8">
        <v>0</v>
      </c>
      <c r="F31" s="8">
        <v>31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770</v>
      </c>
      <c r="O31" s="8">
        <v>1099</v>
      </c>
      <c r="P31" s="17">
        <f>O31/O$39</f>
        <v>7.3442389824720611E-4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25700</v>
      </c>
      <c r="C32" s="8">
        <v>762</v>
      </c>
      <c r="D32" s="8">
        <v>0</v>
      </c>
      <c r="E32" s="8">
        <v>0</v>
      </c>
      <c r="F32" s="8">
        <v>0</v>
      </c>
      <c r="G32" s="8">
        <v>34</v>
      </c>
      <c r="H32" s="8">
        <v>0</v>
      </c>
      <c r="I32" s="8"/>
      <c r="J32" s="8"/>
      <c r="K32" s="8"/>
      <c r="L32" s="8"/>
      <c r="M32" s="27"/>
      <c r="N32" s="8">
        <v>91036</v>
      </c>
      <c r="O32" s="8">
        <v>117533</v>
      </c>
      <c r="P32" s="17">
        <f>O32/O$39</f>
        <v>7.8543261176241025E-2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33795</v>
      </c>
      <c r="C33" s="8">
        <v>340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63740</v>
      </c>
      <c r="O33" s="8">
        <v>97875</v>
      </c>
      <c r="P33" s="17">
        <f>O33/O$39</f>
        <v>6.5406495942625389E-2</v>
      </c>
      <c r="Q33" s="18" t="s">
        <v>39</v>
      </c>
      <c r="R33" s="3"/>
      <c r="S33" s="3" t="s">
        <v>35</v>
      </c>
      <c r="T33" s="12">
        <f>C42/1000</f>
        <v>536.20000000000005</v>
      </c>
      <c r="U33" s="14">
        <f>C43</f>
        <v>0.38556487670509637</v>
      </c>
    </row>
    <row r="34" spans="1:48" ht="15.75" x14ac:dyDescent="0.25">
      <c r="A34" s="4" t="s">
        <v>40</v>
      </c>
      <c r="B34" s="8">
        <v>0</v>
      </c>
      <c r="C34" s="8">
        <v>518253</v>
      </c>
      <c r="D34" s="8">
        <v>0</v>
      </c>
      <c r="E34" s="8">
        <v>0</v>
      </c>
      <c r="F34" s="8">
        <v>42184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2021</v>
      </c>
      <c r="O34" s="8">
        <v>562458</v>
      </c>
      <c r="P34" s="17">
        <f>O34/O$39</f>
        <v>0.37587133481376439</v>
      </c>
      <c r="Q34" s="18" t="s">
        <v>41</v>
      </c>
      <c r="R34" s="3"/>
      <c r="S34" s="3"/>
      <c r="T34" s="12">
        <f>SUM(T24:T33)</f>
        <v>1390.6868400000001</v>
      </c>
      <c r="U34" s="13">
        <f>SUM(U24:U33)</f>
        <v>1</v>
      </c>
    </row>
    <row r="35" spans="1:48" ht="16" x14ac:dyDescent="0.2">
      <c r="A35" s="4" t="s">
        <v>42</v>
      </c>
      <c r="B35" s="8">
        <v>38355</v>
      </c>
      <c r="C35" s="8">
        <v>15862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248361</v>
      </c>
      <c r="O35" s="8">
        <v>302578</v>
      </c>
      <c r="P35" s="17">
        <f>O35/O$39</f>
        <v>0.20220246977601741</v>
      </c>
      <c r="Q35" s="18" t="s">
        <v>43</v>
      </c>
      <c r="R35" s="18"/>
    </row>
    <row r="36" spans="1:48" ht="16" x14ac:dyDescent="0.2">
      <c r="A36" s="4" t="s">
        <v>44</v>
      </c>
      <c r="B36" s="8">
        <v>3241</v>
      </c>
      <c r="C36" s="8">
        <v>631</v>
      </c>
      <c r="D36" s="8">
        <v>0</v>
      </c>
      <c r="E36" s="8">
        <v>0</v>
      </c>
      <c r="F36" s="8">
        <v>0</v>
      </c>
      <c r="G36" s="8">
        <v>12342</v>
      </c>
      <c r="H36" s="8">
        <v>0</v>
      </c>
      <c r="I36" s="8"/>
      <c r="J36" s="8"/>
      <c r="K36" s="8"/>
      <c r="L36" s="8"/>
      <c r="M36" s="27"/>
      <c r="N36" s="8">
        <v>181281</v>
      </c>
      <c r="O36" s="8">
        <v>197494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178861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38476</v>
      </c>
      <c r="O37" s="8">
        <v>217337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38</v>
      </c>
      <c r="O38" s="8">
        <v>38</v>
      </c>
      <c r="P38" s="18">
        <f>SUM(P31:P35)</f>
        <v>0.72275798560689541</v>
      </c>
      <c r="Q38" s="18"/>
      <c r="R38" s="3"/>
      <c r="S38" s="7" t="s">
        <v>47</v>
      </c>
      <c r="T38" s="19">
        <f>O45/1000</f>
        <v>87.825839999999999</v>
      </c>
      <c r="U38" s="7"/>
    </row>
    <row r="39" spans="1:48" ht="16" x14ac:dyDescent="0.2">
      <c r="A39" s="4" t="s">
        <v>16</v>
      </c>
      <c r="B39" s="8">
        <v>279950</v>
      </c>
      <c r="C39" s="8">
        <v>536147</v>
      </c>
      <c r="D39" s="8">
        <v>0</v>
      </c>
      <c r="E39" s="8">
        <v>0</v>
      </c>
      <c r="F39" s="8">
        <v>42215</v>
      </c>
      <c r="G39" s="8">
        <v>12376</v>
      </c>
      <c r="H39" s="8">
        <v>0</v>
      </c>
      <c r="I39" s="8"/>
      <c r="J39" s="8"/>
      <c r="K39" s="8"/>
      <c r="L39" s="8"/>
      <c r="M39" s="27"/>
      <c r="N39" s="8">
        <v>625723</v>
      </c>
      <c r="O39" s="8">
        <v>1496411</v>
      </c>
      <c r="P39" s="3"/>
      <c r="Q39" s="3"/>
      <c r="R39" s="3"/>
      <c r="S39" s="7" t="s">
        <v>48</v>
      </c>
      <c r="T39" s="20">
        <f>O41/1000</f>
        <v>414.86900000000003</v>
      </c>
      <c r="U39" s="13">
        <f>P41</f>
        <v>0.27724268265870805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302.57799999999997</v>
      </c>
      <c r="U40" s="14">
        <f>P35</f>
        <v>0.20220246977601741</v>
      </c>
    </row>
    <row r="41" spans="1:48" ht="16" x14ac:dyDescent="0.2">
      <c r="A41" s="21" t="s">
        <v>50</v>
      </c>
      <c r="B41" s="22">
        <f>B38+B37+B36</f>
        <v>182102</v>
      </c>
      <c r="C41" s="22">
        <f t="shared" ref="C41:O41" si="0">C38+C37+C36</f>
        <v>631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12342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219795</v>
      </c>
      <c r="O41" s="22">
        <f t="shared" si="0"/>
        <v>414869</v>
      </c>
      <c r="P41" s="17">
        <f>O41/O$39</f>
        <v>0.27724268265870805</v>
      </c>
      <c r="Q41" s="17" t="s">
        <v>51</v>
      </c>
      <c r="R41" s="7"/>
      <c r="S41" s="7" t="s">
        <v>52</v>
      </c>
      <c r="T41" s="20">
        <f>O33/1000</f>
        <v>97.875</v>
      </c>
      <c r="U41" s="13">
        <f>P33</f>
        <v>6.5406495942625389E-2</v>
      </c>
    </row>
    <row r="42" spans="1:48" ht="16" x14ac:dyDescent="0.2">
      <c r="A42" s="23" t="s">
        <v>53</v>
      </c>
      <c r="B42" s="22"/>
      <c r="C42" s="24">
        <f>C39+C23+C10</f>
        <v>536200</v>
      </c>
      <c r="D42" s="24">
        <f t="shared" ref="D42:M42" si="1">D39+D23+D10</f>
        <v>0</v>
      </c>
      <c r="E42" s="24">
        <f t="shared" si="1"/>
        <v>0</v>
      </c>
      <c r="F42" s="24">
        <f t="shared" si="1"/>
        <v>51769</v>
      </c>
      <c r="G42" s="24">
        <f t="shared" si="1"/>
        <v>46625</v>
      </c>
      <c r="H42" s="24">
        <f t="shared" si="1"/>
        <v>0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756092.84</v>
      </c>
      <c r="O42" s="25">
        <f>SUM(C42:N42)</f>
        <v>1390686.8399999999</v>
      </c>
      <c r="P42" s="7"/>
      <c r="Q42" s="7"/>
      <c r="R42" s="7"/>
      <c r="S42" s="7" t="s">
        <v>34</v>
      </c>
      <c r="T42" s="20">
        <f>O31/1000</f>
        <v>1.099</v>
      </c>
      <c r="U42" s="13">
        <f>P31</f>
        <v>7.3442389824720611E-4</v>
      </c>
    </row>
    <row r="43" spans="1:48" ht="16" x14ac:dyDescent="0.2">
      <c r="A43" s="23" t="s">
        <v>54</v>
      </c>
      <c r="B43" s="22"/>
      <c r="C43" s="17">
        <f t="shared" ref="C43:N43" si="2">C42/$O42</f>
        <v>0.38556487670509637</v>
      </c>
      <c r="D43" s="17">
        <f t="shared" si="2"/>
        <v>0</v>
      </c>
      <c r="E43" s="17">
        <f t="shared" si="2"/>
        <v>0</v>
      </c>
      <c r="F43" s="17">
        <f t="shared" si="2"/>
        <v>3.7225490679123709E-2</v>
      </c>
      <c r="G43" s="17">
        <f t="shared" si="2"/>
        <v>3.3526598986152775E-2</v>
      </c>
      <c r="H43" s="17">
        <f t="shared" si="2"/>
        <v>0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0.54368303362962722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117.533</v>
      </c>
      <c r="U43" s="14">
        <f>P32</f>
        <v>7.8543261176241025E-2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562.45799999999997</v>
      </c>
      <c r="U44" s="14">
        <f>P34</f>
        <v>0.37587133481376439</v>
      </c>
    </row>
    <row r="45" spans="1:48" ht="16" x14ac:dyDescent="0.2">
      <c r="A45" s="6" t="s">
        <v>57</v>
      </c>
      <c r="B45" s="6">
        <f>B23+B25-B39</f>
        <v>37768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50057.840000000004</v>
      </c>
      <c r="O45" s="25">
        <f>B45+N45</f>
        <v>87825.84</v>
      </c>
      <c r="P45" s="7"/>
      <c r="Q45" s="7"/>
      <c r="R45" s="7"/>
      <c r="S45" s="7" t="s">
        <v>58</v>
      </c>
      <c r="T45" s="20">
        <f>SUM(T39:T44)</f>
        <v>1496.412</v>
      </c>
      <c r="U45" s="13">
        <f>SUM(U39:U44)</f>
        <v>1.0000006682656035</v>
      </c>
    </row>
    <row r="46" spans="1:48" ht="16" x14ac:dyDescent="0.2">
      <c r="A46" s="6" t="s">
        <v>93</v>
      </c>
      <c r="B46" s="74">
        <f>B45/B23</f>
        <v>0.14810051134046492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0"/>
      <c r="H48" s="41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x14ac:dyDescent="0.2">
      <c r="A52" s="40"/>
      <c r="B52" s="37"/>
      <c r="C52" s="40"/>
      <c r="D52" s="41"/>
      <c r="E52" s="40"/>
      <c r="F52" s="40"/>
      <c r="G52" s="40"/>
      <c r="H52" s="41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37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  <c r="AG52" s="40"/>
      <c r="AH52" s="40"/>
      <c r="AI52" s="37"/>
      <c r="AJ52" s="40"/>
      <c r="AK52" s="40"/>
      <c r="AL52" s="40"/>
      <c r="AM52" s="40"/>
      <c r="AN52" s="40"/>
      <c r="AO52" s="40"/>
      <c r="AP52" s="40"/>
      <c r="AQ52" s="40"/>
      <c r="AR52" s="40"/>
      <c r="AS52" s="40"/>
      <c r="AT52" s="40"/>
      <c r="AU52" s="40"/>
      <c r="AV52" s="40"/>
    </row>
    <row r="53" spans="1:48" x14ac:dyDescent="0.2">
      <c r="A53" s="40"/>
      <c r="B53" s="37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37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37"/>
      <c r="AJ53" s="40"/>
      <c r="AK53" s="40"/>
      <c r="AL53" s="40"/>
      <c r="AM53" s="40"/>
      <c r="AN53" s="40"/>
      <c r="AO53" s="40"/>
      <c r="AP53" s="40"/>
      <c r="AQ53" s="40"/>
      <c r="AR53" s="40"/>
      <c r="AS53" s="40"/>
      <c r="AT53" s="40"/>
      <c r="AU53" s="40"/>
      <c r="AV53" s="40"/>
    </row>
    <row r="54" spans="1:48" x14ac:dyDescent="0.2">
      <c r="A54" s="40"/>
      <c r="B54" s="37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37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37"/>
      <c r="AJ54" s="40"/>
      <c r="AK54" s="40"/>
      <c r="AL54" s="40"/>
      <c r="AM54" s="40"/>
      <c r="AN54" s="40"/>
      <c r="AO54" s="40"/>
      <c r="AP54" s="40"/>
      <c r="AQ54" s="40"/>
      <c r="AR54" s="40"/>
      <c r="AS54" s="40"/>
      <c r="AT54" s="40"/>
      <c r="AU54" s="40"/>
      <c r="AV54" s="40"/>
    </row>
    <row r="55" spans="1:48" x14ac:dyDescent="0.2">
      <c r="A55" s="40"/>
      <c r="B55" s="37"/>
      <c r="C55" s="40"/>
      <c r="D55" s="41"/>
      <c r="E55" s="40"/>
      <c r="F55" s="40"/>
      <c r="G55" s="40"/>
      <c r="H55" s="41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37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37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</row>
    <row r="56" spans="1:48" x14ac:dyDescent="0.2">
      <c r="A56" s="40"/>
      <c r="B56" s="37"/>
      <c r="C56" s="40"/>
      <c r="D56" s="41"/>
      <c r="E56" s="40"/>
      <c r="F56" s="40"/>
      <c r="G56" s="40"/>
      <c r="H56" s="41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37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37"/>
      <c r="AJ56" s="40"/>
      <c r="AK56" s="40"/>
      <c r="AL56" s="40"/>
      <c r="AM56" s="40"/>
      <c r="AN56" s="40"/>
      <c r="AO56" s="40"/>
      <c r="AP56" s="40"/>
      <c r="AQ56" s="40"/>
      <c r="AR56" s="40"/>
      <c r="AS56" s="40"/>
      <c r="AT56" s="40"/>
      <c r="AU56" s="40"/>
      <c r="AV56" s="40"/>
    </row>
    <row r="57" spans="1:48" ht="16" x14ac:dyDescent="0.2">
      <c r="A57" s="7"/>
      <c r="B57" s="7"/>
      <c r="C57" s="28"/>
      <c r="D57" s="28"/>
      <c r="E57" s="28"/>
      <c r="F57" s="28"/>
      <c r="G57" s="28"/>
      <c r="H57" s="28"/>
      <c r="I57" s="28"/>
      <c r="J57" s="28"/>
      <c r="K57" s="28"/>
      <c r="L57" s="6"/>
      <c r="M57" s="6"/>
      <c r="N57" s="29"/>
      <c r="O57" s="7"/>
      <c r="P57" s="6"/>
      <c r="Q57" s="13"/>
      <c r="R57" s="7"/>
      <c r="S57" s="7"/>
      <c r="T57" s="6"/>
      <c r="U57" s="30"/>
    </row>
    <row r="58" spans="1:48" ht="16" x14ac:dyDescent="0.2">
      <c r="A58" s="7"/>
      <c r="B58" s="7"/>
      <c r="C58" s="28"/>
      <c r="D58" s="28"/>
      <c r="E58" s="28"/>
      <c r="F58" s="28"/>
      <c r="G58" s="28"/>
      <c r="H58" s="28"/>
      <c r="I58" s="28"/>
      <c r="J58" s="28"/>
      <c r="K58" s="28"/>
      <c r="L58" s="6"/>
      <c r="M58" s="6"/>
      <c r="N58" s="29"/>
      <c r="O58" s="7"/>
      <c r="P58" s="6"/>
      <c r="Q58" s="13"/>
      <c r="R58" s="7"/>
      <c r="S58" s="7"/>
      <c r="T58" s="6"/>
      <c r="U58" s="30"/>
    </row>
    <row r="59" spans="1:48" ht="16" x14ac:dyDescent="0.2">
      <c r="A59" s="7"/>
      <c r="B59" s="7"/>
      <c r="C59" s="28"/>
      <c r="D59" s="28"/>
      <c r="E59" s="28"/>
      <c r="F59" s="28"/>
      <c r="G59" s="28"/>
      <c r="H59" s="28"/>
      <c r="I59" s="28"/>
      <c r="J59" s="28"/>
      <c r="K59" s="28"/>
      <c r="L59" s="6"/>
      <c r="M59" s="6"/>
      <c r="N59" s="29"/>
      <c r="O59" s="7"/>
      <c r="P59" s="6"/>
      <c r="Q59" s="13"/>
      <c r="R59" s="7"/>
      <c r="S59" s="7"/>
      <c r="T59" s="6"/>
      <c r="U59" s="30"/>
    </row>
    <row r="60" spans="1:48" ht="16" x14ac:dyDescent="0.2">
      <c r="A60" s="23"/>
      <c r="B60" s="7"/>
      <c r="C60" s="28"/>
      <c r="D60" s="28"/>
      <c r="E60" s="28"/>
      <c r="F60" s="28"/>
      <c r="G60" s="28"/>
      <c r="H60" s="28"/>
      <c r="I60" s="28"/>
      <c r="J60" s="28"/>
      <c r="K60" s="28"/>
      <c r="L60" s="6"/>
      <c r="M60" s="6"/>
      <c r="N60" s="29"/>
      <c r="O60" s="7"/>
      <c r="P60" s="6"/>
      <c r="Q60" s="13"/>
      <c r="R60" s="7"/>
      <c r="S60" s="7"/>
      <c r="T60" s="6"/>
      <c r="U60" s="30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29"/>
      <c r="O61" s="7"/>
      <c r="P61" s="6"/>
      <c r="Q61" s="13"/>
      <c r="R61" s="7"/>
      <c r="S61" s="7"/>
      <c r="T61" s="31"/>
      <c r="U61" s="32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3"/>
      <c r="C63" s="33"/>
      <c r="D63" s="33"/>
      <c r="E63" s="33"/>
      <c r="F63" s="33"/>
      <c r="G63" s="33"/>
      <c r="H63" s="33"/>
      <c r="I63" s="33"/>
      <c r="J63" s="7"/>
      <c r="K63" s="7"/>
      <c r="L63" s="7"/>
      <c r="M63" s="7"/>
      <c r="N63" s="7"/>
      <c r="O63" s="7"/>
      <c r="P63" s="7"/>
      <c r="Q63" s="7"/>
      <c r="R63" s="7"/>
      <c r="S63" s="7"/>
      <c r="T63" s="33"/>
      <c r="U63" s="34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29"/>
      <c r="R64" s="7"/>
      <c r="S64" s="7"/>
      <c r="T64" s="6"/>
      <c r="U64" s="30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29"/>
      <c r="R65" s="7"/>
      <c r="S65" s="7"/>
      <c r="T65" s="6"/>
      <c r="U65" s="30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29"/>
      <c r="R66" s="7"/>
      <c r="S66" s="7"/>
      <c r="T66" s="6"/>
      <c r="U66" s="30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29"/>
      <c r="R67" s="7"/>
      <c r="S67" s="7"/>
      <c r="T67" s="6"/>
      <c r="U67" s="30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29"/>
      <c r="R68" s="7"/>
      <c r="S68" s="7"/>
      <c r="T68" s="6"/>
      <c r="U68" s="30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29"/>
      <c r="R69" s="7"/>
      <c r="S69" s="7"/>
      <c r="T69" s="6"/>
      <c r="U69" s="30"/>
    </row>
    <row r="70" spans="1:21" ht="16" x14ac:dyDescent="0.2">
      <c r="A70" s="7"/>
      <c r="B70" s="31"/>
      <c r="C70" s="31"/>
      <c r="D70" s="31"/>
      <c r="E70" s="31"/>
      <c r="F70" s="31"/>
      <c r="G70" s="31"/>
      <c r="H70" s="31"/>
      <c r="I70" s="31"/>
      <c r="J70" s="7"/>
      <c r="K70" s="7"/>
      <c r="L70" s="7"/>
      <c r="M70" s="7"/>
      <c r="N70" s="7"/>
      <c r="O70" s="7"/>
      <c r="P70" s="31"/>
      <c r="Q70" s="35"/>
      <c r="R70" s="7"/>
      <c r="S70" s="36"/>
      <c r="T70" s="31"/>
      <c r="U70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7" enableFormatConditionsCalculation="0"/>
  <dimension ref="A1:AV59"/>
  <sheetViews>
    <sheetView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3" width="5.33203125" style="2" customWidth="1"/>
    <col min="14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6" x14ac:dyDescent="0.2">
      <c r="A2" s="4" t="s">
        <v>63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587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53"/>
      <c r="U9" s="53"/>
      <c r="V9" s="8"/>
      <c r="W9" s="8"/>
      <c r="X9" s="8"/>
      <c r="Y9" s="53"/>
      <c r="Z9" s="8"/>
      <c r="AA9" s="8"/>
      <c r="AB9" s="8"/>
      <c r="AC9" s="8"/>
      <c r="AD9" s="8"/>
      <c r="AE9" s="8"/>
      <c r="AF9" s="8"/>
      <c r="AG9" s="53"/>
      <c r="AH9" s="27"/>
      <c r="AI9" s="27"/>
    </row>
    <row r="10" spans="1:35" ht="16" x14ac:dyDescent="0.2">
      <c r="A10" s="4" t="s">
        <v>16</v>
      </c>
      <c r="B10" s="54">
        <v>587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53"/>
      <c r="U10" s="53"/>
      <c r="V10" s="8"/>
      <c r="W10" s="8"/>
      <c r="X10" s="8"/>
      <c r="Y10" s="53"/>
      <c r="Z10" s="8"/>
      <c r="AA10" s="8"/>
      <c r="AB10" s="8"/>
      <c r="AC10" s="8"/>
      <c r="AD10" s="8"/>
      <c r="AE10" s="8"/>
      <c r="AF10" s="8"/>
      <c r="AG10" s="53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6" x14ac:dyDescent="0.2">
      <c r="A14" s="37" t="s">
        <v>63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62">
        <v>6500</v>
      </c>
      <c r="C18" s="62">
        <v>2600</v>
      </c>
      <c r="D18" s="8">
        <v>0</v>
      </c>
      <c r="E18" s="8">
        <v>0</v>
      </c>
      <c r="F18" s="8">
        <v>0</v>
      </c>
      <c r="G18" s="62">
        <v>4700</v>
      </c>
      <c r="H18" s="8">
        <v>0</v>
      </c>
      <c r="I18" s="8"/>
      <c r="J18" s="8"/>
      <c r="K18" s="8"/>
      <c r="L18" s="8"/>
      <c r="M18" s="8"/>
      <c r="N18" s="8"/>
      <c r="O18" s="62">
        <f>C18+G18</f>
        <v>7300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606.49295999999993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62">
        <f>B18</f>
        <v>6500</v>
      </c>
      <c r="C23" s="62">
        <f>C18</f>
        <v>2600</v>
      </c>
      <c r="D23" s="53">
        <f t="shared" ref="D23:O23" si="0">D18</f>
        <v>0</v>
      </c>
      <c r="E23" s="53">
        <f t="shared" si="0"/>
        <v>0</v>
      </c>
      <c r="F23" s="53">
        <f t="shared" si="0"/>
        <v>0</v>
      </c>
      <c r="G23" s="62">
        <f t="shared" si="0"/>
        <v>4700</v>
      </c>
      <c r="H23" s="53">
        <f t="shared" si="0"/>
        <v>0</v>
      </c>
      <c r="I23" s="53"/>
      <c r="J23" s="53"/>
      <c r="K23" s="53"/>
      <c r="L23" s="53"/>
      <c r="M23" s="53"/>
      <c r="N23" s="53"/>
      <c r="O23" s="62">
        <f t="shared" si="0"/>
        <v>7300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302.60196000000002</v>
      </c>
      <c r="U24" s="13">
        <f>N43</f>
        <v>0.49893730011309617</v>
      </c>
    </row>
    <row r="25" spans="1:21" ht="16" x14ac:dyDescent="0.2"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24.404</v>
      </c>
      <c r="U25" s="14">
        <f>G43</f>
        <v>4.0237894929563568E-2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17.866</v>
      </c>
      <c r="U27" s="13">
        <f>F43</f>
        <v>2.9457885216013061E-2</v>
      </c>
    </row>
    <row r="28" spans="1:21" ht="16" x14ac:dyDescent="0.2">
      <c r="A28" s="37" t="s">
        <v>63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0</v>
      </c>
      <c r="U28" s="13">
        <f>E43</f>
        <v>0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6014</v>
      </c>
      <c r="D31" s="8">
        <v>0</v>
      </c>
      <c r="E31" s="8">
        <v>0</v>
      </c>
      <c r="F31" s="8">
        <v>473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44343</v>
      </c>
      <c r="O31" s="8">
        <v>50830</v>
      </c>
      <c r="P31" s="17">
        <f>O31/O$39</f>
        <v>8.7387821063851734E-2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0</v>
      </c>
      <c r="C32" s="61">
        <f>C39-SUM(C33:C38,C31)</f>
        <v>3157</v>
      </c>
      <c r="D32" s="8">
        <v>0</v>
      </c>
      <c r="E32" s="8">
        <v>0</v>
      </c>
      <c r="F32" s="61">
        <f>O32-N32-C32</f>
        <v>282</v>
      </c>
      <c r="G32" s="8">
        <v>0</v>
      </c>
      <c r="H32" s="8">
        <v>0</v>
      </c>
      <c r="I32" s="8"/>
      <c r="J32" s="8"/>
      <c r="K32" s="8"/>
      <c r="L32" s="8"/>
      <c r="M32" s="27"/>
      <c r="N32" s="8">
        <v>13492</v>
      </c>
      <c r="O32" s="8">
        <v>16931</v>
      </c>
      <c r="P32" s="17">
        <f>O32/O$39</f>
        <v>2.9108070006533027E-2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61">
        <v>347</v>
      </c>
      <c r="C33" s="8">
        <v>12661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21110</v>
      </c>
      <c r="O33" s="61">
        <f>SUM(B33:N33)</f>
        <v>34118</v>
      </c>
      <c r="P33" s="17">
        <f>O33/O$39</f>
        <v>5.8656259670597941E-2</v>
      </c>
      <c r="Q33" s="18" t="s">
        <v>39</v>
      </c>
      <c r="R33" s="3"/>
      <c r="S33" s="3" t="s">
        <v>35</v>
      </c>
      <c r="T33" s="12">
        <f>C42/1000</f>
        <v>261.62099999999998</v>
      </c>
      <c r="U33" s="14">
        <f>C43</f>
        <v>0.43136691974132729</v>
      </c>
    </row>
    <row r="34" spans="1:48" ht="15.75" x14ac:dyDescent="0.25">
      <c r="A34" s="4" t="s">
        <v>40</v>
      </c>
      <c r="B34" s="8">
        <v>0</v>
      </c>
      <c r="C34" s="8">
        <v>230457</v>
      </c>
      <c r="D34" s="8">
        <v>0</v>
      </c>
      <c r="E34" s="8">
        <v>0</v>
      </c>
      <c r="F34" s="8">
        <v>17111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854</v>
      </c>
      <c r="O34" s="8">
        <v>248421</v>
      </c>
      <c r="P34" s="17">
        <f>O34/O$39</f>
        <v>0.42708970876457036</v>
      </c>
      <c r="Q34" s="18" t="s">
        <v>41</v>
      </c>
      <c r="R34" s="3"/>
      <c r="S34" s="3"/>
      <c r="T34" s="12">
        <f>SUM(T24:T33)</f>
        <v>606.49296000000004</v>
      </c>
      <c r="U34" s="13">
        <f>SUM(U24:U33)</f>
        <v>1.0000000000000002</v>
      </c>
    </row>
    <row r="35" spans="1:48" ht="16" x14ac:dyDescent="0.2">
      <c r="A35" s="4" t="s">
        <v>42</v>
      </c>
      <c r="B35" s="61">
        <v>14</v>
      </c>
      <c r="C35" s="8">
        <v>5425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61">
        <v>55434</v>
      </c>
      <c r="O35" s="61">
        <f>SUM(B35:N35)</f>
        <v>60873</v>
      </c>
      <c r="P35" s="17">
        <f>O35/O$39</f>
        <v>0.1046539215349173</v>
      </c>
      <c r="Q35" s="18" t="s">
        <v>43</v>
      </c>
      <c r="R35" s="18"/>
    </row>
    <row r="36" spans="1:48" ht="16" x14ac:dyDescent="0.2">
      <c r="A36" s="4" t="s">
        <v>44</v>
      </c>
      <c r="B36" s="63">
        <v>3973</v>
      </c>
      <c r="C36" s="61">
        <f>O36-N36-G36-B36</f>
        <v>896</v>
      </c>
      <c r="D36" s="8">
        <v>0</v>
      </c>
      <c r="E36" s="8">
        <v>0</v>
      </c>
      <c r="F36" s="8">
        <v>0</v>
      </c>
      <c r="G36" s="8">
        <v>19704</v>
      </c>
      <c r="H36" s="8">
        <v>0</v>
      </c>
      <c r="I36" s="8"/>
      <c r="J36" s="8"/>
      <c r="K36" s="8"/>
      <c r="L36" s="8"/>
      <c r="M36" s="27"/>
      <c r="N36" s="8">
        <v>128990</v>
      </c>
      <c r="O36" s="8">
        <v>153563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63">
        <v>549</v>
      </c>
      <c r="C37" s="61">
        <f>O37-N37-B37</f>
        <v>411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7093</v>
      </c>
      <c r="O37" s="8">
        <v>8053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8871</v>
      </c>
      <c r="O38" s="8">
        <v>8871</v>
      </c>
      <c r="P38" s="18">
        <f>SUM(P31:P35)</f>
        <v>0.70689578104047035</v>
      </c>
      <c r="Q38" s="18"/>
      <c r="R38" s="3"/>
      <c r="S38" s="7" t="s">
        <v>47</v>
      </c>
      <c r="T38" s="19">
        <f>O45/1000</f>
        <v>24.031959999999998</v>
      </c>
      <c r="U38" s="7"/>
    </row>
    <row r="39" spans="1:48" ht="16" x14ac:dyDescent="0.2">
      <c r="A39" s="4" t="s">
        <v>16</v>
      </c>
      <c r="B39" s="8">
        <v>4883</v>
      </c>
      <c r="C39" s="8">
        <v>259021</v>
      </c>
      <c r="D39" s="8">
        <v>0</v>
      </c>
      <c r="E39" s="8">
        <v>0</v>
      </c>
      <c r="F39" s="53">
        <f>SUM(F31:F35)</f>
        <v>17866</v>
      </c>
      <c r="G39" s="8">
        <v>19704</v>
      </c>
      <c r="H39" s="8">
        <v>0</v>
      </c>
      <c r="I39" s="8"/>
      <c r="J39" s="8"/>
      <c r="K39" s="8"/>
      <c r="L39" s="8"/>
      <c r="M39" s="27"/>
      <c r="N39" s="61">
        <f>SUM(N31:N38)</f>
        <v>280187</v>
      </c>
      <c r="O39" s="61">
        <f>SUM(O31:O38)</f>
        <v>581660</v>
      </c>
      <c r="P39" s="3"/>
      <c r="Q39" s="3"/>
      <c r="R39" s="3"/>
      <c r="S39" s="7" t="s">
        <v>48</v>
      </c>
      <c r="T39" s="20">
        <f>O41/1000</f>
        <v>170.48699999999999</v>
      </c>
      <c r="U39" s="13">
        <f>P41</f>
        <v>0.29310421895952965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60.872999999999998</v>
      </c>
      <c r="U40" s="14">
        <f>P35</f>
        <v>0.1046539215349173</v>
      </c>
    </row>
    <row r="41" spans="1:48" ht="16" x14ac:dyDescent="0.2">
      <c r="A41" s="21" t="s">
        <v>50</v>
      </c>
      <c r="B41" s="22">
        <f>B38+B37+B36</f>
        <v>4522</v>
      </c>
      <c r="C41" s="22">
        <f t="shared" ref="C41:O41" si="1">C38+C37+C36</f>
        <v>1307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19704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144954</v>
      </c>
      <c r="O41" s="22">
        <f t="shared" si="1"/>
        <v>170487</v>
      </c>
      <c r="P41" s="17">
        <f>O41/O$39</f>
        <v>0.29310421895952965</v>
      </c>
      <c r="Q41" s="17" t="s">
        <v>51</v>
      </c>
      <c r="R41" s="7"/>
      <c r="S41" s="7" t="s">
        <v>52</v>
      </c>
      <c r="T41" s="20">
        <f>O33/1000</f>
        <v>34.118000000000002</v>
      </c>
      <c r="U41" s="13">
        <f>P33</f>
        <v>5.8656259670597941E-2</v>
      </c>
    </row>
    <row r="42" spans="1:48" ht="16" x14ac:dyDescent="0.2">
      <c r="A42" s="23" t="s">
        <v>53</v>
      </c>
      <c r="B42" s="22"/>
      <c r="C42" s="24">
        <f>C39+C23+C10</f>
        <v>261621</v>
      </c>
      <c r="D42" s="24">
        <f t="shared" ref="D42:M42" si="2">D39+D23+D10</f>
        <v>0</v>
      </c>
      <c r="E42" s="24">
        <f t="shared" si="2"/>
        <v>0</v>
      </c>
      <c r="F42" s="24">
        <f t="shared" si="2"/>
        <v>17866</v>
      </c>
      <c r="G42" s="24">
        <f t="shared" si="2"/>
        <v>24404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302601.96000000002</v>
      </c>
      <c r="O42" s="25">
        <f>SUM(C42:N42)</f>
        <v>606492.96</v>
      </c>
      <c r="P42" s="7"/>
      <c r="Q42" s="7"/>
      <c r="R42" s="7"/>
      <c r="S42" s="7" t="s">
        <v>34</v>
      </c>
      <c r="T42" s="20">
        <f>O31/1000</f>
        <v>50.83</v>
      </c>
      <c r="U42" s="13">
        <f>P31</f>
        <v>8.7387821063851734E-2</v>
      </c>
    </row>
    <row r="43" spans="1:48" ht="16" x14ac:dyDescent="0.2">
      <c r="A43" s="23" t="s">
        <v>54</v>
      </c>
      <c r="B43" s="22"/>
      <c r="C43" s="17">
        <f t="shared" ref="C43:N43" si="3">C42/$O42</f>
        <v>0.43136691974132729</v>
      </c>
      <c r="D43" s="17">
        <f t="shared" si="3"/>
        <v>0</v>
      </c>
      <c r="E43" s="17">
        <f t="shared" si="3"/>
        <v>0</v>
      </c>
      <c r="F43" s="17">
        <f t="shared" si="3"/>
        <v>2.9457885216013061E-2</v>
      </c>
      <c r="G43" s="17">
        <f t="shared" si="3"/>
        <v>4.0237894929563568E-2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0.49893730011309617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16.931000000000001</v>
      </c>
      <c r="U43" s="14">
        <f>P32</f>
        <v>2.9108070006533027E-2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248.42099999999999</v>
      </c>
      <c r="U44" s="14">
        <f>P34</f>
        <v>0.42708970876457036</v>
      </c>
    </row>
    <row r="45" spans="1:48" ht="16" x14ac:dyDescent="0.2">
      <c r="A45" s="6" t="s">
        <v>57</v>
      </c>
      <c r="B45" s="6">
        <f>B23+B25-B39</f>
        <v>1617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22414.959999999999</v>
      </c>
      <c r="O45" s="25">
        <f>B45+N45</f>
        <v>24031.96</v>
      </c>
      <c r="P45" s="7"/>
      <c r="Q45" s="7"/>
      <c r="R45" s="7"/>
      <c r="S45" s="7" t="s">
        <v>58</v>
      </c>
      <c r="T45" s="20">
        <f>SUM(T39:T44)</f>
        <v>581.66</v>
      </c>
      <c r="U45" s="13">
        <f>SUM(U39:U44)</f>
        <v>1</v>
      </c>
    </row>
    <row r="46" spans="1:48" ht="16" x14ac:dyDescent="0.2">
      <c r="A46" s="6" t="s">
        <v>93</v>
      </c>
      <c r="B46" s="74">
        <f>B45/B23</f>
        <v>0.24876923076923077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1"/>
      <c r="E47" s="40"/>
      <c r="F47" s="38"/>
      <c r="G47" s="41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0"/>
      <c r="G48" s="41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21" ht="16" x14ac:dyDescent="0.2">
      <c r="A49" s="23"/>
      <c r="B49" s="7"/>
      <c r="C49" s="28"/>
      <c r="D49" s="28"/>
      <c r="E49" s="28"/>
      <c r="F49" s="28"/>
      <c r="G49" s="28"/>
      <c r="H49" s="28"/>
      <c r="I49" s="28"/>
      <c r="J49" s="28"/>
      <c r="K49" s="28"/>
      <c r="L49" s="6"/>
      <c r="M49" s="6"/>
      <c r="N49" s="29"/>
      <c r="O49" s="7"/>
      <c r="P49" s="6"/>
      <c r="Q49" s="13"/>
      <c r="R49" s="7"/>
      <c r="S49" s="7"/>
      <c r="T49" s="6"/>
      <c r="U49" s="30"/>
    </row>
    <row r="50" spans="1:21" ht="16" x14ac:dyDescent="0.2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6"/>
      <c r="M50" s="6"/>
      <c r="N50" s="29"/>
      <c r="O50" s="7"/>
      <c r="P50" s="6"/>
      <c r="Q50" s="13"/>
      <c r="R50" s="7"/>
      <c r="S50" s="7"/>
      <c r="T50" s="31"/>
      <c r="U50" s="32"/>
    </row>
    <row r="51" spans="1:21" x14ac:dyDescent="0.2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6"/>
    </row>
    <row r="52" spans="1:21" x14ac:dyDescent="0.2">
      <c r="A52" s="7"/>
      <c r="B52" s="33"/>
      <c r="C52" s="33"/>
      <c r="D52" s="33"/>
      <c r="E52" s="33"/>
      <c r="F52" s="33"/>
      <c r="G52" s="33"/>
      <c r="H52" s="33"/>
      <c r="I52" s="33"/>
      <c r="J52" s="7"/>
      <c r="K52" s="7"/>
      <c r="L52" s="7"/>
      <c r="M52" s="7"/>
      <c r="N52" s="7"/>
      <c r="O52" s="7"/>
      <c r="P52" s="7"/>
      <c r="Q52" s="7"/>
      <c r="R52" s="7"/>
      <c r="S52" s="7"/>
      <c r="T52" s="33"/>
      <c r="U52" s="34"/>
    </row>
    <row r="53" spans="1:21" ht="16" x14ac:dyDescent="0.2">
      <c r="A53" s="7"/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7"/>
      <c r="N53" s="7"/>
      <c r="O53" s="7"/>
      <c r="P53" s="6"/>
      <c r="Q53" s="29"/>
      <c r="R53" s="7"/>
      <c r="S53" s="7"/>
      <c r="T53" s="6"/>
      <c r="U53" s="30"/>
    </row>
    <row r="54" spans="1:21" ht="16" x14ac:dyDescent="0.2">
      <c r="A54" s="7"/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7"/>
      <c r="N54" s="7"/>
      <c r="O54" s="7"/>
      <c r="P54" s="6"/>
      <c r="Q54" s="29"/>
      <c r="R54" s="7"/>
      <c r="S54" s="7"/>
      <c r="T54" s="6"/>
      <c r="U54" s="30"/>
    </row>
    <row r="55" spans="1:21" ht="16" x14ac:dyDescent="0.2">
      <c r="A55" s="7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  <c r="N55" s="7"/>
      <c r="O55" s="7"/>
      <c r="P55" s="6"/>
      <c r="Q55" s="29"/>
      <c r="R55" s="7"/>
      <c r="S55" s="7"/>
      <c r="T55" s="6"/>
      <c r="U55" s="30"/>
    </row>
    <row r="56" spans="1:21" ht="16" x14ac:dyDescent="0.2">
      <c r="A56" s="7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  <c r="N56" s="7"/>
      <c r="O56" s="7"/>
      <c r="P56" s="6"/>
      <c r="Q56" s="29"/>
      <c r="R56" s="7"/>
      <c r="S56" s="7"/>
      <c r="T56" s="6"/>
      <c r="U56" s="30"/>
    </row>
    <row r="57" spans="1:21" ht="16" x14ac:dyDescent="0.2">
      <c r="A57" s="7"/>
      <c r="B57" s="6"/>
      <c r="C57" s="6"/>
      <c r="D57" s="6"/>
      <c r="E57" s="6"/>
      <c r="F57" s="6"/>
      <c r="G57" s="6"/>
      <c r="H57" s="6"/>
      <c r="I57" s="6"/>
      <c r="J57" s="7"/>
      <c r="K57" s="7"/>
      <c r="L57" s="7"/>
      <c r="M57" s="7"/>
      <c r="N57" s="7"/>
      <c r="O57" s="7"/>
      <c r="P57" s="6"/>
      <c r="Q57" s="29"/>
      <c r="R57" s="7"/>
      <c r="S57" s="7"/>
      <c r="T57" s="6"/>
      <c r="U57" s="30"/>
    </row>
    <row r="58" spans="1:21" ht="16" x14ac:dyDescent="0.2">
      <c r="A58" s="7"/>
      <c r="B58" s="6"/>
      <c r="C58" s="6"/>
      <c r="D58" s="6"/>
      <c r="E58" s="6"/>
      <c r="F58" s="6"/>
      <c r="G58" s="6"/>
      <c r="H58" s="6"/>
      <c r="I58" s="6"/>
      <c r="J58" s="7"/>
      <c r="K58" s="7"/>
      <c r="L58" s="7"/>
      <c r="M58" s="7"/>
      <c r="N58" s="7"/>
      <c r="O58" s="7"/>
      <c r="P58" s="6"/>
      <c r="Q58" s="29"/>
      <c r="R58" s="7"/>
      <c r="S58" s="7"/>
      <c r="T58" s="6"/>
      <c r="U58" s="30"/>
    </row>
    <row r="59" spans="1:21" ht="16" x14ac:dyDescent="0.2">
      <c r="A59" s="7"/>
      <c r="B59" s="31"/>
      <c r="C59" s="31"/>
      <c r="D59" s="31"/>
      <c r="E59" s="31"/>
      <c r="F59" s="31"/>
      <c r="G59" s="31"/>
      <c r="H59" s="31"/>
      <c r="I59" s="31"/>
      <c r="J59" s="7"/>
      <c r="K59" s="7"/>
      <c r="L59" s="7"/>
      <c r="M59" s="7"/>
      <c r="N59" s="7"/>
      <c r="O59" s="7"/>
      <c r="P59" s="31"/>
      <c r="Q59" s="35"/>
      <c r="R59" s="7"/>
      <c r="S59" s="36"/>
      <c r="T59" s="31"/>
      <c r="U59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8" enableFormatConditionsCalculation="0"/>
  <dimension ref="A1:AV51"/>
  <sheetViews>
    <sheetView topLeftCell="E18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11" width="8.83203125" style="2"/>
    <col min="12" max="12" width="6.5" style="2" customWidth="1"/>
    <col min="13" max="13" width="5.33203125" style="2" customWidth="1"/>
    <col min="14" max="14" width="8.83203125" style="2"/>
    <col min="15" max="15" width="9.332031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64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762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762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64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 t="s">
        <v>88</v>
      </c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79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8">
        <v>7051</v>
      </c>
      <c r="C18" s="64">
        <v>20</v>
      </c>
      <c r="D18" s="8">
        <v>0</v>
      </c>
      <c r="E18" s="8">
        <v>0</v>
      </c>
      <c r="F18" s="8">
        <v>1848</v>
      </c>
      <c r="G18" s="8">
        <v>0</v>
      </c>
      <c r="H18" s="8">
        <v>7603</v>
      </c>
      <c r="I18" s="8"/>
      <c r="J18" s="8"/>
      <c r="K18" s="8"/>
      <c r="L18" s="8"/>
      <c r="M18" s="8"/>
      <c r="N18" s="8"/>
      <c r="O18" s="79">
        <v>9471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79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79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79">
        <v>0</v>
      </c>
      <c r="P21" s="79"/>
      <c r="Q21" s="3"/>
      <c r="R21" s="3"/>
      <c r="S21" s="3" t="s">
        <v>26</v>
      </c>
      <c r="T21" s="11">
        <f>O42/1000</f>
        <v>1737.5147434071303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79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8">
        <v>7051</v>
      </c>
      <c r="C23" s="64">
        <v>20</v>
      </c>
      <c r="D23" s="8">
        <v>0</v>
      </c>
      <c r="E23" s="8">
        <v>0</v>
      </c>
      <c r="F23" s="8">
        <v>1848</v>
      </c>
      <c r="G23" s="8">
        <v>0</v>
      </c>
      <c r="H23" s="8">
        <v>7603</v>
      </c>
      <c r="I23" s="8"/>
      <c r="J23" s="8"/>
      <c r="K23" s="8"/>
      <c r="L23" s="8"/>
      <c r="M23" s="8"/>
      <c r="N23" s="8"/>
      <c r="O23" s="79">
        <v>9471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808.21692000000007</v>
      </c>
      <c r="U24" s="13">
        <f>N43</f>
        <v>0.46515687021748664</v>
      </c>
    </row>
    <row r="25" spans="1:21" ht="16" x14ac:dyDescent="0.2">
      <c r="A25" s="5" t="s">
        <v>86</v>
      </c>
      <c r="B25" s="92">
        <v>483890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25.154</v>
      </c>
      <c r="U25" s="14">
        <f>G43</f>
        <v>1.4476999458821844E-2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63.911999999999999</v>
      </c>
      <c r="U27" s="13">
        <f>F43</f>
        <v>3.678357276823653E-2</v>
      </c>
    </row>
    <row r="28" spans="1:21" ht="15.75" x14ac:dyDescent="0.25">
      <c r="A28" s="37" t="s">
        <v>64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40.890823407130235</v>
      </c>
      <c r="U28" s="13">
        <f>E43</f>
        <v>2.3534087156547825E-2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539</v>
      </c>
      <c r="D31" s="8">
        <v>0</v>
      </c>
      <c r="E31" s="8">
        <v>0</v>
      </c>
      <c r="F31" s="8">
        <v>51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764</v>
      </c>
      <c r="O31" s="8">
        <v>1354</v>
      </c>
      <c r="P31" s="17">
        <f>O31/O$39</f>
        <v>6.357816931862961E-4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52379</v>
      </c>
      <c r="C32" s="8">
        <v>2713</v>
      </c>
      <c r="D32" s="8">
        <v>0</v>
      </c>
      <c r="E32" s="61">
        <v>40890.823407130236</v>
      </c>
      <c r="F32" s="8">
        <v>0</v>
      </c>
      <c r="G32" s="8">
        <v>6</v>
      </c>
      <c r="H32" s="8">
        <v>0</v>
      </c>
      <c r="I32" s="8"/>
      <c r="J32" s="8"/>
      <c r="K32" s="8"/>
      <c r="L32" s="8"/>
      <c r="M32" s="27"/>
      <c r="N32" s="61">
        <v>49001</v>
      </c>
      <c r="O32" s="61">
        <f>SUM(B32:N32)</f>
        <v>144989.82340713023</v>
      </c>
      <c r="P32" s="17">
        <f>O32/O$39</f>
        <v>6.8081148759650906E-2</v>
      </c>
      <c r="Q32" s="18" t="s">
        <v>37</v>
      </c>
      <c r="R32" s="3"/>
      <c r="S32" s="3" t="s">
        <v>6</v>
      </c>
      <c r="T32" s="12">
        <f>H42/1000</f>
        <v>7.6029999999999998</v>
      </c>
      <c r="U32" s="13">
        <f>H43</f>
        <v>4.3757902077372381E-3</v>
      </c>
    </row>
    <row r="33" spans="1:48" ht="15.75" x14ac:dyDescent="0.25">
      <c r="A33" s="4" t="s">
        <v>38</v>
      </c>
      <c r="B33" s="8">
        <v>99974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74951</v>
      </c>
      <c r="O33" s="8">
        <v>174925</v>
      </c>
      <c r="P33" s="17">
        <f>O33/O$39</f>
        <v>8.2137453973864724E-2</v>
      </c>
      <c r="Q33" s="18" t="s">
        <v>39</v>
      </c>
      <c r="R33" s="3"/>
      <c r="S33" s="3" t="s">
        <v>35</v>
      </c>
      <c r="T33" s="12">
        <f>C42/1000</f>
        <v>791.73800000000006</v>
      </c>
      <c r="U33" s="14">
        <f>C43</f>
        <v>0.45567268019116997</v>
      </c>
    </row>
    <row r="34" spans="1:48" ht="15.75" x14ac:dyDescent="0.25">
      <c r="A34" s="4" t="s">
        <v>40</v>
      </c>
      <c r="B34" s="8">
        <v>0</v>
      </c>
      <c r="C34" s="8">
        <v>783066</v>
      </c>
      <c r="D34" s="8">
        <v>0</v>
      </c>
      <c r="E34" s="8">
        <v>0</v>
      </c>
      <c r="F34" s="8">
        <v>62014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2071</v>
      </c>
      <c r="O34" s="8">
        <v>847151</v>
      </c>
      <c r="P34" s="17">
        <f>O34/O$39</f>
        <v>0.39778663010669418</v>
      </c>
      <c r="Q34" s="18" t="s">
        <v>41</v>
      </c>
      <c r="R34" s="3"/>
      <c r="S34" s="3"/>
      <c r="T34" s="12">
        <f>SUM(T24:T33)</f>
        <v>1737.5147434071305</v>
      </c>
      <c r="U34" s="13">
        <f>SUM(U24:U33)</f>
        <v>1</v>
      </c>
    </row>
    <row r="35" spans="1:48" ht="16" x14ac:dyDescent="0.2">
      <c r="A35" s="4" t="s">
        <v>42</v>
      </c>
      <c r="B35" s="8">
        <v>31415</v>
      </c>
      <c r="C35" s="8">
        <v>2932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271766</v>
      </c>
      <c r="O35" s="8">
        <v>306113</v>
      </c>
      <c r="P35" s="17">
        <f>O35/O$39</f>
        <v>0.14373784449507876</v>
      </c>
      <c r="Q35" s="18" t="s">
        <v>43</v>
      </c>
      <c r="R35" s="18"/>
    </row>
    <row r="36" spans="1:48" ht="16" x14ac:dyDescent="0.2">
      <c r="A36" s="4" t="s">
        <v>44</v>
      </c>
      <c r="B36" s="8">
        <v>46399</v>
      </c>
      <c r="C36" s="8">
        <v>2140</v>
      </c>
      <c r="D36" s="8">
        <v>0</v>
      </c>
      <c r="E36" s="8">
        <v>0</v>
      </c>
      <c r="F36" s="8">
        <v>0</v>
      </c>
      <c r="G36" s="8">
        <v>25148</v>
      </c>
      <c r="H36" s="8">
        <v>0</v>
      </c>
      <c r="I36" s="8"/>
      <c r="J36" s="8"/>
      <c r="K36" s="8"/>
      <c r="L36" s="8"/>
      <c r="M36" s="27"/>
      <c r="N36" s="8">
        <v>291117</v>
      </c>
      <c r="O36" s="8">
        <v>364804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231318</v>
      </c>
      <c r="C37" s="8">
        <v>328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40187</v>
      </c>
      <c r="O37" s="8">
        <v>271833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18492</v>
      </c>
      <c r="O38" s="8">
        <v>18492</v>
      </c>
      <c r="P38" s="18">
        <f>SUM(P31:P35)</f>
        <v>0.69237885902847485</v>
      </c>
      <c r="Q38" s="18"/>
      <c r="R38" s="3"/>
      <c r="S38" s="7" t="s">
        <v>47</v>
      </c>
      <c r="T38" s="19">
        <f>O45/1000</f>
        <v>89.323920000000001</v>
      </c>
      <c r="U38" s="7"/>
    </row>
    <row r="39" spans="1:48" ht="16" x14ac:dyDescent="0.2">
      <c r="A39" s="4" t="s">
        <v>16</v>
      </c>
      <c r="B39" s="8">
        <v>461485</v>
      </c>
      <c r="C39" s="8">
        <v>791718</v>
      </c>
      <c r="D39" s="8">
        <v>0</v>
      </c>
      <c r="E39" s="61">
        <f>E32</f>
        <v>40890.823407130236</v>
      </c>
      <c r="F39" s="8">
        <v>62064</v>
      </c>
      <c r="G39" s="8">
        <v>25154</v>
      </c>
      <c r="H39" s="8">
        <v>0</v>
      </c>
      <c r="I39" s="8"/>
      <c r="J39" s="8"/>
      <c r="K39" s="8"/>
      <c r="L39" s="8"/>
      <c r="M39" s="27"/>
      <c r="N39" s="61">
        <f>SUM(N31:N38)</f>
        <v>748349</v>
      </c>
      <c r="O39" s="61">
        <f>SUM(O31:O38)</f>
        <v>2129661.8234071303</v>
      </c>
      <c r="P39" s="3"/>
      <c r="Q39" s="3"/>
      <c r="R39" s="3"/>
      <c r="S39" s="7" t="s">
        <v>48</v>
      </c>
      <c r="T39" s="20">
        <f>O41/1000</f>
        <v>655.12900000000002</v>
      </c>
      <c r="U39" s="13">
        <f>P41</f>
        <v>0.3076211409715251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306.113</v>
      </c>
      <c r="U40" s="14">
        <f>P35</f>
        <v>0.14373784449507876</v>
      </c>
    </row>
    <row r="41" spans="1:48" ht="16" x14ac:dyDescent="0.2">
      <c r="A41" s="21" t="s">
        <v>50</v>
      </c>
      <c r="B41" s="22">
        <f>B38+B37+B36</f>
        <v>277717</v>
      </c>
      <c r="C41" s="22">
        <f t="shared" ref="C41:O41" si="0">C38+C37+C36</f>
        <v>2468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25148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si="0"/>
        <v>0</v>
      </c>
      <c r="N41" s="22">
        <f t="shared" si="0"/>
        <v>349796</v>
      </c>
      <c r="O41" s="22">
        <f t="shared" si="0"/>
        <v>655129</v>
      </c>
      <c r="P41" s="17">
        <f>O41/O$39</f>
        <v>0.3076211409715251</v>
      </c>
      <c r="Q41" s="17" t="s">
        <v>51</v>
      </c>
      <c r="R41" s="7"/>
      <c r="S41" s="7" t="s">
        <v>52</v>
      </c>
      <c r="T41" s="20">
        <f>O33/1000</f>
        <v>174.92500000000001</v>
      </c>
      <c r="U41" s="13">
        <f>P33</f>
        <v>8.2137453973864724E-2</v>
      </c>
    </row>
    <row r="42" spans="1:48" ht="16" x14ac:dyDescent="0.2">
      <c r="A42" s="23" t="s">
        <v>53</v>
      </c>
      <c r="B42" s="22"/>
      <c r="C42" s="24">
        <f>C39+C23+C10</f>
        <v>791738</v>
      </c>
      <c r="D42" s="24">
        <f t="shared" ref="D42:M42" si="1">D39+D23+D10</f>
        <v>0</v>
      </c>
      <c r="E42" s="24">
        <f t="shared" si="1"/>
        <v>40890.823407130236</v>
      </c>
      <c r="F42" s="24">
        <f t="shared" si="1"/>
        <v>63912</v>
      </c>
      <c r="G42" s="24">
        <f t="shared" si="1"/>
        <v>25154</v>
      </c>
      <c r="H42" s="24">
        <f t="shared" si="1"/>
        <v>7603</v>
      </c>
      <c r="I42" s="24">
        <f t="shared" si="1"/>
        <v>0</v>
      </c>
      <c r="J42" s="24">
        <f t="shared" si="1"/>
        <v>0</v>
      </c>
      <c r="K42" s="24">
        <f t="shared" si="1"/>
        <v>0</v>
      </c>
      <c r="L42" s="24">
        <f t="shared" si="1"/>
        <v>0</v>
      </c>
      <c r="M42" s="24">
        <f t="shared" si="1"/>
        <v>0</v>
      </c>
      <c r="N42" s="24">
        <f>N39+N23-B6+N45</f>
        <v>808216.92</v>
      </c>
      <c r="O42" s="25">
        <f>SUM(C42:N42)</f>
        <v>1737514.7434071302</v>
      </c>
      <c r="P42" s="7"/>
      <c r="Q42" s="7"/>
      <c r="R42" s="7"/>
      <c r="S42" s="7" t="s">
        <v>34</v>
      </c>
      <c r="T42" s="20">
        <f>O31/1000</f>
        <v>1.3540000000000001</v>
      </c>
      <c r="U42" s="13">
        <f>P31</f>
        <v>6.357816931862961E-4</v>
      </c>
    </row>
    <row r="43" spans="1:48" ht="16" x14ac:dyDescent="0.2">
      <c r="A43" s="23" t="s">
        <v>54</v>
      </c>
      <c r="B43" s="22"/>
      <c r="C43" s="17">
        <f t="shared" ref="C43:N43" si="2">C42/$O42</f>
        <v>0.45567268019116997</v>
      </c>
      <c r="D43" s="17">
        <f t="shared" si="2"/>
        <v>0</v>
      </c>
      <c r="E43" s="17">
        <f t="shared" si="2"/>
        <v>2.3534087156547825E-2</v>
      </c>
      <c r="F43" s="17">
        <f t="shared" si="2"/>
        <v>3.678357276823653E-2</v>
      </c>
      <c r="G43" s="17">
        <f t="shared" si="2"/>
        <v>1.4476999458821844E-2</v>
      </c>
      <c r="H43" s="17">
        <f t="shared" si="2"/>
        <v>4.3757902077372381E-3</v>
      </c>
      <c r="I43" s="17">
        <f t="shared" si="2"/>
        <v>0</v>
      </c>
      <c r="J43" s="17">
        <f t="shared" si="2"/>
        <v>0</v>
      </c>
      <c r="K43" s="17">
        <f t="shared" si="2"/>
        <v>0</v>
      </c>
      <c r="L43" s="17">
        <f t="shared" si="2"/>
        <v>0</v>
      </c>
      <c r="M43" s="17">
        <f t="shared" si="2"/>
        <v>0</v>
      </c>
      <c r="N43" s="17">
        <f t="shared" si="2"/>
        <v>0.46515687021748664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144.98982340713022</v>
      </c>
      <c r="U43" s="14">
        <f>P32</f>
        <v>6.8081148759650906E-2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847.15099999999995</v>
      </c>
      <c r="U44" s="14">
        <f>P34</f>
        <v>0.39778663010669418</v>
      </c>
    </row>
    <row r="45" spans="1:48" ht="16" x14ac:dyDescent="0.2">
      <c r="A45" s="6" t="s">
        <v>57</v>
      </c>
      <c r="B45" s="6">
        <f>B23+B25-B39</f>
        <v>29456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59867.92</v>
      </c>
      <c r="O45" s="25">
        <f>B45+N45</f>
        <v>89323.92</v>
      </c>
      <c r="P45" s="7"/>
      <c r="Q45" s="7"/>
      <c r="R45" s="7"/>
      <c r="S45" s="7" t="s">
        <v>58</v>
      </c>
      <c r="T45" s="20">
        <f>SUM(T39:T44)</f>
        <v>2129.6618234071302</v>
      </c>
      <c r="U45" s="13">
        <f>SUM(U39:U44)</f>
        <v>1</v>
      </c>
    </row>
    <row r="46" spans="1:48" ht="16" x14ac:dyDescent="0.2">
      <c r="A46" s="6" t="s">
        <v>93</v>
      </c>
      <c r="B46" s="74">
        <f>B45/(B23+B25)</f>
        <v>5.9999063023866414E-2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ht="16" x14ac:dyDescent="0.2">
      <c r="A47" s="40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40"/>
      <c r="R47" s="40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ht="16" x14ac:dyDescent="0.2">
      <c r="A48" s="7"/>
      <c r="B48" s="6"/>
      <c r="C48" s="6"/>
      <c r="D48" s="6"/>
      <c r="E48" s="6"/>
      <c r="F48" s="6"/>
      <c r="G48" s="6"/>
      <c r="H48" s="6"/>
      <c r="I48" s="6"/>
      <c r="J48" s="7"/>
      <c r="K48" s="7"/>
      <c r="L48" s="7"/>
      <c r="M48" s="7"/>
      <c r="N48" s="7"/>
      <c r="O48" s="7"/>
      <c r="P48" s="6"/>
      <c r="Q48" s="29"/>
      <c r="R48" s="7"/>
      <c r="S48" s="7"/>
      <c r="T48" s="6"/>
      <c r="U48" s="30"/>
    </row>
    <row r="49" spans="1:21" ht="16" x14ac:dyDescent="0.2">
      <c r="A49" s="7"/>
      <c r="B49" s="6"/>
      <c r="C49" s="6"/>
      <c r="D49" s="6"/>
      <c r="E49" s="6"/>
      <c r="F49" s="6"/>
      <c r="G49" s="6"/>
      <c r="H49" s="6"/>
      <c r="I49" s="6"/>
      <c r="J49" s="7"/>
      <c r="K49" s="7"/>
      <c r="L49" s="7"/>
      <c r="M49" s="7"/>
      <c r="N49" s="7"/>
      <c r="O49" s="7"/>
      <c r="P49" s="6"/>
      <c r="Q49" s="29"/>
      <c r="R49" s="7"/>
      <c r="S49" s="7"/>
      <c r="T49" s="6"/>
      <c r="U49" s="30"/>
    </row>
    <row r="50" spans="1:21" ht="16" x14ac:dyDescent="0.2">
      <c r="A50" s="7"/>
      <c r="B50" s="6"/>
      <c r="C50" s="6"/>
      <c r="D50" s="6"/>
      <c r="E50" s="6"/>
      <c r="F50" s="6"/>
      <c r="G50" s="6"/>
      <c r="H50" s="6"/>
      <c r="I50" s="6"/>
      <c r="J50" s="7"/>
      <c r="K50" s="7"/>
      <c r="L50" s="7"/>
      <c r="M50" s="7"/>
      <c r="N50" s="7"/>
      <c r="O50" s="7"/>
      <c r="P50" s="6"/>
      <c r="Q50" s="29"/>
      <c r="R50" s="7"/>
      <c r="S50" s="7"/>
      <c r="T50" s="6"/>
      <c r="U50" s="30"/>
    </row>
    <row r="51" spans="1:21" ht="16" x14ac:dyDescent="0.2">
      <c r="A51" s="7"/>
      <c r="B51" s="31"/>
      <c r="C51" s="31"/>
      <c r="D51" s="31"/>
      <c r="E51" s="31"/>
      <c r="F51" s="31"/>
      <c r="G51" s="31"/>
      <c r="H51" s="31"/>
      <c r="I51" s="31"/>
      <c r="J51" s="7"/>
      <c r="K51" s="7"/>
      <c r="L51" s="7"/>
      <c r="M51" s="7"/>
      <c r="N51" s="7"/>
      <c r="O51" s="7"/>
      <c r="P51" s="31"/>
      <c r="Q51" s="35"/>
      <c r="R51" s="7"/>
      <c r="S51" s="36"/>
      <c r="T51" s="31"/>
      <c r="U51" s="35"/>
    </row>
  </sheetData>
  <pageMargins left="0.75" right="0.75" top="0.75" bottom="0.5" header="0.5" footer="0.75"/>
  <pageSetup paperSize="9" orientation="portrait" horizontalDpi="4294967292" verticalDpi="4294967292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9" enableFormatConditionsCalculation="0"/>
  <dimension ref="A1:AV57"/>
  <sheetViews>
    <sheetView topLeftCell="A11" workbookViewId="0">
      <selection activeCell="F44" sqref="F44"/>
    </sheetView>
  </sheetViews>
  <sheetFormatPr baseColWidth="10" defaultColWidth="8.83203125" defaultRowHeight="15" x14ac:dyDescent="0.2"/>
  <cols>
    <col min="1" max="1" width="22.5" style="2" customWidth="1"/>
    <col min="2" max="2" width="12" style="2" customWidth="1"/>
    <col min="3" max="3" width="13.83203125" style="2" customWidth="1"/>
    <col min="4" max="6" width="8.83203125" style="2"/>
    <col min="7" max="7" width="10.5" style="2" customWidth="1"/>
    <col min="8" max="11" width="8.83203125" style="2"/>
    <col min="12" max="13" width="5.33203125" style="2" customWidth="1"/>
    <col min="14" max="14" width="10.5" style="2" customWidth="1"/>
    <col min="15" max="15" width="11.6640625" style="2" customWidth="1"/>
    <col min="16" max="16384" width="8.83203125" style="2"/>
  </cols>
  <sheetData>
    <row r="1" spans="1:35" ht="19" x14ac:dyDescent="0.25">
      <c r="A1" s="1" t="s">
        <v>0</v>
      </c>
      <c r="P1" s="3"/>
      <c r="Q1" s="3"/>
      <c r="R1" s="3"/>
      <c r="S1" s="3"/>
      <c r="T1" s="3"/>
      <c r="U1" s="3"/>
    </row>
    <row r="2" spans="1:35" ht="15.75" x14ac:dyDescent="0.25">
      <c r="A2" s="4" t="s">
        <v>65</v>
      </c>
      <c r="Q2" s="27"/>
      <c r="R2" s="4"/>
      <c r="AH2" s="27"/>
      <c r="AI2" s="4"/>
    </row>
    <row r="3" spans="1:35" ht="16" x14ac:dyDescent="0.2">
      <c r="A3" s="5">
        <v>2015</v>
      </c>
      <c r="B3" s="6" t="s">
        <v>2</v>
      </c>
      <c r="C3" s="6" t="s">
        <v>35</v>
      </c>
      <c r="D3" s="6" t="s">
        <v>3</v>
      </c>
      <c r="E3" s="6" t="s">
        <v>4</v>
      </c>
      <c r="F3" s="6" t="s">
        <v>19</v>
      </c>
      <c r="G3" s="6" t="s">
        <v>84</v>
      </c>
      <c r="H3" s="6" t="s">
        <v>6</v>
      </c>
      <c r="I3" s="6" t="s">
        <v>5</v>
      </c>
      <c r="J3" s="6" t="s">
        <v>7</v>
      </c>
      <c r="K3" s="6" t="s">
        <v>8</v>
      </c>
      <c r="L3" s="6"/>
      <c r="M3" s="6"/>
      <c r="N3" s="6"/>
      <c r="O3" s="7" t="s">
        <v>11</v>
      </c>
      <c r="Q3" s="27"/>
      <c r="R3" s="27"/>
      <c r="AH3" s="27"/>
      <c r="AI3" s="27"/>
    </row>
    <row r="4" spans="1:35" ht="15.75" x14ac:dyDescent="0.25">
      <c r="A4" s="4" t="s">
        <v>95</v>
      </c>
      <c r="B4" s="54">
        <v>175</v>
      </c>
      <c r="Q4" s="27"/>
      <c r="R4" s="27"/>
      <c r="AH4" s="27"/>
      <c r="AI4" s="27"/>
    </row>
    <row r="5" spans="1:35" ht="15.75" x14ac:dyDescent="0.25">
      <c r="A5" s="27"/>
      <c r="Q5" s="27"/>
      <c r="R5" s="27"/>
      <c r="AH5" s="27"/>
      <c r="AI5" s="27"/>
    </row>
    <row r="6" spans="1:35" ht="16" x14ac:dyDescent="0.2">
      <c r="A6" s="4" t="s">
        <v>12</v>
      </c>
      <c r="B6" s="8">
        <v>0</v>
      </c>
      <c r="C6" s="8">
        <v>0</v>
      </c>
      <c r="D6" s="8">
        <v>0</v>
      </c>
      <c r="E6" s="8">
        <v>0</v>
      </c>
      <c r="F6" s="8">
        <v>0</v>
      </c>
      <c r="G6" s="8">
        <v>0</v>
      </c>
      <c r="H6" s="8">
        <v>0</v>
      </c>
      <c r="I6" s="8"/>
      <c r="J6" s="8"/>
      <c r="K6" s="8"/>
      <c r="L6" s="8"/>
      <c r="M6" s="8"/>
      <c r="N6" s="8"/>
      <c r="O6" s="8">
        <v>0</v>
      </c>
      <c r="Q6" s="27"/>
      <c r="R6" s="27"/>
      <c r="S6" s="4"/>
      <c r="AH6" s="27"/>
      <c r="AI6" s="27"/>
    </row>
    <row r="7" spans="1:35" ht="16" x14ac:dyDescent="0.2">
      <c r="A7" s="4" t="s">
        <v>13</v>
      </c>
      <c r="B7" s="8">
        <v>0</v>
      </c>
      <c r="C7" s="8">
        <v>0</v>
      </c>
      <c r="D7" s="8">
        <v>0</v>
      </c>
      <c r="E7" s="8">
        <v>0</v>
      </c>
      <c r="F7" s="8">
        <v>0</v>
      </c>
      <c r="G7" s="8">
        <v>0</v>
      </c>
      <c r="H7" s="8">
        <v>0</v>
      </c>
      <c r="I7" s="8"/>
      <c r="J7" s="8"/>
      <c r="K7" s="8"/>
      <c r="L7" s="8"/>
      <c r="M7" s="8"/>
      <c r="N7" s="8"/>
      <c r="O7" s="8">
        <v>0</v>
      </c>
      <c r="P7" s="8"/>
      <c r="Q7" s="27"/>
      <c r="R7" s="4"/>
      <c r="S7" s="91"/>
      <c r="AH7" s="27"/>
      <c r="AI7" s="27"/>
    </row>
    <row r="8" spans="1:35" ht="15.75" x14ac:dyDescent="0.25">
      <c r="A8" s="4" t="s">
        <v>14</v>
      </c>
      <c r="B8" s="8">
        <v>0</v>
      </c>
      <c r="C8" s="8">
        <v>0</v>
      </c>
      <c r="D8" s="8">
        <v>0</v>
      </c>
      <c r="E8" s="8">
        <v>0</v>
      </c>
      <c r="F8" s="8">
        <v>0</v>
      </c>
      <c r="G8" s="8">
        <v>0</v>
      </c>
      <c r="H8" s="8">
        <v>0</v>
      </c>
      <c r="I8" s="8"/>
      <c r="J8" s="8"/>
      <c r="K8" s="8"/>
      <c r="L8" s="8"/>
      <c r="M8" s="8"/>
      <c r="N8" s="8"/>
      <c r="O8" s="8">
        <v>0</v>
      </c>
      <c r="P8" s="8"/>
      <c r="Q8" s="27"/>
      <c r="R8" s="4"/>
      <c r="S8" s="91"/>
      <c r="AH8" s="27"/>
      <c r="AI8" s="27"/>
    </row>
    <row r="9" spans="1:35" ht="15.75" x14ac:dyDescent="0.25">
      <c r="A9" s="4" t="s">
        <v>15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/>
      <c r="J9" s="8"/>
      <c r="K9" s="8"/>
      <c r="L9" s="8"/>
      <c r="M9" s="8"/>
      <c r="N9" s="8"/>
      <c r="O9" s="8">
        <v>0</v>
      </c>
      <c r="P9" s="8"/>
      <c r="Q9" s="27"/>
      <c r="R9" s="4"/>
      <c r="S9" s="91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27"/>
      <c r="AI9" s="27"/>
    </row>
    <row r="10" spans="1:35" ht="16" x14ac:dyDescent="0.2">
      <c r="A10" s="4" t="s">
        <v>16</v>
      </c>
      <c r="B10" s="54">
        <v>175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/>
      <c r="J10" s="8"/>
      <c r="K10" s="8"/>
      <c r="L10" s="8"/>
      <c r="M10" s="8"/>
      <c r="N10" s="8"/>
      <c r="O10" s="8">
        <v>0</v>
      </c>
      <c r="P10" s="8"/>
      <c r="Q10" s="27"/>
      <c r="R10" s="4"/>
      <c r="S10" s="91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27"/>
      <c r="AI10" s="27"/>
    </row>
    <row r="11" spans="1:35" ht="15.75" x14ac:dyDescent="0.25"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3"/>
      <c r="Q11" s="3"/>
      <c r="R11" s="4"/>
      <c r="S11" s="91"/>
      <c r="T11" s="3"/>
      <c r="U11" s="3"/>
    </row>
    <row r="12" spans="1:35" ht="15.75" x14ac:dyDescent="0.2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3"/>
      <c r="Q12" s="3"/>
      <c r="R12" s="4"/>
      <c r="S12" s="91"/>
      <c r="T12" s="3"/>
      <c r="U12" s="3"/>
    </row>
    <row r="13" spans="1:35" ht="19" x14ac:dyDescent="0.25">
      <c r="A13" s="1" t="s">
        <v>17</v>
      </c>
      <c r="B13" s="10"/>
      <c r="C13" s="10"/>
      <c r="D13" s="10"/>
      <c r="E13" s="10"/>
      <c r="F13" s="10"/>
      <c r="G13" s="10"/>
      <c r="H13" s="10"/>
      <c r="I13" s="9"/>
      <c r="J13" s="9"/>
      <c r="K13" s="9"/>
      <c r="L13" s="9"/>
      <c r="M13" s="9"/>
      <c r="N13" s="9"/>
      <c r="O13" s="10"/>
      <c r="P13" s="3"/>
      <c r="Q13" s="3"/>
      <c r="R13" s="4"/>
      <c r="S13" s="91"/>
      <c r="T13" s="3"/>
      <c r="U13" s="3"/>
    </row>
    <row r="14" spans="1:35" ht="15.75" x14ac:dyDescent="0.25">
      <c r="A14" s="37" t="s">
        <v>65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3"/>
      <c r="Q14" s="3"/>
      <c r="R14" s="4"/>
      <c r="S14" s="91"/>
      <c r="T14" s="3"/>
      <c r="U14" s="3"/>
    </row>
    <row r="15" spans="1:35" ht="16" x14ac:dyDescent="0.2">
      <c r="B15" s="6" t="s">
        <v>18</v>
      </c>
      <c r="C15" s="6" t="s">
        <v>35</v>
      </c>
      <c r="D15" s="6" t="s">
        <v>3</v>
      </c>
      <c r="E15" s="6" t="s">
        <v>4</v>
      </c>
      <c r="F15" s="6" t="s">
        <v>19</v>
      </c>
      <c r="G15" s="6" t="s">
        <v>84</v>
      </c>
      <c r="H15" s="6" t="s">
        <v>6</v>
      </c>
      <c r="I15" s="6" t="s">
        <v>5</v>
      </c>
      <c r="J15" s="6" t="s">
        <v>7</v>
      </c>
      <c r="K15" s="6" t="s">
        <v>8</v>
      </c>
      <c r="L15" s="6"/>
      <c r="M15" s="6"/>
      <c r="N15" s="6" t="s">
        <v>10</v>
      </c>
      <c r="O15" s="9" t="s">
        <v>11</v>
      </c>
      <c r="P15" s="3"/>
      <c r="Q15" s="3"/>
      <c r="R15" s="4"/>
      <c r="S15" s="91"/>
      <c r="T15" s="3"/>
      <c r="U15" s="3"/>
    </row>
    <row r="16" spans="1:35" ht="15.75" x14ac:dyDescent="0.25"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3"/>
      <c r="Q16" s="3"/>
      <c r="R16" s="3"/>
      <c r="S16" s="91"/>
      <c r="T16" s="3"/>
      <c r="U16" s="3"/>
    </row>
    <row r="17" spans="1:21" ht="16" x14ac:dyDescent="0.2">
      <c r="A17" s="4" t="s">
        <v>20</v>
      </c>
      <c r="B17" s="8">
        <v>0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/>
      <c r="J17" s="8"/>
      <c r="K17" s="8"/>
      <c r="L17" s="8"/>
      <c r="M17" s="8"/>
      <c r="N17" s="8"/>
      <c r="O17" s="8">
        <v>0</v>
      </c>
      <c r="P17" s="79"/>
      <c r="Q17" s="3"/>
      <c r="R17" s="3"/>
      <c r="S17" s="3"/>
      <c r="T17" s="3"/>
      <c r="U17" s="3"/>
    </row>
    <row r="18" spans="1:21" ht="16" x14ac:dyDescent="0.2">
      <c r="A18" s="4" t="s">
        <v>21</v>
      </c>
      <c r="B18" s="54">
        <v>112331</v>
      </c>
      <c r="C18" s="54">
        <v>5</v>
      </c>
      <c r="D18" s="8">
        <v>0</v>
      </c>
      <c r="E18" s="8">
        <v>0</v>
      </c>
      <c r="F18" s="54">
        <v>2245</v>
      </c>
      <c r="G18" s="54">
        <v>116853</v>
      </c>
      <c r="H18" s="8">
        <v>0</v>
      </c>
      <c r="I18" s="8"/>
      <c r="J18" s="8"/>
      <c r="K18" s="8"/>
      <c r="L18" s="8"/>
      <c r="M18" s="8"/>
      <c r="N18" s="8"/>
      <c r="O18" s="54">
        <f>SUM(C18:H18)</f>
        <v>119103</v>
      </c>
      <c r="P18" s="79"/>
      <c r="Q18" s="3"/>
      <c r="R18" s="3"/>
      <c r="S18" s="3"/>
      <c r="T18" s="3"/>
      <c r="U18" s="3"/>
    </row>
    <row r="19" spans="1:21" ht="15.75" x14ac:dyDescent="0.25">
      <c r="A19" s="4" t="s">
        <v>22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/>
      <c r="J19" s="8"/>
      <c r="K19" s="8"/>
      <c r="L19" s="8"/>
      <c r="M19" s="8"/>
      <c r="N19" s="8"/>
      <c r="O19" s="8">
        <v>0</v>
      </c>
      <c r="P19" s="79"/>
      <c r="Q19" s="3"/>
      <c r="R19" s="3"/>
      <c r="S19" s="3"/>
      <c r="T19" s="3"/>
      <c r="U19" s="3"/>
    </row>
    <row r="20" spans="1:21" ht="16" x14ac:dyDescent="0.2">
      <c r="A20" s="4" t="s">
        <v>23</v>
      </c>
      <c r="B20" s="8">
        <v>0</v>
      </c>
      <c r="C20" s="8">
        <v>0</v>
      </c>
      <c r="D20" s="8">
        <v>0</v>
      </c>
      <c r="E20" s="8">
        <v>0</v>
      </c>
      <c r="F20" s="8">
        <v>0</v>
      </c>
      <c r="G20" s="8">
        <v>0</v>
      </c>
      <c r="H20" s="8">
        <v>0</v>
      </c>
      <c r="I20" s="8"/>
      <c r="J20" s="8"/>
      <c r="K20" s="8"/>
      <c r="L20" s="8"/>
      <c r="M20" s="8"/>
      <c r="N20" s="8"/>
      <c r="O20" s="8">
        <v>0</v>
      </c>
      <c r="P20" s="79"/>
      <c r="Q20" s="3"/>
      <c r="R20" s="3"/>
      <c r="S20" s="3"/>
      <c r="T20" s="3"/>
      <c r="U20" s="3"/>
    </row>
    <row r="21" spans="1:21" ht="16" x14ac:dyDescent="0.2">
      <c r="A21" s="4" t="s">
        <v>24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/>
      <c r="J21" s="8"/>
      <c r="K21" s="8"/>
      <c r="L21" s="8"/>
      <c r="M21" s="8"/>
      <c r="N21" s="8"/>
      <c r="O21" s="8">
        <v>0</v>
      </c>
      <c r="P21" s="79"/>
      <c r="Q21" s="3"/>
      <c r="R21" s="3"/>
      <c r="S21" s="3" t="s">
        <v>26</v>
      </c>
      <c r="T21" s="11">
        <f>O42/1000</f>
        <v>1141.557</v>
      </c>
      <c r="U21" s="3"/>
    </row>
    <row r="22" spans="1:21" ht="16" x14ac:dyDescent="0.2">
      <c r="A22" s="4" t="s">
        <v>25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/>
      <c r="J22" s="8"/>
      <c r="K22" s="8"/>
      <c r="L22" s="8"/>
      <c r="M22" s="8"/>
      <c r="N22" s="8"/>
      <c r="O22" s="8">
        <v>0</v>
      </c>
      <c r="P22" s="79"/>
      <c r="Q22" s="3"/>
      <c r="R22" s="3"/>
      <c r="S22" s="3"/>
      <c r="T22" s="3"/>
      <c r="U22" s="3"/>
    </row>
    <row r="23" spans="1:21" ht="16" x14ac:dyDescent="0.2">
      <c r="A23" s="4" t="s">
        <v>16</v>
      </c>
      <c r="B23" s="54">
        <v>112331</v>
      </c>
      <c r="C23" s="54">
        <f>C18</f>
        <v>5</v>
      </c>
      <c r="D23" s="8">
        <v>0</v>
      </c>
      <c r="E23" s="8">
        <v>0</v>
      </c>
      <c r="F23" s="54">
        <f t="shared" ref="F23:G23" si="0">F18</f>
        <v>2245</v>
      </c>
      <c r="G23" s="54">
        <f t="shared" si="0"/>
        <v>116853</v>
      </c>
      <c r="H23" s="8">
        <v>0</v>
      </c>
      <c r="I23" s="8"/>
      <c r="J23" s="8"/>
      <c r="K23" s="8"/>
      <c r="L23" s="8"/>
      <c r="M23" s="8"/>
      <c r="N23" s="8"/>
      <c r="O23" s="54">
        <f>SUM(C23:H23)</f>
        <v>119103</v>
      </c>
      <c r="P23" s="79"/>
      <c r="Q23" s="3"/>
      <c r="R23" s="3"/>
      <c r="S23" s="3"/>
      <c r="T23" s="3" t="s">
        <v>27</v>
      </c>
      <c r="U23" s="3" t="s">
        <v>28</v>
      </c>
    </row>
    <row r="24" spans="1:21" ht="15.75" x14ac:dyDescent="0.25"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3"/>
      <c r="Q24" s="3"/>
      <c r="R24" s="3"/>
      <c r="S24" s="3" t="s">
        <v>10</v>
      </c>
      <c r="T24" s="12">
        <f>N42/1000</f>
        <v>654.85799999999995</v>
      </c>
      <c r="U24" s="13">
        <f>N43</f>
        <v>0.57365335239501836</v>
      </c>
    </row>
    <row r="25" spans="1:21" ht="16" x14ac:dyDescent="0.2">
      <c r="A25" s="5" t="s">
        <v>86</v>
      </c>
      <c r="B25" s="90">
        <v>321461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3"/>
      <c r="Q25" s="3"/>
      <c r="R25" s="3"/>
      <c r="S25" s="3" t="s">
        <v>84</v>
      </c>
      <c r="T25" s="12">
        <f>G42/1000</f>
        <v>131.99</v>
      </c>
      <c r="U25" s="14">
        <f>G43</f>
        <v>0.11562278537120792</v>
      </c>
    </row>
    <row r="26" spans="1:21" ht="15.75" x14ac:dyDescent="0.25"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3"/>
      <c r="Q26" s="3"/>
      <c r="R26" s="3"/>
      <c r="S26" s="3" t="s">
        <v>7</v>
      </c>
      <c r="T26" s="12">
        <f>J42/1000</f>
        <v>0</v>
      </c>
      <c r="U26" s="13">
        <f>J43</f>
        <v>0</v>
      </c>
    </row>
    <row r="27" spans="1:21" ht="19" x14ac:dyDescent="0.25">
      <c r="A27" s="1" t="s">
        <v>29</v>
      </c>
      <c r="B27" s="10"/>
      <c r="C27" s="10"/>
      <c r="D27" s="10"/>
      <c r="E27" s="10"/>
      <c r="F27" s="10"/>
      <c r="G27" s="10"/>
      <c r="H27" s="9"/>
      <c r="I27" s="9"/>
      <c r="J27" s="9"/>
      <c r="K27" s="9"/>
      <c r="L27" s="9"/>
      <c r="M27" s="9"/>
      <c r="N27" s="9"/>
      <c r="O27" s="9"/>
      <c r="P27" s="3"/>
      <c r="Q27" s="3"/>
      <c r="R27" s="3"/>
      <c r="S27" s="3" t="s">
        <v>31</v>
      </c>
      <c r="T27" s="12">
        <f>F42/1000</f>
        <v>34.546999999999997</v>
      </c>
      <c r="U27" s="13">
        <f>F43</f>
        <v>3.0263053005675583E-2</v>
      </c>
    </row>
    <row r="28" spans="1:21" ht="15.75" x14ac:dyDescent="0.25">
      <c r="A28" s="37" t="s">
        <v>65</v>
      </c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3"/>
      <c r="Q28" s="3"/>
      <c r="R28" s="3"/>
      <c r="S28" s="3" t="s">
        <v>4</v>
      </c>
      <c r="T28" s="11">
        <f>E42/1000</f>
        <v>2.3050000000000002</v>
      </c>
      <c r="U28" s="13">
        <f>E43</f>
        <v>2.0191720606154576E-3</v>
      </c>
    </row>
    <row r="29" spans="1:21" ht="16" x14ac:dyDescent="0.2">
      <c r="B29" s="6" t="s">
        <v>30</v>
      </c>
      <c r="C29" s="6" t="s">
        <v>35</v>
      </c>
      <c r="D29" s="6" t="s">
        <v>3</v>
      </c>
      <c r="E29" s="6" t="s">
        <v>4</v>
      </c>
      <c r="F29" s="6" t="s">
        <v>31</v>
      </c>
      <c r="G29" s="6" t="s">
        <v>84</v>
      </c>
      <c r="H29" s="6" t="s">
        <v>6</v>
      </c>
      <c r="I29" s="6" t="s">
        <v>5</v>
      </c>
      <c r="J29" s="6" t="s">
        <v>7</v>
      </c>
      <c r="K29" s="6" t="s">
        <v>8</v>
      </c>
      <c r="L29" s="6" t="s">
        <v>9</v>
      </c>
      <c r="M29" s="6" t="s">
        <v>9</v>
      </c>
      <c r="N29" s="6" t="s">
        <v>10</v>
      </c>
      <c r="O29" s="6" t="s">
        <v>32</v>
      </c>
      <c r="P29" s="3"/>
      <c r="Q29" s="3"/>
      <c r="R29" s="3"/>
      <c r="S29" s="2" t="s">
        <v>3</v>
      </c>
      <c r="T29" s="2">
        <f>D42/1000</f>
        <v>0</v>
      </c>
      <c r="U29" s="46">
        <f>D43</f>
        <v>0</v>
      </c>
    </row>
    <row r="30" spans="1:21" ht="15.75" x14ac:dyDescent="0.2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3"/>
      <c r="Q30" s="3"/>
      <c r="R30" s="3"/>
      <c r="S30" s="2" t="s">
        <v>8</v>
      </c>
      <c r="T30" s="2">
        <f>K42/1000</f>
        <v>0</v>
      </c>
      <c r="U30" s="46">
        <f>K43</f>
        <v>0</v>
      </c>
    </row>
    <row r="31" spans="1:21" ht="15.75" x14ac:dyDescent="0.25">
      <c r="A31" s="4" t="s">
        <v>33</v>
      </c>
      <c r="B31" s="8">
        <v>0</v>
      </c>
      <c r="C31" s="8">
        <v>3036</v>
      </c>
      <c r="D31" s="8">
        <v>0</v>
      </c>
      <c r="E31" s="8">
        <v>0</v>
      </c>
      <c r="F31" s="8">
        <v>300</v>
      </c>
      <c r="G31" s="8">
        <v>0</v>
      </c>
      <c r="H31" s="8">
        <v>0</v>
      </c>
      <c r="I31" s="8"/>
      <c r="J31" s="8"/>
      <c r="K31" s="8"/>
      <c r="L31" s="8"/>
      <c r="M31" s="27"/>
      <c r="N31" s="8">
        <v>4349</v>
      </c>
      <c r="O31" s="8">
        <v>7684</v>
      </c>
      <c r="P31" s="17">
        <f>O31/O$39</f>
        <v>5.5353530696572745E-3</v>
      </c>
      <c r="Q31" s="18" t="s">
        <v>34</v>
      </c>
      <c r="R31" s="3"/>
      <c r="S31" s="3" t="s">
        <v>5</v>
      </c>
      <c r="T31" s="12">
        <f>I42/1000</f>
        <v>0</v>
      </c>
      <c r="U31" s="13">
        <f>I43</f>
        <v>0</v>
      </c>
    </row>
    <row r="32" spans="1:21" ht="15.75" x14ac:dyDescent="0.25">
      <c r="A32" s="4" t="s">
        <v>36</v>
      </c>
      <c r="B32" s="8">
        <v>35519</v>
      </c>
      <c r="C32" s="69">
        <v>1179</v>
      </c>
      <c r="D32" s="8">
        <v>0</v>
      </c>
      <c r="E32" s="8">
        <v>2305</v>
      </c>
      <c r="F32" s="8">
        <v>0</v>
      </c>
      <c r="G32" s="8">
        <v>0</v>
      </c>
      <c r="H32" s="8">
        <v>0</v>
      </c>
      <c r="I32" s="8"/>
      <c r="J32" s="8"/>
      <c r="K32" s="8"/>
      <c r="L32" s="8"/>
      <c r="M32" s="27"/>
      <c r="N32" s="71">
        <v>79400</v>
      </c>
      <c r="O32" s="73">
        <f>SUM(B32:N32)</f>
        <v>118403</v>
      </c>
      <c r="P32" s="17">
        <f>O32/O$39</f>
        <v>8.5294431221581243E-2</v>
      </c>
      <c r="Q32" s="18" t="s">
        <v>37</v>
      </c>
      <c r="R32" s="3"/>
      <c r="S32" s="3" t="s">
        <v>6</v>
      </c>
      <c r="T32" s="12">
        <f>H42/1000</f>
        <v>0</v>
      </c>
      <c r="U32" s="13">
        <f>H43</f>
        <v>0</v>
      </c>
    </row>
    <row r="33" spans="1:48" ht="15.75" x14ac:dyDescent="0.25">
      <c r="A33" s="4" t="s">
        <v>38</v>
      </c>
      <c r="B33" s="8">
        <v>47092</v>
      </c>
      <c r="C33" s="8">
        <v>1305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/>
      <c r="J33" s="8"/>
      <c r="K33" s="8"/>
      <c r="L33" s="8"/>
      <c r="M33" s="27"/>
      <c r="N33" s="8">
        <v>110429</v>
      </c>
      <c r="O33" s="8">
        <v>158826</v>
      </c>
      <c r="P33" s="17">
        <f>O33/O$39</f>
        <v>0.11441410549731733</v>
      </c>
      <c r="Q33" s="18" t="s">
        <v>39</v>
      </c>
      <c r="R33" s="3"/>
      <c r="S33" s="3" t="s">
        <v>35</v>
      </c>
      <c r="T33" s="12">
        <f>C42/1000</f>
        <v>317.85700000000003</v>
      </c>
      <c r="U33" s="14">
        <f>C43</f>
        <v>0.27844163716748266</v>
      </c>
    </row>
    <row r="34" spans="1:48" ht="15.75" x14ac:dyDescent="0.25">
      <c r="A34" s="4" t="s">
        <v>40</v>
      </c>
      <c r="B34" s="8">
        <v>0</v>
      </c>
      <c r="C34" s="8">
        <v>308665</v>
      </c>
      <c r="D34" s="8">
        <v>0</v>
      </c>
      <c r="E34" s="8">
        <v>0</v>
      </c>
      <c r="F34" s="8">
        <v>32003</v>
      </c>
      <c r="G34" s="8">
        <v>0</v>
      </c>
      <c r="H34" s="8">
        <v>0</v>
      </c>
      <c r="I34" s="8"/>
      <c r="J34" s="8"/>
      <c r="K34" s="8"/>
      <c r="L34" s="8"/>
      <c r="M34" s="27"/>
      <c r="N34" s="8">
        <v>4607</v>
      </c>
      <c r="O34" s="8">
        <v>345274</v>
      </c>
      <c r="P34" s="17">
        <f>O34/O$39</f>
        <v>0.24872637893972488</v>
      </c>
      <c r="Q34" s="18" t="s">
        <v>41</v>
      </c>
      <c r="R34" s="3"/>
      <c r="S34" s="3"/>
      <c r="T34" s="12">
        <f>SUM(T24:T33)</f>
        <v>1141.557</v>
      </c>
      <c r="U34" s="13">
        <f>SUM(U24:U33)</f>
        <v>1</v>
      </c>
    </row>
    <row r="35" spans="1:48" ht="16" x14ac:dyDescent="0.2">
      <c r="A35" s="4" t="s">
        <v>42</v>
      </c>
      <c r="B35" s="8">
        <v>30808</v>
      </c>
      <c r="C35" s="8">
        <v>2487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/>
      <c r="J35" s="8"/>
      <c r="K35" s="8"/>
      <c r="L35" s="8"/>
      <c r="M35" s="27"/>
      <c r="N35" s="8">
        <v>154753</v>
      </c>
      <c r="O35" s="8">
        <v>188048</v>
      </c>
      <c r="P35" s="17">
        <f>O35/O$39</f>
        <v>0.13546487168700042</v>
      </c>
      <c r="Q35" s="18" t="s">
        <v>43</v>
      </c>
      <c r="R35" s="18"/>
    </row>
    <row r="36" spans="1:48" ht="16" x14ac:dyDescent="0.2">
      <c r="A36" s="4" t="s">
        <v>44</v>
      </c>
      <c r="B36" s="8">
        <v>80325</v>
      </c>
      <c r="C36" s="8">
        <v>759</v>
      </c>
      <c r="D36" s="8">
        <v>0</v>
      </c>
      <c r="E36" s="8">
        <v>0</v>
      </c>
      <c r="F36" s="8">
        <v>0</v>
      </c>
      <c r="G36" s="8">
        <v>15137</v>
      </c>
      <c r="H36" s="8">
        <v>0</v>
      </c>
      <c r="I36" s="8"/>
      <c r="J36" s="8"/>
      <c r="K36" s="8"/>
      <c r="L36" s="8"/>
      <c r="M36" s="27"/>
      <c r="N36" s="8">
        <v>147289</v>
      </c>
      <c r="O36" s="8">
        <v>243510</v>
      </c>
      <c r="P36" s="18"/>
      <c r="Q36" s="18"/>
      <c r="R36" s="3"/>
      <c r="S36" s="7"/>
      <c r="T36" s="7"/>
      <c r="U36" s="7"/>
    </row>
    <row r="37" spans="1:48" ht="15.75" x14ac:dyDescent="0.25">
      <c r="A37" s="4" t="s">
        <v>45</v>
      </c>
      <c r="B37" s="8">
        <v>220479</v>
      </c>
      <c r="C37" s="8">
        <v>421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/>
      <c r="J37" s="8"/>
      <c r="K37" s="8"/>
      <c r="L37" s="8"/>
      <c r="M37" s="27"/>
      <c r="N37" s="8">
        <v>93303</v>
      </c>
      <c r="O37" s="8">
        <v>314203</v>
      </c>
      <c r="P37" s="18"/>
      <c r="Q37" s="18"/>
      <c r="R37" s="3"/>
      <c r="S37" s="7"/>
      <c r="T37" s="7" t="s">
        <v>27</v>
      </c>
      <c r="U37" s="7" t="s">
        <v>28</v>
      </c>
    </row>
    <row r="38" spans="1:48" ht="16" x14ac:dyDescent="0.2">
      <c r="A38" s="4" t="s">
        <v>46</v>
      </c>
      <c r="B38" s="8">
        <v>0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/>
      <c r="J38" s="8"/>
      <c r="K38" s="8"/>
      <c r="L38" s="8"/>
      <c r="M38" s="27"/>
      <c r="N38" s="8">
        <v>12220</v>
      </c>
      <c r="O38" s="8">
        <v>12220</v>
      </c>
      <c r="P38" s="18">
        <f>SUM(P31:P35)</f>
        <v>0.58943514041528111</v>
      </c>
      <c r="Q38" s="18"/>
      <c r="R38" s="3"/>
      <c r="S38" s="7" t="s">
        <v>47</v>
      </c>
      <c r="T38" s="19">
        <f>O45/1000</f>
        <v>68.076999999999998</v>
      </c>
      <c r="U38" s="7"/>
    </row>
    <row r="39" spans="1:48" ht="16" x14ac:dyDescent="0.2">
      <c r="A39" s="4" t="s">
        <v>16</v>
      </c>
      <c r="B39" s="8">
        <v>414223</v>
      </c>
      <c r="C39" s="70">
        <f>SUM(C31:C38)</f>
        <v>317852</v>
      </c>
      <c r="D39" s="8">
        <v>0</v>
      </c>
      <c r="E39" s="8">
        <v>2305</v>
      </c>
      <c r="F39" s="8">
        <v>32302</v>
      </c>
      <c r="G39" s="8">
        <v>15137</v>
      </c>
      <c r="H39" s="8">
        <v>0</v>
      </c>
      <c r="I39" s="8"/>
      <c r="J39" s="8"/>
      <c r="K39" s="8"/>
      <c r="L39" s="8"/>
      <c r="M39" s="27"/>
      <c r="N39" s="70">
        <f>SUM(N31:N38)</f>
        <v>606350</v>
      </c>
      <c r="O39" s="73">
        <f>SUM(O31:O38)</f>
        <v>1388168</v>
      </c>
      <c r="P39" s="3"/>
      <c r="Q39" s="3"/>
      <c r="R39" s="3"/>
      <c r="S39" s="7" t="s">
        <v>48</v>
      </c>
      <c r="T39" s="20">
        <f>O41/1000</f>
        <v>569.93299999999999</v>
      </c>
      <c r="U39" s="13">
        <f>P41</f>
        <v>0.41056485958471883</v>
      </c>
    </row>
    <row r="40" spans="1:48" x14ac:dyDescent="0.2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S40" s="7" t="s">
        <v>49</v>
      </c>
      <c r="T40" s="20">
        <f>O35/1000</f>
        <v>188.048</v>
      </c>
      <c r="U40" s="14">
        <f>P35</f>
        <v>0.13546487168700042</v>
      </c>
    </row>
    <row r="41" spans="1:48" ht="16" x14ac:dyDescent="0.2">
      <c r="A41" s="21" t="s">
        <v>50</v>
      </c>
      <c r="B41" s="22">
        <f>B38+B37+B36</f>
        <v>300804</v>
      </c>
      <c r="C41" s="22">
        <f t="shared" ref="C41:O41" si="1">C38+C37+C36</f>
        <v>1180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15137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si="1"/>
        <v>0</v>
      </c>
      <c r="N41" s="22">
        <f t="shared" si="1"/>
        <v>252812</v>
      </c>
      <c r="O41" s="22">
        <f t="shared" si="1"/>
        <v>569933</v>
      </c>
      <c r="P41" s="17">
        <f>O41/O$39</f>
        <v>0.41056485958471883</v>
      </c>
      <c r="Q41" s="17" t="s">
        <v>51</v>
      </c>
      <c r="R41" s="7"/>
      <c r="S41" s="7" t="s">
        <v>52</v>
      </c>
      <c r="T41" s="20">
        <f>O33/1000</f>
        <v>158.82599999999999</v>
      </c>
      <c r="U41" s="13">
        <f>P33</f>
        <v>0.11441410549731733</v>
      </c>
    </row>
    <row r="42" spans="1:48" ht="16" x14ac:dyDescent="0.2">
      <c r="A42" s="23" t="s">
        <v>53</v>
      </c>
      <c r="B42" s="22"/>
      <c r="C42" s="24">
        <f>C39+C23+C10</f>
        <v>317857</v>
      </c>
      <c r="D42" s="24">
        <f t="shared" ref="D42:M42" si="2">D39+D23+D10</f>
        <v>0</v>
      </c>
      <c r="E42" s="24">
        <f t="shared" si="2"/>
        <v>2305</v>
      </c>
      <c r="F42" s="24">
        <f t="shared" si="2"/>
        <v>34547</v>
      </c>
      <c r="G42" s="24">
        <f t="shared" si="2"/>
        <v>131990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si="2"/>
        <v>0</v>
      </c>
      <c r="N42" s="24">
        <f>N39+N23-B6+N45</f>
        <v>654858</v>
      </c>
      <c r="O42" s="25">
        <f>SUM(C42:N42)</f>
        <v>1141557</v>
      </c>
      <c r="P42" s="7"/>
      <c r="Q42" s="7"/>
      <c r="R42" s="7"/>
      <c r="S42" s="7" t="s">
        <v>34</v>
      </c>
      <c r="T42" s="20">
        <f>O31/1000</f>
        <v>7.6840000000000002</v>
      </c>
      <c r="U42" s="13">
        <f>P31</f>
        <v>5.5353530696572745E-3</v>
      </c>
    </row>
    <row r="43" spans="1:48" ht="16" x14ac:dyDescent="0.2">
      <c r="A43" s="23" t="s">
        <v>54</v>
      </c>
      <c r="B43" s="22"/>
      <c r="C43" s="17">
        <f t="shared" ref="C43:N43" si="3">C42/$O42</f>
        <v>0.27844163716748266</v>
      </c>
      <c r="D43" s="17">
        <f t="shared" si="3"/>
        <v>0</v>
      </c>
      <c r="E43" s="17">
        <f t="shared" si="3"/>
        <v>2.0191720606154576E-3</v>
      </c>
      <c r="F43" s="17">
        <f t="shared" si="3"/>
        <v>3.0263053005675583E-2</v>
      </c>
      <c r="G43" s="17">
        <f t="shared" si="3"/>
        <v>0.11562278537120792</v>
      </c>
      <c r="H43" s="17">
        <f t="shared" si="3"/>
        <v>0</v>
      </c>
      <c r="I43" s="17">
        <f t="shared" si="3"/>
        <v>0</v>
      </c>
      <c r="J43" s="17">
        <f t="shared" si="3"/>
        <v>0</v>
      </c>
      <c r="K43" s="17">
        <f t="shared" si="3"/>
        <v>0</v>
      </c>
      <c r="L43" s="17">
        <f t="shared" si="3"/>
        <v>0</v>
      </c>
      <c r="M43" s="17">
        <f t="shared" si="3"/>
        <v>0</v>
      </c>
      <c r="N43" s="17">
        <f t="shared" si="3"/>
        <v>0.57365335239501836</v>
      </c>
      <c r="O43" s="17">
        <f>SUM(C43:N43)</f>
        <v>1</v>
      </c>
      <c r="P43" s="7"/>
      <c r="Q43" s="7"/>
      <c r="R43" s="7"/>
      <c r="S43" s="7" t="s">
        <v>55</v>
      </c>
      <c r="T43" s="20">
        <f>O32/1000</f>
        <v>118.40300000000001</v>
      </c>
      <c r="U43" s="14">
        <f>P32</f>
        <v>8.5294431221581243E-2</v>
      </c>
    </row>
    <row r="44" spans="1:48" x14ac:dyDescent="0.2">
      <c r="A44" s="6" t="s">
        <v>87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56</v>
      </c>
      <c r="T44" s="20">
        <f>O34/1000</f>
        <v>345.274</v>
      </c>
      <c r="U44" s="14">
        <f>P34</f>
        <v>0.24872637893972488</v>
      </c>
    </row>
    <row r="45" spans="1:48" ht="16" x14ac:dyDescent="0.2">
      <c r="A45" s="6" t="s">
        <v>57</v>
      </c>
      <c r="B45" s="6">
        <f>B23+B25-B39</f>
        <v>19569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48508</v>
      </c>
      <c r="O45" s="25">
        <f>B45+N45</f>
        <v>68077</v>
      </c>
      <c r="P45" s="7"/>
      <c r="Q45" s="7"/>
      <c r="R45" s="7"/>
      <c r="S45" s="7" t="s">
        <v>58</v>
      </c>
      <c r="T45" s="20">
        <f>SUM(T39:T44)</f>
        <v>1388.1680000000001</v>
      </c>
      <c r="U45" s="13">
        <f>SUM(U39:U44)</f>
        <v>1</v>
      </c>
    </row>
    <row r="46" spans="1:48" ht="16" x14ac:dyDescent="0.2">
      <c r="A46" s="6" t="s">
        <v>93</v>
      </c>
      <c r="B46" s="74">
        <f>B45/(B23+B25)</f>
        <v>4.5111482000590147E-2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37"/>
      <c r="B47" s="37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37"/>
      <c r="S47" s="37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37"/>
      <c r="AI47" s="37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</row>
    <row r="48" spans="1:48" x14ac:dyDescent="0.2">
      <c r="A48" s="40"/>
      <c r="B48" s="37"/>
      <c r="C48" s="40"/>
      <c r="D48" s="41"/>
      <c r="E48" s="40"/>
      <c r="F48" s="41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37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37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</row>
    <row r="49" spans="1:48" x14ac:dyDescent="0.2">
      <c r="A49" s="40"/>
      <c r="B49" s="37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37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7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</row>
    <row r="50" spans="1:48" x14ac:dyDescent="0.2">
      <c r="A50" s="40"/>
      <c r="B50" s="37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37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37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</row>
    <row r="51" spans="1:48" x14ac:dyDescent="0.2">
      <c r="A51" s="40"/>
      <c r="B51" s="37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37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37"/>
      <c r="AJ51" s="40"/>
      <c r="AK51" s="40"/>
      <c r="AL51" s="40"/>
      <c r="AM51" s="40"/>
      <c r="AN51" s="40"/>
      <c r="AO51" s="40"/>
      <c r="AP51" s="40"/>
      <c r="AQ51" s="40"/>
      <c r="AR51" s="40"/>
      <c r="AS51" s="40"/>
      <c r="AT51" s="40"/>
      <c r="AU51" s="40"/>
      <c r="AV51" s="40"/>
    </row>
    <row r="52" spans="1:48" ht="16" x14ac:dyDescent="0.2">
      <c r="A52" s="7"/>
      <c r="B52" s="6"/>
      <c r="C52" s="6"/>
      <c r="D52" s="6"/>
      <c r="E52" s="6"/>
      <c r="F52" s="6"/>
      <c r="G52" s="6"/>
      <c r="H52" s="6"/>
      <c r="I52" s="6"/>
      <c r="J52" s="7"/>
      <c r="K52" s="7"/>
      <c r="L52" s="7"/>
      <c r="M52" s="7"/>
      <c r="N52" s="7"/>
      <c r="O52" s="7"/>
      <c r="P52" s="6"/>
      <c r="Q52" s="29"/>
      <c r="R52" s="7"/>
      <c r="S52" s="7"/>
      <c r="T52" s="6"/>
      <c r="U52" s="30"/>
    </row>
    <row r="53" spans="1:48" ht="16" x14ac:dyDescent="0.2">
      <c r="A53" s="7"/>
      <c r="B53" s="6"/>
      <c r="C53" s="6"/>
      <c r="D53" s="6"/>
      <c r="E53" s="6"/>
      <c r="F53" s="6"/>
      <c r="G53" s="6"/>
      <c r="H53" s="6"/>
      <c r="I53" s="6"/>
      <c r="J53" s="7"/>
      <c r="K53" s="7"/>
      <c r="L53" s="7"/>
      <c r="M53" s="7"/>
      <c r="N53" s="7"/>
      <c r="O53" s="7"/>
      <c r="P53" s="6"/>
      <c r="Q53" s="29"/>
      <c r="R53" s="7"/>
      <c r="S53" s="7"/>
      <c r="T53" s="6"/>
      <c r="U53" s="30"/>
    </row>
    <row r="54" spans="1:48" ht="16" x14ac:dyDescent="0.2">
      <c r="A54" s="7"/>
      <c r="B54" s="6"/>
      <c r="C54" s="6"/>
      <c r="D54" s="6"/>
      <c r="E54" s="6"/>
      <c r="F54" s="6"/>
      <c r="G54" s="6"/>
      <c r="H54" s="6"/>
      <c r="I54" s="6"/>
      <c r="J54" s="7"/>
      <c r="K54" s="7"/>
      <c r="L54" s="7"/>
      <c r="M54" s="7"/>
      <c r="N54" s="7"/>
      <c r="O54" s="7"/>
      <c r="P54" s="6"/>
      <c r="Q54" s="29"/>
      <c r="R54" s="7"/>
      <c r="S54" s="7"/>
      <c r="T54" s="6"/>
      <c r="U54" s="30"/>
    </row>
    <row r="55" spans="1:48" ht="16" x14ac:dyDescent="0.2">
      <c r="A55" s="7"/>
      <c r="B55" s="6"/>
      <c r="C55" s="6"/>
      <c r="D55" s="6"/>
      <c r="E55" s="6"/>
      <c r="F55" s="6"/>
      <c r="G55" s="6"/>
      <c r="H55" s="6"/>
      <c r="I55" s="6"/>
      <c r="J55" s="7"/>
      <c r="K55" s="7"/>
      <c r="L55" s="7"/>
      <c r="M55" s="7"/>
      <c r="N55" s="7"/>
      <c r="O55" s="7"/>
      <c r="P55" s="6"/>
      <c r="Q55" s="29"/>
      <c r="R55" s="7"/>
      <c r="S55" s="7"/>
      <c r="T55" s="6"/>
      <c r="U55" s="30"/>
    </row>
    <row r="56" spans="1:48" ht="16" x14ac:dyDescent="0.2">
      <c r="A56" s="7"/>
      <c r="B56" s="6"/>
      <c r="C56" s="6"/>
      <c r="D56" s="6"/>
      <c r="E56" s="6"/>
      <c r="F56" s="6"/>
      <c r="G56" s="6"/>
      <c r="H56" s="6"/>
      <c r="I56" s="6"/>
      <c r="J56" s="7"/>
      <c r="K56" s="7"/>
      <c r="L56" s="7"/>
      <c r="M56" s="7"/>
      <c r="N56" s="7"/>
      <c r="O56" s="7"/>
      <c r="P56" s="6"/>
      <c r="Q56" s="29"/>
      <c r="R56" s="7"/>
      <c r="S56" s="7"/>
      <c r="T56" s="6"/>
      <c r="U56" s="30"/>
    </row>
    <row r="57" spans="1:48" ht="16" x14ac:dyDescent="0.2">
      <c r="A57" s="7"/>
      <c r="B57" s="31"/>
      <c r="C57" s="31"/>
      <c r="D57" s="31"/>
      <c r="E57" s="31"/>
      <c r="F57" s="31"/>
      <c r="G57" s="31"/>
      <c r="H57" s="31"/>
      <c r="I57" s="31"/>
      <c r="J57" s="7"/>
      <c r="K57" s="7"/>
      <c r="L57" s="7"/>
      <c r="M57" s="7"/>
      <c r="N57" s="7"/>
      <c r="O57" s="7"/>
      <c r="P57" s="31"/>
      <c r="Q57" s="35"/>
      <c r="R57" s="7"/>
      <c r="S57" s="36"/>
      <c r="T57" s="31"/>
      <c r="U57" s="35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1A4ABD00-4BAF-477A-8605-78AE2BF29978}"/>
</file>

<file path=customXml/itemProps2.xml><?xml version="1.0" encoding="utf-8"?>
<ds:datastoreItem xmlns:ds="http://schemas.openxmlformats.org/officeDocument/2006/customXml" ds:itemID="{D8419CAD-5E19-4273-9E84-805DF08584F9}"/>
</file>

<file path=customXml/itemProps3.xml><?xml version="1.0" encoding="utf-8"?>
<ds:datastoreItem xmlns:ds="http://schemas.openxmlformats.org/officeDocument/2006/customXml" ds:itemID="{25AC6827-3CD4-4A01-ACB6-691DD8B142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27</vt:i4>
      </vt:variant>
    </vt:vector>
  </HeadingPairs>
  <TitlesOfParts>
    <vt:vector size="27" baseType="lpstr">
      <vt:lpstr>Stockholms län</vt:lpstr>
      <vt:lpstr>Upplands Väsby</vt:lpstr>
      <vt:lpstr>Vallentuna</vt:lpstr>
      <vt:lpstr>Österåker</vt:lpstr>
      <vt:lpstr>Värmdö</vt:lpstr>
      <vt:lpstr>Järfälla</vt:lpstr>
      <vt:lpstr>Ekerö</vt:lpstr>
      <vt:lpstr>Huddinge</vt:lpstr>
      <vt:lpstr>Botkyrka</vt:lpstr>
      <vt:lpstr>Salem</vt:lpstr>
      <vt:lpstr>Haninge</vt:lpstr>
      <vt:lpstr>Tyresö</vt:lpstr>
      <vt:lpstr>Upplands-Bro</vt:lpstr>
      <vt:lpstr>Nykvarn</vt:lpstr>
      <vt:lpstr>Täby</vt:lpstr>
      <vt:lpstr>Danderyd</vt:lpstr>
      <vt:lpstr>Sollentuna</vt:lpstr>
      <vt:lpstr>Stockholm</vt:lpstr>
      <vt:lpstr>Södertälje</vt:lpstr>
      <vt:lpstr>Nacka</vt:lpstr>
      <vt:lpstr>Sundbyberg</vt:lpstr>
      <vt:lpstr>Solna</vt:lpstr>
      <vt:lpstr>Lidingö</vt:lpstr>
      <vt:lpstr>Vaxholm</vt:lpstr>
      <vt:lpstr>Norrtälje</vt:lpstr>
      <vt:lpstr>Sigtuna</vt:lpstr>
      <vt:lpstr>Nynäshamn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cp:lastPrinted>2017-05-02T10:28:59Z</cp:lastPrinted>
  <dcterms:created xsi:type="dcterms:W3CDTF">2016-02-15T22:09:51Z</dcterms:created>
  <dcterms:modified xsi:type="dcterms:W3CDTF">2017-08-29T11:01:09Z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