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2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0" yWindow="0" windowWidth="29560" windowHeight="16480" tabRatio="500"/>
  </bookViews>
  <sheets>
    <sheet name="Uppsala län" sheetId="11" r:id="rId1"/>
    <sheet name="Håbo" sheetId="2" r:id="rId2"/>
    <sheet name="Älvkarleby" sheetId="3" r:id="rId3"/>
    <sheet name="Knivsta" sheetId="4" r:id="rId4"/>
    <sheet name="Heby" sheetId="5" r:id="rId5"/>
    <sheet name="Tierp" sheetId="6" r:id="rId6"/>
    <sheet name="Uppsala" sheetId="7" r:id="rId7"/>
    <sheet name="Enköping" sheetId="8" r:id="rId8"/>
    <sheet name="Östhammar" sheetId="9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2" i="9" l="1"/>
  <c r="N38" i="11"/>
  <c r="N37" i="11"/>
  <c r="N36" i="11"/>
  <c r="N41" i="11"/>
  <c r="N31" i="11"/>
  <c r="N32" i="11"/>
  <c r="N33" i="11"/>
  <c r="N34" i="11"/>
  <c r="N35" i="11"/>
  <c r="N39" i="11"/>
  <c r="O41" i="11"/>
  <c r="T42" i="11"/>
  <c r="O35" i="11"/>
  <c r="T43" i="11"/>
  <c r="O33" i="11"/>
  <c r="T44" i="11"/>
  <c r="O31" i="11"/>
  <c r="T45" i="11"/>
  <c r="O32" i="11"/>
  <c r="T46" i="11"/>
  <c r="O34" i="11"/>
  <c r="T47" i="11"/>
  <c r="T48" i="11"/>
  <c r="S42" i="11"/>
  <c r="S43" i="11"/>
  <c r="S44" i="11"/>
  <c r="S45" i="11"/>
  <c r="S46" i="11"/>
  <c r="S47" i="11"/>
  <c r="S48" i="11"/>
  <c r="M39" i="11"/>
  <c r="M23" i="11"/>
  <c r="M45" i="11"/>
  <c r="M42" i="11"/>
  <c r="B23" i="11"/>
  <c r="B39" i="11"/>
  <c r="B45" i="11"/>
  <c r="B46" i="11"/>
  <c r="N45" i="11"/>
  <c r="C39" i="11"/>
  <c r="C23" i="11"/>
  <c r="C42" i="11"/>
  <c r="D39" i="11"/>
  <c r="D23" i="11"/>
  <c r="D10" i="11"/>
  <c r="D42" i="11"/>
  <c r="E39" i="11"/>
  <c r="E23" i="11"/>
  <c r="E10" i="11"/>
  <c r="E42" i="11"/>
  <c r="F39" i="11"/>
  <c r="F23" i="11"/>
  <c r="F10" i="11"/>
  <c r="F42" i="11"/>
  <c r="G39" i="11"/>
  <c r="G23" i="11"/>
  <c r="G10" i="11"/>
  <c r="G42" i="11"/>
  <c r="H39" i="11"/>
  <c r="H23" i="11"/>
  <c r="H10" i="11"/>
  <c r="H42" i="11"/>
  <c r="I39" i="11"/>
  <c r="I23" i="11"/>
  <c r="I10" i="11"/>
  <c r="I42" i="11"/>
  <c r="J39" i="11"/>
  <c r="J23" i="11"/>
  <c r="J10" i="11"/>
  <c r="J42" i="11"/>
  <c r="K39" i="11"/>
  <c r="K23" i="11"/>
  <c r="K10" i="11"/>
  <c r="K42" i="11"/>
  <c r="L39" i="11"/>
  <c r="L23" i="11"/>
  <c r="L42" i="11"/>
  <c r="N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S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O38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23" i="11"/>
  <c r="N17" i="11"/>
  <c r="N18" i="11"/>
  <c r="N19" i="11"/>
  <c r="N20" i="11"/>
  <c r="N23" i="11"/>
  <c r="N7" i="11"/>
  <c r="N10" i="11"/>
  <c r="M10" i="11"/>
  <c r="L10" i="11"/>
  <c r="C10" i="11"/>
  <c r="B10" i="11"/>
  <c r="C32" i="2"/>
  <c r="C32" i="4"/>
  <c r="C32" i="8"/>
  <c r="E32" i="5"/>
  <c r="E32" i="8"/>
  <c r="F32" i="4"/>
  <c r="G32" i="3"/>
  <c r="I32" i="3"/>
  <c r="L32" i="3"/>
  <c r="B33" i="2"/>
  <c r="B33" i="5"/>
  <c r="B35" i="2"/>
  <c r="B35" i="5"/>
  <c r="B36" i="2"/>
  <c r="B36" i="5"/>
  <c r="B37" i="2"/>
  <c r="B37" i="5"/>
  <c r="N39" i="2"/>
  <c r="N39" i="3"/>
  <c r="F39" i="5"/>
  <c r="G39" i="5"/>
  <c r="N39" i="5"/>
  <c r="N31" i="4"/>
  <c r="N32" i="3"/>
  <c r="N32" i="4"/>
  <c r="N33" i="2"/>
  <c r="N33" i="5"/>
  <c r="N35" i="2"/>
  <c r="N35" i="5"/>
  <c r="N36" i="2"/>
  <c r="N36" i="5"/>
  <c r="N37" i="2"/>
  <c r="N37" i="5"/>
  <c r="C39" i="2"/>
  <c r="C39" i="3"/>
  <c r="C39" i="8"/>
  <c r="E39" i="2"/>
  <c r="F39" i="3"/>
  <c r="G39" i="3"/>
  <c r="G39" i="8"/>
  <c r="L39" i="3"/>
  <c r="M39" i="3"/>
  <c r="C17" i="8"/>
  <c r="G17" i="8"/>
  <c r="N17" i="8"/>
  <c r="N23" i="8"/>
  <c r="N18" i="7"/>
  <c r="N17" i="7"/>
  <c r="C18" i="2"/>
  <c r="F18" i="2"/>
  <c r="G18" i="2"/>
  <c r="M19" i="2"/>
  <c r="M19" i="5"/>
  <c r="M19" i="7"/>
  <c r="M19" i="8"/>
  <c r="M20" i="5"/>
  <c r="M20" i="7"/>
  <c r="N23" i="7"/>
  <c r="N23" i="2"/>
  <c r="N23" i="5"/>
  <c r="M23" i="5"/>
  <c r="M23" i="7"/>
  <c r="J23" i="7"/>
  <c r="G23" i="7"/>
  <c r="G23" i="8"/>
  <c r="C23" i="7"/>
  <c r="C23" i="8"/>
  <c r="B17" i="8"/>
  <c r="B18" i="2"/>
  <c r="B18" i="5"/>
  <c r="B18" i="6"/>
  <c r="B18" i="9"/>
  <c r="B23" i="2"/>
  <c r="B10" i="3"/>
  <c r="N18" i="2"/>
  <c r="B47" i="9"/>
  <c r="B47" i="8"/>
  <c r="B47" i="7"/>
  <c r="B47" i="6"/>
  <c r="B47" i="5"/>
  <c r="B47" i="4"/>
  <c r="B47" i="3"/>
  <c r="B47" i="2"/>
  <c r="N41" i="9"/>
  <c r="O41" i="9"/>
  <c r="T39" i="9"/>
  <c r="O35" i="9"/>
  <c r="T40" i="9"/>
  <c r="O33" i="9"/>
  <c r="T41" i="9"/>
  <c r="O31" i="9"/>
  <c r="T42" i="9"/>
  <c r="O32" i="9"/>
  <c r="T43" i="9"/>
  <c r="O34" i="9"/>
  <c r="T44" i="9"/>
  <c r="T45" i="9"/>
  <c r="S39" i="9"/>
  <c r="S40" i="9"/>
  <c r="S41" i="9"/>
  <c r="S42" i="9"/>
  <c r="S43" i="9"/>
  <c r="S44" i="9"/>
  <c r="S45" i="9"/>
  <c r="B45" i="9"/>
  <c r="M45" i="9"/>
  <c r="N45" i="9"/>
  <c r="C42" i="9"/>
  <c r="D42" i="9"/>
  <c r="E42" i="9"/>
  <c r="G42" i="9"/>
  <c r="F42" i="9"/>
  <c r="H42" i="9"/>
  <c r="I42" i="9"/>
  <c r="J42" i="9"/>
  <c r="K42" i="9"/>
  <c r="M42" i="9"/>
  <c r="N42" i="9"/>
  <c r="C43" i="9"/>
  <c r="D43" i="9"/>
  <c r="E43" i="9"/>
  <c r="F43" i="9"/>
  <c r="G43" i="9"/>
  <c r="H43" i="9"/>
  <c r="I43" i="9"/>
  <c r="J43" i="9"/>
  <c r="K43" i="9"/>
  <c r="L43" i="9"/>
  <c r="M43" i="9"/>
  <c r="N43" i="9"/>
  <c r="M41" i="9"/>
  <c r="L41" i="9"/>
  <c r="K41" i="9"/>
  <c r="J41" i="9"/>
  <c r="I41" i="9"/>
  <c r="H41" i="9"/>
  <c r="G41" i="9"/>
  <c r="F41" i="9"/>
  <c r="E41" i="9"/>
  <c r="D41" i="9"/>
  <c r="C41" i="9"/>
  <c r="B41" i="9"/>
  <c r="S38" i="9"/>
  <c r="O38" i="9"/>
  <c r="T26" i="9"/>
  <c r="T27" i="9"/>
  <c r="T28" i="9"/>
  <c r="T29" i="9"/>
  <c r="T30" i="9"/>
  <c r="T31" i="9"/>
  <c r="T32" i="9"/>
  <c r="T33" i="9"/>
  <c r="T34" i="9"/>
  <c r="S26" i="9"/>
  <c r="S27" i="9"/>
  <c r="S28" i="9"/>
  <c r="S29" i="9"/>
  <c r="S30" i="9"/>
  <c r="S31" i="9"/>
  <c r="S32" i="9"/>
  <c r="S33" i="9"/>
  <c r="S34" i="9"/>
  <c r="S23" i="9"/>
  <c r="N41" i="8"/>
  <c r="O41" i="8"/>
  <c r="T39" i="8"/>
  <c r="O35" i="8"/>
  <c r="T40" i="8"/>
  <c r="O33" i="8"/>
  <c r="T41" i="8"/>
  <c r="O31" i="8"/>
  <c r="T42" i="8"/>
  <c r="O32" i="8"/>
  <c r="T43" i="8"/>
  <c r="O34" i="8"/>
  <c r="T44" i="8"/>
  <c r="T45" i="8"/>
  <c r="S39" i="8"/>
  <c r="S40" i="8"/>
  <c r="S41" i="8"/>
  <c r="S42" i="8"/>
  <c r="S43" i="8"/>
  <c r="S44" i="8"/>
  <c r="S45" i="8"/>
  <c r="B45" i="8"/>
  <c r="M45" i="8"/>
  <c r="N45" i="8"/>
  <c r="C42" i="8"/>
  <c r="G42" i="8"/>
  <c r="E42" i="8"/>
  <c r="M42" i="8"/>
  <c r="D42" i="8"/>
  <c r="F42" i="8"/>
  <c r="H42" i="8"/>
  <c r="I42" i="8"/>
  <c r="J42" i="8"/>
  <c r="K42" i="8"/>
  <c r="L42" i="8"/>
  <c r="N42" i="8"/>
  <c r="C43" i="8"/>
  <c r="D43" i="8"/>
  <c r="E43" i="8"/>
  <c r="F43" i="8"/>
  <c r="G43" i="8"/>
  <c r="H43" i="8"/>
  <c r="I43" i="8"/>
  <c r="J43" i="8"/>
  <c r="K43" i="8"/>
  <c r="L43" i="8"/>
  <c r="M43" i="8"/>
  <c r="N43" i="8"/>
  <c r="M41" i="8"/>
  <c r="L41" i="8"/>
  <c r="K41" i="8"/>
  <c r="J41" i="8"/>
  <c r="I41" i="8"/>
  <c r="H41" i="8"/>
  <c r="G41" i="8"/>
  <c r="F41" i="8"/>
  <c r="E41" i="8"/>
  <c r="D41" i="8"/>
  <c r="C41" i="8"/>
  <c r="B41" i="8"/>
  <c r="S38" i="8"/>
  <c r="O38" i="8"/>
  <c r="T26" i="8"/>
  <c r="T27" i="8"/>
  <c r="T28" i="8"/>
  <c r="T29" i="8"/>
  <c r="T30" i="8"/>
  <c r="T31" i="8"/>
  <c r="T32" i="8"/>
  <c r="T33" i="8"/>
  <c r="T34" i="8"/>
  <c r="S26" i="8"/>
  <c r="S27" i="8"/>
  <c r="S31" i="8"/>
  <c r="S30" i="8"/>
  <c r="S28" i="8"/>
  <c r="S29" i="8"/>
  <c r="S32" i="8"/>
  <c r="S33" i="8"/>
  <c r="S34" i="8"/>
  <c r="S23" i="8"/>
  <c r="N41" i="7"/>
  <c r="O41" i="7"/>
  <c r="T39" i="7"/>
  <c r="O35" i="7"/>
  <c r="T40" i="7"/>
  <c r="O33" i="7"/>
  <c r="T41" i="7"/>
  <c r="O31" i="7"/>
  <c r="T42" i="7"/>
  <c r="O32" i="7"/>
  <c r="T43" i="7"/>
  <c r="O34" i="7"/>
  <c r="T44" i="7"/>
  <c r="T45" i="7"/>
  <c r="S39" i="7"/>
  <c r="S40" i="7"/>
  <c r="S41" i="7"/>
  <c r="S42" i="7"/>
  <c r="S43" i="7"/>
  <c r="S44" i="7"/>
  <c r="S45" i="7"/>
  <c r="B45" i="7"/>
  <c r="M45" i="7"/>
  <c r="N45" i="7"/>
  <c r="C42" i="7"/>
  <c r="D42" i="7"/>
  <c r="E42" i="7"/>
  <c r="F42" i="7"/>
  <c r="G42" i="7"/>
  <c r="H42" i="7"/>
  <c r="I42" i="7"/>
  <c r="J42" i="7"/>
  <c r="K42" i="7"/>
  <c r="L42" i="7"/>
  <c r="M42" i="7"/>
  <c r="N42" i="7"/>
  <c r="C43" i="7"/>
  <c r="D43" i="7"/>
  <c r="E43" i="7"/>
  <c r="F43" i="7"/>
  <c r="G43" i="7"/>
  <c r="H43" i="7"/>
  <c r="I43" i="7"/>
  <c r="J43" i="7"/>
  <c r="K43" i="7"/>
  <c r="L43" i="7"/>
  <c r="M43" i="7"/>
  <c r="N43" i="7"/>
  <c r="M41" i="7"/>
  <c r="L41" i="7"/>
  <c r="K41" i="7"/>
  <c r="J41" i="7"/>
  <c r="I41" i="7"/>
  <c r="H41" i="7"/>
  <c r="G41" i="7"/>
  <c r="F41" i="7"/>
  <c r="E41" i="7"/>
  <c r="D41" i="7"/>
  <c r="C41" i="7"/>
  <c r="B41" i="7"/>
  <c r="S38" i="7"/>
  <c r="O38" i="7"/>
  <c r="T26" i="7"/>
  <c r="T27" i="7"/>
  <c r="T28" i="7"/>
  <c r="T29" i="7"/>
  <c r="T30" i="7"/>
  <c r="T31" i="7"/>
  <c r="T32" i="7"/>
  <c r="T33" i="7"/>
  <c r="T34" i="7"/>
  <c r="S26" i="7"/>
  <c r="S27" i="7"/>
  <c r="S28" i="7"/>
  <c r="S29" i="7"/>
  <c r="S30" i="7"/>
  <c r="S31" i="7"/>
  <c r="S32" i="7"/>
  <c r="S33" i="7"/>
  <c r="S34" i="7"/>
  <c r="S23" i="7"/>
  <c r="N41" i="6"/>
  <c r="O41" i="6"/>
  <c r="T39" i="6"/>
  <c r="O35" i="6"/>
  <c r="T40" i="6"/>
  <c r="O33" i="6"/>
  <c r="T41" i="6"/>
  <c r="O31" i="6"/>
  <c r="T42" i="6"/>
  <c r="O32" i="6"/>
  <c r="T43" i="6"/>
  <c r="O34" i="6"/>
  <c r="T44" i="6"/>
  <c r="T45" i="6"/>
  <c r="S39" i="6"/>
  <c r="S40" i="6"/>
  <c r="S41" i="6"/>
  <c r="S42" i="6"/>
  <c r="S43" i="6"/>
  <c r="S44" i="6"/>
  <c r="S45" i="6"/>
  <c r="B45" i="6"/>
  <c r="M45" i="6"/>
  <c r="N45" i="6"/>
  <c r="C42" i="6"/>
  <c r="D42" i="6"/>
  <c r="E42" i="6"/>
  <c r="F42" i="6"/>
  <c r="G42" i="6"/>
  <c r="H42" i="6"/>
  <c r="I42" i="6"/>
  <c r="J42" i="6"/>
  <c r="K42" i="6"/>
  <c r="L42" i="6"/>
  <c r="M42" i="6"/>
  <c r="N42" i="6"/>
  <c r="C43" i="6"/>
  <c r="D43" i="6"/>
  <c r="E43" i="6"/>
  <c r="F43" i="6"/>
  <c r="G43" i="6"/>
  <c r="H43" i="6"/>
  <c r="I43" i="6"/>
  <c r="J43" i="6"/>
  <c r="K43" i="6"/>
  <c r="L43" i="6"/>
  <c r="M43" i="6"/>
  <c r="N43" i="6"/>
  <c r="M41" i="6"/>
  <c r="L41" i="6"/>
  <c r="K41" i="6"/>
  <c r="J41" i="6"/>
  <c r="I41" i="6"/>
  <c r="H41" i="6"/>
  <c r="G41" i="6"/>
  <c r="F41" i="6"/>
  <c r="E41" i="6"/>
  <c r="D41" i="6"/>
  <c r="C41" i="6"/>
  <c r="B41" i="6"/>
  <c r="S38" i="6"/>
  <c r="O38" i="6"/>
  <c r="T26" i="6"/>
  <c r="T27" i="6"/>
  <c r="T28" i="6"/>
  <c r="T29" i="6"/>
  <c r="T30" i="6"/>
  <c r="T31" i="6"/>
  <c r="T32" i="6"/>
  <c r="T33" i="6"/>
  <c r="T34" i="6"/>
  <c r="S26" i="6"/>
  <c r="S27" i="6"/>
  <c r="S28" i="6"/>
  <c r="S29" i="6"/>
  <c r="S30" i="6"/>
  <c r="S31" i="6"/>
  <c r="S32" i="6"/>
  <c r="S33" i="6"/>
  <c r="S34" i="6"/>
  <c r="S23" i="6"/>
  <c r="N41" i="5"/>
  <c r="O41" i="5"/>
  <c r="T39" i="5"/>
  <c r="O35" i="5"/>
  <c r="T40" i="5"/>
  <c r="O33" i="5"/>
  <c r="T41" i="5"/>
  <c r="O31" i="5"/>
  <c r="T42" i="5"/>
  <c r="O32" i="5"/>
  <c r="T43" i="5"/>
  <c r="O34" i="5"/>
  <c r="T44" i="5"/>
  <c r="T45" i="5"/>
  <c r="S39" i="5"/>
  <c r="S40" i="5"/>
  <c r="S41" i="5"/>
  <c r="S42" i="5"/>
  <c r="S43" i="5"/>
  <c r="S44" i="5"/>
  <c r="S45" i="5"/>
  <c r="B45" i="5"/>
  <c r="M45" i="5"/>
  <c r="N45" i="5"/>
  <c r="C42" i="5"/>
  <c r="D42" i="5"/>
  <c r="E42" i="5"/>
  <c r="M42" i="5"/>
  <c r="G42" i="5"/>
  <c r="F42" i="5"/>
  <c r="H42" i="5"/>
  <c r="I42" i="5"/>
  <c r="J42" i="5"/>
  <c r="K42" i="5"/>
  <c r="L42" i="5"/>
  <c r="N42" i="5"/>
  <c r="C43" i="5"/>
  <c r="D43" i="5"/>
  <c r="E43" i="5"/>
  <c r="F43" i="5"/>
  <c r="G43" i="5"/>
  <c r="H43" i="5"/>
  <c r="I43" i="5"/>
  <c r="J43" i="5"/>
  <c r="K43" i="5"/>
  <c r="L43" i="5"/>
  <c r="M43" i="5"/>
  <c r="N43" i="5"/>
  <c r="M41" i="5"/>
  <c r="L41" i="5"/>
  <c r="K41" i="5"/>
  <c r="J41" i="5"/>
  <c r="I41" i="5"/>
  <c r="H41" i="5"/>
  <c r="G41" i="5"/>
  <c r="F41" i="5"/>
  <c r="E41" i="5"/>
  <c r="D41" i="5"/>
  <c r="C41" i="5"/>
  <c r="B41" i="5"/>
  <c r="S38" i="5"/>
  <c r="O38" i="5"/>
  <c r="T26" i="5"/>
  <c r="T27" i="5"/>
  <c r="T28" i="5"/>
  <c r="T29" i="5"/>
  <c r="T30" i="5"/>
  <c r="T31" i="5"/>
  <c r="T32" i="5"/>
  <c r="T33" i="5"/>
  <c r="T34" i="5"/>
  <c r="S26" i="5"/>
  <c r="S27" i="5"/>
  <c r="S30" i="5"/>
  <c r="S28" i="5"/>
  <c r="S29" i="5"/>
  <c r="S31" i="5"/>
  <c r="S32" i="5"/>
  <c r="S33" i="5"/>
  <c r="S34" i="5"/>
  <c r="S23" i="5"/>
  <c r="N41" i="4"/>
  <c r="O41" i="4"/>
  <c r="T39" i="4"/>
  <c r="O35" i="4"/>
  <c r="T40" i="4"/>
  <c r="O33" i="4"/>
  <c r="T41" i="4"/>
  <c r="O31" i="4"/>
  <c r="T42" i="4"/>
  <c r="O32" i="4"/>
  <c r="T43" i="4"/>
  <c r="O34" i="4"/>
  <c r="T44" i="4"/>
  <c r="T45" i="4"/>
  <c r="S39" i="4"/>
  <c r="S40" i="4"/>
  <c r="S41" i="4"/>
  <c r="S42" i="4"/>
  <c r="S43" i="4"/>
  <c r="S44" i="4"/>
  <c r="S45" i="4"/>
  <c r="B45" i="4"/>
  <c r="M45" i="4"/>
  <c r="N45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M41" i="4"/>
  <c r="L41" i="4"/>
  <c r="K41" i="4"/>
  <c r="J41" i="4"/>
  <c r="I41" i="4"/>
  <c r="H41" i="4"/>
  <c r="G41" i="4"/>
  <c r="F41" i="4"/>
  <c r="E41" i="4"/>
  <c r="D41" i="4"/>
  <c r="C41" i="4"/>
  <c r="B41" i="4"/>
  <c r="S38" i="4"/>
  <c r="O38" i="4"/>
  <c r="T26" i="4"/>
  <c r="T27" i="4"/>
  <c r="T28" i="4"/>
  <c r="T29" i="4"/>
  <c r="T30" i="4"/>
  <c r="T31" i="4"/>
  <c r="T32" i="4"/>
  <c r="T33" i="4"/>
  <c r="T34" i="4"/>
  <c r="S26" i="4"/>
  <c r="S27" i="4"/>
  <c r="S28" i="4"/>
  <c r="S29" i="4"/>
  <c r="S30" i="4"/>
  <c r="S31" i="4"/>
  <c r="S32" i="4"/>
  <c r="S33" i="4"/>
  <c r="S34" i="4"/>
  <c r="S23" i="4"/>
  <c r="N41" i="3"/>
  <c r="O41" i="3"/>
  <c r="T39" i="3"/>
  <c r="O35" i="3"/>
  <c r="T40" i="3"/>
  <c r="O33" i="3"/>
  <c r="T41" i="3"/>
  <c r="O31" i="3"/>
  <c r="T42" i="3"/>
  <c r="O32" i="3"/>
  <c r="T43" i="3"/>
  <c r="O34" i="3"/>
  <c r="T44" i="3"/>
  <c r="T45" i="3"/>
  <c r="S39" i="3"/>
  <c r="S40" i="3"/>
  <c r="S41" i="3"/>
  <c r="S42" i="3"/>
  <c r="S43" i="3"/>
  <c r="S44" i="3"/>
  <c r="S45" i="3"/>
  <c r="B45" i="3"/>
  <c r="M45" i="3"/>
  <c r="N45" i="3"/>
  <c r="C42" i="3"/>
  <c r="I42" i="3"/>
  <c r="L42" i="3"/>
  <c r="D42" i="3"/>
  <c r="E42" i="3"/>
  <c r="F42" i="3"/>
  <c r="G42" i="3"/>
  <c r="H42" i="3"/>
  <c r="J42" i="3"/>
  <c r="K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M41" i="3"/>
  <c r="L41" i="3"/>
  <c r="K41" i="3"/>
  <c r="J41" i="3"/>
  <c r="I41" i="3"/>
  <c r="H41" i="3"/>
  <c r="G41" i="3"/>
  <c r="F41" i="3"/>
  <c r="E41" i="3"/>
  <c r="D41" i="3"/>
  <c r="C41" i="3"/>
  <c r="B41" i="3"/>
  <c r="S38" i="3"/>
  <c r="O38" i="3"/>
  <c r="T26" i="3"/>
  <c r="T27" i="3"/>
  <c r="T28" i="3"/>
  <c r="T29" i="3"/>
  <c r="T30" i="3"/>
  <c r="T31" i="3"/>
  <c r="T32" i="3"/>
  <c r="T33" i="3"/>
  <c r="T34" i="3"/>
  <c r="S26" i="3"/>
  <c r="S27" i="3"/>
  <c r="S29" i="3"/>
  <c r="S31" i="3"/>
  <c r="S32" i="3"/>
  <c r="S28" i="3"/>
  <c r="S30" i="3"/>
  <c r="S33" i="3"/>
  <c r="S34" i="3"/>
  <c r="S23" i="3"/>
  <c r="N41" i="2"/>
  <c r="O41" i="2"/>
  <c r="T39" i="2"/>
  <c r="O35" i="2"/>
  <c r="T40" i="2"/>
  <c r="O33" i="2"/>
  <c r="T41" i="2"/>
  <c r="O31" i="2"/>
  <c r="T42" i="2"/>
  <c r="O32" i="2"/>
  <c r="T43" i="2"/>
  <c r="O34" i="2"/>
  <c r="T44" i="2"/>
  <c r="T45" i="2"/>
  <c r="S39" i="2"/>
  <c r="S40" i="2"/>
  <c r="S41" i="2"/>
  <c r="S42" i="2"/>
  <c r="S43" i="2"/>
  <c r="S44" i="2"/>
  <c r="S45" i="2"/>
  <c r="B45" i="2"/>
  <c r="M45" i="2"/>
  <c r="N45" i="2"/>
  <c r="C42" i="2"/>
  <c r="E42" i="2"/>
  <c r="M42" i="2"/>
  <c r="D42" i="2"/>
  <c r="F42" i="2"/>
  <c r="G42" i="2"/>
  <c r="H42" i="2"/>
  <c r="I42" i="2"/>
  <c r="J42" i="2"/>
  <c r="K42" i="2"/>
  <c r="L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M41" i="2"/>
  <c r="L41" i="2"/>
  <c r="K41" i="2"/>
  <c r="J41" i="2"/>
  <c r="I41" i="2"/>
  <c r="H41" i="2"/>
  <c r="G41" i="2"/>
  <c r="F41" i="2"/>
  <c r="E41" i="2"/>
  <c r="D41" i="2"/>
  <c r="C41" i="2"/>
  <c r="B41" i="2"/>
  <c r="S38" i="2"/>
  <c r="O38" i="2"/>
  <c r="T26" i="2"/>
  <c r="T27" i="2"/>
  <c r="T28" i="2"/>
  <c r="T29" i="2"/>
  <c r="T30" i="2"/>
  <c r="T31" i="2"/>
  <c r="T32" i="2"/>
  <c r="T33" i="2"/>
  <c r="T34" i="2"/>
  <c r="S26" i="2"/>
  <c r="S27" i="2"/>
  <c r="S28" i="2"/>
  <c r="S29" i="2"/>
  <c r="S30" i="2"/>
  <c r="S31" i="2"/>
  <c r="S32" i="2"/>
  <c r="S33" i="2"/>
  <c r="S34" i="2"/>
  <c r="S23" i="2"/>
</calcChain>
</file>

<file path=xl/comments1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beräknad utifrån utsläpp från milj.rapport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beräknad utifrån emissioner från milj.rapport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Innehåller både beckolja
 och bioolja och starkgas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Beräknad utifrån totalsumman på länsnivå</t>
        </r>
      </text>
    </comment>
    <comment ref="F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Antagits vara samma som 2009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Hämtad från milj-rapport från milj.rapport</t>
        </r>
      </text>
    </comment>
    <comment ref="G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har antagits vara samma värde som 2011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  <author>Jonas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Calibri"/>
            <family val="2"/>
          </rPr>
          <t>Jonas:</t>
        </r>
        <r>
          <rPr>
            <sz val="9"/>
            <color indexed="81"/>
            <rFont val="Calibri"/>
            <family val="2"/>
          </rPr>
          <t xml:space="preserve">
Återstoden har antagits vara gasol/naturgas eftersom miljörapport för största industrin endast anger dessa</t>
        </r>
      </text>
    </comment>
  </commentList>
</comments>
</file>

<file path=xl/sharedStrings.xml><?xml version="1.0" encoding="utf-8"?>
<sst xmlns="http://schemas.openxmlformats.org/spreadsheetml/2006/main" count="883" uniqueCount="76">
  <si>
    <t>Elproduktion och bränsleanvändning (MWh) efter tid, region, produktionssätt och bränsletyp</t>
  </si>
  <si>
    <t>0305 Håbo</t>
  </si>
  <si>
    <t>Elproduktion</t>
  </si>
  <si>
    <t>Olja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</si>
  <si>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</si>
  <si>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</si>
  <si>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</si>
  <si>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</si>
  <si>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</si>
  <si>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</si>
  <si>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</si>
  <si>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</si>
  <si>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</si>
  <si>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</si>
  <si>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</si>
  <si>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</si>
  <si>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</si>
  <si>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</si>
  <si>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</si>
  <si>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</si>
  <si>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</si>
  <si>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</si>
  <si>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</si>
  <si>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</si>
  <si>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</si>
  <si>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</si>
  <si>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</si>
  <si>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</si>
  <si>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</si>
  <si>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</si>
  <si>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</si>
  <si>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</si>
  <si>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</si>
  <si>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</si>
  <si>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</si>
  <si>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</si>
  <si>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</si>
  <si>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</si>
  <si>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</si>
  <si>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</si>
  <si>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</si>
  <si>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</si>
  <si>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</si>
  <si>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</si>
  <si>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</si>
  <si>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</si>
  <si>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</si>
  <si>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</si>
  <si>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</si>
  <si>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</si>
  <si>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</si>
  <si>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</si>
  <si>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</si>
  <si>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</si>
  <si>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</si>
  <si>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</si>
  <si>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</si>
  <si>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</si>
  <si>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</si>
  <si>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</si>
  <si>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</si>
  <si>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</si>
  <si>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</si>
  <si>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</si>
  <si>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</si>
  <si>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</si>
  <si>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</si>
  <si>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</si>
  <si>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</si>
  <si>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Distributionsförlust</t>
  </si>
  <si>
    <t>Kärnbränsle</t>
  </si>
  <si>
    <t>köpt värme</t>
  </si>
  <si>
    <t>Uppsala län</t>
  </si>
  <si>
    <t>rökgaskondens</t>
  </si>
  <si>
    <t>Kol/koks</t>
  </si>
  <si>
    <t>Beckolja, starkgas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</si>
</sst>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#,##0.000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i/>
      <sz val="11"/>
      <color rgb="FF000000"/>
      <name val="Calibri"/>
      <scheme val="minor"/>
    </font>
    <font>
      <i/>
      <sz val="12"/>
      <color theme="1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rgb="FF008000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63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/>
    <xf numFmtId="0" fontId="8" fillId="0" borderId="0" xfId="1" applyFont="1" applyFill="1" applyProtection="1"/>
    <xf numFmtId="3" fontId="4" fillId="0" borderId="0" xfId="1" applyNumberFormat="1"/>
    <xf numFmtId="0" fontId="4" fillId="0" borderId="0" xfId="1"/>
    <xf numFmtId="0" fontId="8" fillId="0" borderId="0" xfId="0" applyFont="1" applyFill="1" applyProtection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3" fontId="4" fillId="0" borderId="0" xfId="1" applyNumberFormat="1" applyFill="1" applyProtection="1"/>
    <xf numFmtId="0" fontId="9" fillId="0" borderId="0" xfId="0" applyFont="1"/>
    <xf numFmtId="165" fontId="11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2" fillId="0" borderId="0" xfId="1" applyFont="1"/>
    <xf numFmtId="3" fontId="12" fillId="0" borderId="0" xfId="1" applyNumberFormat="1" applyFont="1"/>
    <xf numFmtId="3" fontId="11" fillId="0" borderId="0" xfId="1" applyNumberFormat="1" applyFont="1"/>
    <xf numFmtId="3" fontId="11" fillId="2" borderId="0" xfId="1" applyNumberFormat="1" applyFont="1" applyFill="1"/>
    <xf numFmtId="3" fontId="13" fillId="2" borderId="0" xfId="1" applyNumberFormat="1" applyFont="1" applyFill="1"/>
    <xf numFmtId="3" fontId="4" fillId="2" borderId="0" xfId="1" applyNumberFormat="1" applyFill="1"/>
    <xf numFmtId="1" fontId="4" fillId="0" borderId="0" xfId="1" applyNumberFormat="1"/>
    <xf numFmtId="165" fontId="11" fillId="0" borderId="0" xfId="2" applyNumberFormat="1" applyFont="1"/>
    <xf numFmtId="165" fontId="3" fillId="0" borderId="0" xfId="2" applyNumberFormat="1" applyFont="1"/>
    <xf numFmtId="3" fontId="13" fillId="0" borderId="0" xfId="1" applyNumberFormat="1" applyFont="1"/>
    <xf numFmtId="9" fontId="13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3" fillId="0" borderId="0" xfId="2" applyNumberFormat="1" applyFont="1"/>
    <xf numFmtId="9" fontId="3" fillId="0" borderId="0" xfId="2" applyFont="1"/>
    <xf numFmtId="3" fontId="0" fillId="0" borderId="0" xfId="0" applyNumberFormat="1"/>
    <xf numFmtId="3" fontId="0" fillId="0" borderId="0" xfId="0" applyNumberFormat="1" applyFill="1" applyProtection="1"/>
    <xf numFmtId="0" fontId="0" fillId="0" borderId="0" xfId="0" applyFill="1" applyProtection="1"/>
    <xf numFmtId="3" fontId="0" fillId="0" borderId="0" xfId="0" applyNumberFormat="1" applyAlignment="1">
      <alignment horizontal="right"/>
    </xf>
    <xf numFmtId="3" fontId="10" fillId="0" borderId="0" xfId="1" applyNumberFormat="1" applyFont="1" applyFill="1" applyProtection="1"/>
    <xf numFmtId="0" fontId="9" fillId="0" borderId="0" xfId="0" applyFont="1" applyAlignment="1">
      <alignment horizontal="right"/>
    </xf>
    <xf numFmtId="9" fontId="15" fillId="0" borderId="0" xfId="3" applyFont="1"/>
    <xf numFmtId="9" fontId="16" fillId="0" borderId="0" xfId="3" applyFont="1"/>
    <xf numFmtId="3" fontId="17" fillId="0" borderId="0" xfId="0" applyNumberFormat="1" applyFont="1" applyFill="1"/>
    <xf numFmtId="3" fontId="18" fillId="0" borderId="0" xfId="0" applyNumberFormat="1" applyFont="1" applyFill="1" applyProtection="1"/>
    <xf numFmtId="3" fontId="17" fillId="0" borderId="0" xfId="0" applyNumberFormat="1" applyFont="1"/>
    <xf numFmtId="9" fontId="16" fillId="0" borderId="0" xfId="3" applyFont="1" applyFill="1"/>
    <xf numFmtId="3" fontId="17" fillId="0" borderId="0" xfId="0" applyNumberFormat="1" applyFont="1" applyAlignment="1">
      <alignment horizontal="right"/>
    </xf>
    <xf numFmtId="0" fontId="17" fillId="0" borderId="0" xfId="0" applyFont="1"/>
    <xf numFmtId="9" fontId="21" fillId="0" borderId="0" xfId="3" applyFont="1" applyFill="1" applyProtection="1"/>
    <xf numFmtId="3" fontId="18" fillId="0" borderId="0" xfId="0" applyNumberFormat="1" applyFont="1"/>
    <xf numFmtId="3" fontId="18" fillId="0" borderId="0" xfId="0" applyNumberFormat="1" applyFont="1" applyAlignment="1">
      <alignment horizontal="right"/>
    </xf>
    <xf numFmtId="167" fontId="4" fillId="0" borderId="0" xfId="1" applyNumberFormat="1" applyFill="1" applyProtection="1"/>
    <xf numFmtId="3" fontId="9" fillId="0" borderId="0" xfId="0" applyNumberFormat="1" applyFont="1" applyFill="1"/>
    <xf numFmtId="0" fontId="24" fillId="0" borderId="0" xfId="0" applyFont="1" applyFill="1" applyProtection="1"/>
    <xf numFmtId="0" fontId="25" fillId="0" borderId="0" xfId="0" applyFont="1"/>
    <xf numFmtId="9" fontId="0" fillId="0" borderId="0" xfId="62" applyFont="1"/>
  </cellXfs>
  <cellStyles count="63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Normal" xfId="0" builtinId="0"/>
    <cellStyle name="Normal 2" xfId="1"/>
    <cellStyle name="Percent" xfId="3" builtinId="5"/>
    <cellStyle name="Percent 2" xfId="2"/>
    <cellStyle name="Percent 3" xfId="6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125" zoomScaleNormal="125" zoomScalePageLayoutView="125" workbookViewId="0">
      <selection activeCell="A4" sqref="A4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57" t="s">
        <v>0</v>
      </c>
    </row>
    <row r="2" spans="1:14">
      <c r="A2" s="57" t="s">
        <v>72</v>
      </c>
    </row>
    <row r="3" spans="1:14">
      <c r="A3">
        <v>2013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32</v>
      </c>
      <c r="H3" t="s">
        <v>7</v>
      </c>
      <c r="I3" t="s">
        <v>6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6" spans="1:14">
      <c r="A6" t="s">
        <v>13</v>
      </c>
      <c r="B6" s="37">
        <v>318180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</row>
    <row r="7" spans="1:14">
      <c r="A7" t="s">
        <v>14</v>
      </c>
      <c r="B7" s="37">
        <v>25370340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66424933</v>
      </c>
      <c r="M7" s="37">
        <v>0</v>
      </c>
      <c r="N7" s="37">
        <f>SUM(C7:M7)</f>
        <v>66424933</v>
      </c>
    </row>
    <row r="8" spans="1:14">
      <c r="A8" t="s">
        <v>15</v>
      </c>
      <c r="B8" s="37">
        <v>842407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</row>
    <row r="9" spans="1:14">
      <c r="A9" t="s">
        <v>16</v>
      </c>
      <c r="B9" s="37">
        <v>30081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</row>
    <row r="10" spans="1:14">
      <c r="A10" t="s">
        <v>17</v>
      </c>
      <c r="B10" s="37">
        <f>SUM(B6:B9)</f>
        <v>26561008</v>
      </c>
      <c r="C10" s="37">
        <f t="shared" ref="C10:N10" si="0">SUM(C6:C9)</f>
        <v>0</v>
      </c>
      <c r="D10" s="37">
        <f t="shared" si="0"/>
        <v>0</v>
      </c>
      <c r="E10" s="37">
        <f t="shared" si="0"/>
        <v>0</v>
      </c>
      <c r="F10" s="37">
        <f t="shared" si="0"/>
        <v>0</v>
      </c>
      <c r="G10" s="37">
        <f t="shared" si="0"/>
        <v>0</v>
      </c>
      <c r="H10" s="37">
        <f t="shared" si="0"/>
        <v>0</v>
      </c>
      <c r="I10" s="37">
        <f t="shared" si="0"/>
        <v>0</v>
      </c>
      <c r="J10" s="37">
        <f t="shared" si="0"/>
        <v>0</v>
      </c>
      <c r="K10" s="37">
        <f t="shared" si="0"/>
        <v>0</v>
      </c>
      <c r="L10" s="37">
        <f t="shared" si="0"/>
        <v>66424933</v>
      </c>
      <c r="M10" s="37">
        <f t="shared" si="0"/>
        <v>0</v>
      </c>
      <c r="N10" s="37">
        <f t="shared" si="0"/>
        <v>66424933</v>
      </c>
    </row>
    <row r="11" spans="1:14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>
      <c r="A13" s="57" t="s">
        <v>18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>
      <c r="B15" s="37" t="s">
        <v>19</v>
      </c>
      <c r="C15" s="37" t="s">
        <v>3</v>
      </c>
      <c r="D15" s="37" t="s">
        <v>4</v>
      </c>
      <c r="E15" s="37" t="s">
        <v>5</v>
      </c>
      <c r="F15" s="37" t="s">
        <v>20</v>
      </c>
      <c r="G15" s="37" t="s">
        <v>32</v>
      </c>
      <c r="H15" s="37" t="s">
        <v>7</v>
      </c>
      <c r="I15" s="37" t="s">
        <v>6</v>
      </c>
      <c r="J15" s="37" t="s">
        <v>8</v>
      </c>
      <c r="K15" s="37" t="s">
        <v>9</v>
      </c>
      <c r="L15" s="37" t="s">
        <v>10</v>
      </c>
      <c r="M15" s="37" t="s">
        <v>11</v>
      </c>
      <c r="N15" s="37" t="s">
        <v>12</v>
      </c>
    </row>
    <row r="16" spans="1:14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20">
      <c r="A17" t="s">
        <v>21</v>
      </c>
      <c r="B17" s="37">
        <v>1646675</v>
      </c>
      <c r="C17" s="37">
        <v>42630</v>
      </c>
      <c r="D17" s="37">
        <v>0</v>
      </c>
      <c r="E17" s="37">
        <v>0</v>
      </c>
      <c r="F17" s="37">
        <v>0</v>
      </c>
      <c r="G17" s="37">
        <v>473545</v>
      </c>
      <c r="H17" s="37">
        <v>6751</v>
      </c>
      <c r="I17" s="37">
        <v>0</v>
      </c>
      <c r="J17" s="37">
        <v>547314</v>
      </c>
      <c r="K17" s="37">
        <v>1106119</v>
      </c>
      <c r="L17" s="37">
        <v>0</v>
      </c>
      <c r="M17" s="37">
        <v>58909</v>
      </c>
      <c r="N17" s="37">
        <f>SUM(C17:M17)</f>
        <v>2235268</v>
      </c>
    </row>
    <row r="18" spans="1:20">
      <c r="A18" t="s">
        <v>22</v>
      </c>
      <c r="B18" s="37">
        <v>866892</v>
      </c>
      <c r="C18" s="37">
        <v>29379</v>
      </c>
      <c r="D18" s="37">
        <v>0</v>
      </c>
      <c r="E18" s="37">
        <v>2251</v>
      </c>
      <c r="F18" s="37">
        <v>5314.3529411764703</v>
      </c>
      <c r="G18" s="37">
        <v>326723.70588235295</v>
      </c>
      <c r="H18" s="37">
        <v>1060</v>
      </c>
      <c r="I18" s="37">
        <v>0</v>
      </c>
      <c r="J18" s="37">
        <v>94327</v>
      </c>
      <c r="K18" s="37">
        <v>0</v>
      </c>
      <c r="L18" s="37">
        <v>0</v>
      </c>
      <c r="M18" s="37">
        <v>218007.49</v>
      </c>
      <c r="N18" s="37">
        <f>SUM(C18:M18)</f>
        <v>677062.54882352939</v>
      </c>
    </row>
    <row r="19" spans="1:20">
      <c r="A19" t="s">
        <v>23</v>
      </c>
      <c r="B19" s="37">
        <v>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>
        <f t="shared" ref="N19:N20" si="1">SUM(C19:M19)</f>
        <v>0</v>
      </c>
    </row>
    <row r="20" spans="1:20">
      <c r="A20" t="s">
        <v>24</v>
      </c>
      <c r="B20" s="37">
        <v>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>
        <f t="shared" si="1"/>
        <v>0</v>
      </c>
    </row>
    <row r="21" spans="1:20">
      <c r="A21" t="s">
        <v>25</v>
      </c>
      <c r="B21" s="37">
        <v>37280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>
        <v>0</v>
      </c>
    </row>
    <row r="22" spans="1:20">
      <c r="A22" t="s">
        <v>73</v>
      </c>
      <c r="B22" s="37"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>
        <v>0</v>
      </c>
    </row>
    <row r="23" spans="1:20">
      <c r="A23" t="s">
        <v>17</v>
      </c>
      <c r="B23" s="37">
        <f>SUM(B17:B22)</f>
        <v>2550847</v>
      </c>
      <c r="C23" s="37">
        <f t="shared" ref="C23:N23" si="2">SUM(C17:C22)</f>
        <v>72009</v>
      </c>
      <c r="D23" s="37">
        <f t="shared" si="2"/>
        <v>0</v>
      </c>
      <c r="E23" s="37">
        <f t="shared" si="2"/>
        <v>2251</v>
      </c>
      <c r="F23" s="37">
        <f t="shared" si="2"/>
        <v>5314.3529411764703</v>
      </c>
      <c r="G23" s="37">
        <f t="shared" si="2"/>
        <v>800268.70588235301</v>
      </c>
      <c r="H23" s="37">
        <f t="shared" si="2"/>
        <v>7811</v>
      </c>
      <c r="I23" s="37">
        <f t="shared" si="2"/>
        <v>0</v>
      </c>
      <c r="J23" s="37">
        <f t="shared" si="2"/>
        <v>641641</v>
      </c>
      <c r="K23" s="37">
        <f t="shared" si="2"/>
        <v>1106119</v>
      </c>
      <c r="L23" s="37">
        <f t="shared" si="2"/>
        <v>0</v>
      </c>
      <c r="M23" s="37">
        <f t="shared" si="2"/>
        <v>276916.49</v>
      </c>
      <c r="N23" s="37">
        <f t="shared" si="2"/>
        <v>2912330.5488235294</v>
      </c>
      <c r="R23" s="3" t="s">
        <v>26</v>
      </c>
      <c r="S23" s="12">
        <f>N42/1000</f>
        <v>11943.87830882353</v>
      </c>
      <c r="T23" s="3"/>
    </row>
    <row r="24" spans="1:20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R24" s="3"/>
      <c r="S24" s="3"/>
      <c r="T24" s="3"/>
    </row>
    <row r="25" spans="1:20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R25" s="3"/>
      <c r="S25" s="3" t="s">
        <v>27</v>
      </c>
      <c r="T25" s="3" t="s">
        <v>28</v>
      </c>
    </row>
    <row r="26" spans="1:20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R26" s="3" t="s">
        <v>11</v>
      </c>
      <c r="S26" s="13">
        <f>M42/1000</f>
        <v>3069.2952500000001</v>
      </c>
      <c r="T26" s="14">
        <f>M43</f>
        <v>0.25697643350339233</v>
      </c>
    </row>
    <row r="27" spans="1:20">
      <c r="A27" s="57" t="s">
        <v>29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R27" s="37" t="s">
        <v>32</v>
      </c>
      <c r="S27" s="13">
        <f>G42/1000</f>
        <v>1429.022705882353</v>
      </c>
      <c r="T27" s="15">
        <f>G43</f>
        <v>0.11964478111156439</v>
      </c>
    </row>
    <row r="28" spans="1:20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 t="s">
        <v>75</v>
      </c>
      <c r="M28" s="37"/>
      <c r="N28" s="37"/>
      <c r="R28" s="3" t="s">
        <v>8</v>
      </c>
      <c r="S28" s="13">
        <f>J42/1000</f>
        <v>641.64099999999996</v>
      </c>
      <c r="T28" s="14">
        <f>J43</f>
        <v>5.3721327646647929E-2</v>
      </c>
    </row>
    <row r="29" spans="1:20">
      <c r="B29" s="37" t="s">
        <v>30</v>
      </c>
      <c r="C29" s="37" t="s">
        <v>3</v>
      </c>
      <c r="D29" s="37" t="s">
        <v>4</v>
      </c>
      <c r="E29" s="37" t="s">
        <v>5</v>
      </c>
      <c r="F29" s="37" t="s">
        <v>31</v>
      </c>
      <c r="G29" s="37" t="s">
        <v>32</v>
      </c>
      <c r="H29" s="37" t="s">
        <v>7</v>
      </c>
      <c r="I29" s="37" t="s">
        <v>6</v>
      </c>
      <c r="J29" s="37" t="s">
        <v>8</v>
      </c>
      <c r="K29" s="37" t="s">
        <v>9</v>
      </c>
      <c r="L29" s="37" t="s">
        <v>10</v>
      </c>
      <c r="M29" s="37" t="s">
        <v>11</v>
      </c>
      <c r="N29" s="37" t="s">
        <v>33</v>
      </c>
      <c r="R29" s="3" t="s">
        <v>9</v>
      </c>
      <c r="S29" s="13">
        <f>K42/1000</f>
        <v>1106.1189999999999</v>
      </c>
      <c r="T29" s="14">
        <f>K43</f>
        <v>9.2609701087029289E-2</v>
      </c>
    </row>
    <row r="30" spans="1:20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R30" s="3" t="s">
        <v>31</v>
      </c>
      <c r="S30" s="13">
        <f>F42/1000</f>
        <v>253.82935294117647</v>
      </c>
      <c r="T30" s="14">
        <f>F43</f>
        <v>2.1251836830392039E-2</v>
      </c>
    </row>
    <row r="31" spans="1:20">
      <c r="A31" t="s">
        <v>35</v>
      </c>
      <c r="B31" s="37">
        <v>0</v>
      </c>
      <c r="C31" s="37">
        <v>139655</v>
      </c>
      <c r="D31" s="37">
        <v>0</v>
      </c>
      <c r="E31" s="37">
        <v>0</v>
      </c>
      <c r="F31" s="37">
        <v>14335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116657</v>
      </c>
      <c r="N31" s="37">
        <f>SUM(B31:M31)</f>
        <v>270647</v>
      </c>
      <c r="O31" s="18">
        <f>N31/N$39</f>
        <v>2.4484164545179779E-2</v>
      </c>
      <c r="P31" s="19" t="s">
        <v>36</v>
      </c>
      <c r="Q31" s="3"/>
      <c r="R31" s="3" t="s">
        <v>34</v>
      </c>
      <c r="S31" s="12">
        <f>E42/1000</f>
        <v>112.645</v>
      </c>
      <c r="T31" s="14">
        <f>E43</f>
        <v>9.4311911999960356E-3</v>
      </c>
    </row>
    <row r="32" spans="1:20">
      <c r="A32" t="s">
        <v>38</v>
      </c>
      <c r="B32" s="37">
        <v>164755</v>
      </c>
      <c r="C32" s="37">
        <v>178291</v>
      </c>
      <c r="D32" s="37">
        <v>0</v>
      </c>
      <c r="E32" s="37">
        <v>92172</v>
      </c>
      <c r="F32" s="37">
        <v>1866</v>
      </c>
      <c r="G32" s="37">
        <v>255424</v>
      </c>
      <c r="H32" s="37">
        <v>0</v>
      </c>
      <c r="I32" s="37">
        <v>2294000</v>
      </c>
      <c r="J32" s="37">
        <v>0</v>
      </c>
      <c r="K32" s="37">
        <v>0</v>
      </c>
      <c r="L32" s="37">
        <v>85200</v>
      </c>
      <c r="M32" s="37">
        <v>461747</v>
      </c>
      <c r="N32" s="37">
        <f t="shared" ref="N32:N38" si="3">SUM(B32:M32)</f>
        <v>3533455</v>
      </c>
      <c r="O32" s="18">
        <f>N32/N$39</f>
        <v>0.31965509919928248</v>
      </c>
      <c r="P32" s="19" t="s">
        <v>39</v>
      </c>
      <c r="Q32" s="3"/>
      <c r="R32" s="3" t="s">
        <v>74</v>
      </c>
      <c r="S32" s="12">
        <f>D42/1000</f>
        <v>0</v>
      </c>
      <c r="T32" s="14">
        <f>D43</f>
        <v>0</v>
      </c>
    </row>
    <row r="33" spans="1:20">
      <c r="A33" t="s">
        <v>41</v>
      </c>
      <c r="B33" s="37">
        <v>301085.66000000003</v>
      </c>
      <c r="C33" s="37">
        <v>8220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309943</v>
      </c>
      <c r="N33" s="37">
        <f t="shared" si="3"/>
        <v>619248.66</v>
      </c>
      <c r="O33" s="18">
        <f>N33/N$39</f>
        <v>5.6020521512605302E-2</v>
      </c>
      <c r="P33" s="19" t="s">
        <v>42</v>
      </c>
      <c r="Q33" s="3"/>
      <c r="R33" s="3" t="s">
        <v>6</v>
      </c>
      <c r="S33" s="12">
        <f>I42/1000</f>
        <v>2294</v>
      </c>
      <c r="T33" s="14">
        <f>I43</f>
        <v>0.19206491733135875</v>
      </c>
    </row>
    <row r="34" spans="1:20">
      <c r="A34" t="s">
        <v>43</v>
      </c>
      <c r="B34" s="37">
        <v>0</v>
      </c>
      <c r="C34" s="37">
        <v>2489955</v>
      </c>
      <c r="D34" s="37">
        <v>0</v>
      </c>
      <c r="E34" s="37">
        <v>18222</v>
      </c>
      <c r="F34" s="37">
        <v>232314</v>
      </c>
      <c r="G34" s="37">
        <v>0</v>
      </c>
      <c r="H34" s="37">
        <v>28760</v>
      </c>
      <c r="I34" s="37">
        <v>0</v>
      </c>
      <c r="J34" s="37">
        <v>0</v>
      </c>
      <c r="K34" s="37">
        <v>0</v>
      </c>
      <c r="L34" s="37">
        <v>0</v>
      </c>
      <c r="M34" s="37">
        <v>5600</v>
      </c>
      <c r="N34" s="37">
        <f t="shared" si="3"/>
        <v>2774851</v>
      </c>
      <c r="O34" s="18">
        <f>N34/N$39</f>
        <v>0.25102775376175113</v>
      </c>
      <c r="P34" s="19" t="s">
        <v>44</v>
      </c>
      <c r="Q34" s="3"/>
      <c r="R34" s="3" t="s">
        <v>37</v>
      </c>
      <c r="S34" s="13">
        <f>C42/1000</f>
        <v>2915.5549999999998</v>
      </c>
      <c r="T34" s="15">
        <f>C43</f>
        <v>0.24410454666522652</v>
      </c>
    </row>
    <row r="35" spans="1:20">
      <c r="A35" t="s">
        <v>45</v>
      </c>
      <c r="B35" s="37">
        <v>362441.52</v>
      </c>
      <c r="C35" s="37">
        <v>19697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854695</v>
      </c>
      <c r="N35" s="37">
        <f t="shared" si="3"/>
        <v>1236833.52</v>
      </c>
      <c r="O35" s="18">
        <f>N35/N$39</f>
        <v>0.11189052684372597</v>
      </c>
      <c r="P35" s="19" t="s">
        <v>46</v>
      </c>
      <c r="Q35" s="19"/>
      <c r="R35" s="3" t="s">
        <v>10</v>
      </c>
      <c r="S35" s="13">
        <f>L42/1000</f>
        <v>85.2</v>
      </c>
      <c r="T35" s="15">
        <f>L43</f>
        <v>7.1333613586014666E-3</v>
      </c>
    </row>
    <row r="36" spans="1:20">
      <c r="A36" t="s">
        <v>47</v>
      </c>
      <c r="B36" s="37">
        <v>221064.64</v>
      </c>
      <c r="C36" s="37">
        <v>7524</v>
      </c>
      <c r="D36" s="37">
        <v>0</v>
      </c>
      <c r="E36" s="37">
        <v>0</v>
      </c>
      <c r="F36" s="37">
        <v>0</v>
      </c>
      <c r="G36" s="37">
        <v>373330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828779</v>
      </c>
      <c r="N36" s="37">
        <f t="shared" si="3"/>
        <v>1430697.6400000001</v>
      </c>
      <c r="O36" s="19"/>
      <c r="P36" s="19"/>
      <c r="Q36" s="3"/>
      <c r="R36" s="3" t="s">
        <v>7</v>
      </c>
      <c r="S36" s="13">
        <f>H42/1000</f>
        <v>36.570999999999998</v>
      </c>
      <c r="T36" s="14">
        <f>H43</f>
        <v>3.061903265791247E-3</v>
      </c>
    </row>
    <row r="37" spans="1:20">
      <c r="A37" t="s">
        <v>48</v>
      </c>
      <c r="B37" s="37">
        <v>885298.17999999993</v>
      </c>
      <c r="C37" s="37">
        <v>204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192227</v>
      </c>
      <c r="N37" s="37">
        <f t="shared" si="3"/>
        <v>1077729.18</v>
      </c>
      <c r="O37" s="19"/>
      <c r="P37" s="19"/>
      <c r="Q37" s="3"/>
      <c r="R37" s="3"/>
      <c r="S37" s="13">
        <f>SUM(S26:S36)</f>
        <v>11943.87830882353</v>
      </c>
      <c r="T37" s="14">
        <f>SUM(T26:T36)</f>
        <v>1</v>
      </c>
    </row>
    <row r="38" spans="1:20">
      <c r="A38" t="s">
        <v>49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110499</v>
      </c>
      <c r="N38" s="37">
        <f t="shared" si="3"/>
        <v>110499</v>
      </c>
      <c r="O38" s="19">
        <f>SUM(O31:O35)</f>
        <v>0.76307806586254467</v>
      </c>
      <c r="P38" s="19"/>
      <c r="Q38" s="3"/>
      <c r="R38" s="2"/>
      <c r="S38" s="2"/>
      <c r="T38" s="2"/>
    </row>
    <row r="39" spans="1:20">
      <c r="A39" t="s">
        <v>17</v>
      </c>
      <c r="B39" s="37">
        <f>SUM(B31:B38)</f>
        <v>1934645</v>
      </c>
      <c r="C39" s="37">
        <f t="shared" ref="C39:N39" si="4">SUM(C31:C38)</f>
        <v>2843546</v>
      </c>
      <c r="D39" s="37">
        <f t="shared" si="4"/>
        <v>0</v>
      </c>
      <c r="E39" s="37">
        <f t="shared" si="4"/>
        <v>110394</v>
      </c>
      <c r="F39" s="37">
        <f t="shared" si="4"/>
        <v>248515</v>
      </c>
      <c r="G39" s="37">
        <f t="shared" si="4"/>
        <v>628754</v>
      </c>
      <c r="H39" s="37">
        <f t="shared" si="4"/>
        <v>28760</v>
      </c>
      <c r="I39" s="37">
        <f t="shared" si="4"/>
        <v>2294000</v>
      </c>
      <c r="J39" s="37">
        <f t="shared" si="4"/>
        <v>0</v>
      </c>
      <c r="K39" s="37">
        <f t="shared" si="4"/>
        <v>0</v>
      </c>
      <c r="L39" s="37">
        <f t="shared" si="4"/>
        <v>85200</v>
      </c>
      <c r="M39" s="37">
        <f t="shared" si="4"/>
        <v>2880147</v>
      </c>
      <c r="N39" s="37">
        <f t="shared" si="4"/>
        <v>11053961</v>
      </c>
      <c r="R39" s="7"/>
      <c r="S39" s="7"/>
      <c r="T39" s="7"/>
    </row>
    <row r="40" spans="1:20">
      <c r="R40" s="7"/>
      <c r="S40" s="7" t="s">
        <v>27</v>
      </c>
      <c r="T40" s="7" t="s">
        <v>28</v>
      </c>
    </row>
    <row r="41" spans="1:20">
      <c r="A41" s="22" t="s">
        <v>53</v>
      </c>
      <c r="B41" s="23">
        <f>B38+B37+B36</f>
        <v>1106362.8199999998</v>
      </c>
      <c r="C41" s="23">
        <f t="shared" ref="C41:N41" si="5">C38+C37+C36</f>
        <v>7728</v>
      </c>
      <c r="D41" s="23">
        <f t="shared" si="5"/>
        <v>0</v>
      </c>
      <c r="E41" s="23">
        <f t="shared" si="5"/>
        <v>0</v>
      </c>
      <c r="F41" s="23">
        <f t="shared" si="5"/>
        <v>0</v>
      </c>
      <c r="G41" s="23">
        <f t="shared" si="5"/>
        <v>373330</v>
      </c>
      <c r="H41" s="23">
        <f t="shared" si="5"/>
        <v>0</v>
      </c>
      <c r="I41" s="23">
        <f t="shared" si="5"/>
        <v>0</v>
      </c>
      <c r="J41" s="23">
        <f t="shared" si="5"/>
        <v>0</v>
      </c>
      <c r="K41" s="23">
        <f t="shared" si="5"/>
        <v>0</v>
      </c>
      <c r="L41" s="23">
        <f t="shared" si="5"/>
        <v>0</v>
      </c>
      <c r="M41" s="23">
        <f t="shared" si="5"/>
        <v>1131505</v>
      </c>
      <c r="N41" s="23">
        <f t="shared" si="5"/>
        <v>2618925.8200000003</v>
      </c>
      <c r="O41" s="18">
        <f>N41/N$39</f>
        <v>0.23692193413745538</v>
      </c>
      <c r="P41" s="18" t="s">
        <v>54</v>
      </c>
      <c r="R41" s="7" t="s">
        <v>50</v>
      </c>
      <c r="S41" s="20">
        <f>N45/1000</f>
        <v>846.61375999999996</v>
      </c>
      <c r="T41" s="7"/>
    </row>
    <row r="42" spans="1:20">
      <c r="A42" s="24" t="s">
        <v>56</v>
      </c>
      <c r="B42" s="23"/>
      <c r="C42" s="25">
        <f>C39+C23</f>
        <v>2915555</v>
      </c>
      <c r="D42" s="25">
        <f t="shared" ref="D42:K42" si="6">D39+D23+D10</f>
        <v>0</v>
      </c>
      <c r="E42" s="25">
        <f t="shared" si="6"/>
        <v>112645</v>
      </c>
      <c r="F42" s="25">
        <f t="shared" si="6"/>
        <v>253829.35294117648</v>
      </c>
      <c r="G42" s="25">
        <f t="shared" si="6"/>
        <v>1429022.705882353</v>
      </c>
      <c r="H42" s="25">
        <f t="shared" si="6"/>
        <v>36571</v>
      </c>
      <c r="I42" s="25">
        <f t="shared" si="6"/>
        <v>2294000</v>
      </c>
      <c r="J42" s="25">
        <f t="shared" si="6"/>
        <v>641641</v>
      </c>
      <c r="K42" s="25">
        <f t="shared" si="6"/>
        <v>1106119</v>
      </c>
      <c r="L42" s="25">
        <f>L39+L23</f>
        <v>85200</v>
      </c>
      <c r="M42" s="25">
        <f>M39+M23-B6+M45</f>
        <v>3069295.25</v>
      </c>
      <c r="N42" s="26">
        <f>SUM(C42:M42)</f>
        <v>11943878.30882353</v>
      </c>
      <c r="O42" s="7"/>
      <c r="P42" s="7"/>
      <c r="R42" s="7" t="s">
        <v>51</v>
      </c>
      <c r="S42" s="21">
        <f>N41/1000</f>
        <v>2618.9258200000004</v>
      </c>
      <c r="T42" s="14">
        <f>O41</f>
        <v>0.23692193413745538</v>
      </c>
    </row>
    <row r="43" spans="1:20">
      <c r="A43" s="24" t="s">
        <v>57</v>
      </c>
      <c r="B43" s="23"/>
      <c r="C43" s="18">
        <f t="shared" ref="C43:M43" si="7">C42/$N42</f>
        <v>0.24410454666522652</v>
      </c>
      <c r="D43" s="18">
        <f t="shared" si="7"/>
        <v>0</v>
      </c>
      <c r="E43" s="18">
        <f t="shared" si="7"/>
        <v>9.4311911999960356E-3</v>
      </c>
      <c r="F43" s="18">
        <f t="shared" si="7"/>
        <v>2.1251836830392039E-2</v>
      </c>
      <c r="G43" s="18">
        <f t="shared" si="7"/>
        <v>0.11964478111156439</v>
      </c>
      <c r="H43" s="18">
        <f t="shared" si="7"/>
        <v>3.061903265791247E-3</v>
      </c>
      <c r="I43" s="18">
        <f t="shared" si="7"/>
        <v>0.19206491733135875</v>
      </c>
      <c r="J43" s="18">
        <f t="shared" si="7"/>
        <v>5.3721327646647929E-2</v>
      </c>
      <c r="K43" s="18">
        <f t="shared" si="7"/>
        <v>9.2609701087029289E-2</v>
      </c>
      <c r="L43" s="18">
        <f t="shared" si="7"/>
        <v>7.1333613586014666E-3</v>
      </c>
      <c r="M43" s="18">
        <f t="shared" si="7"/>
        <v>0.25697643350339233</v>
      </c>
      <c r="N43" s="18">
        <f>SUM(C43:M43)</f>
        <v>1</v>
      </c>
      <c r="O43" s="7"/>
      <c r="P43" s="7"/>
      <c r="R43" s="7" t="s">
        <v>52</v>
      </c>
      <c r="S43" s="21">
        <f>N35/1000</f>
        <v>1236.8335199999999</v>
      </c>
      <c r="T43" s="15">
        <f>O35</f>
        <v>0.11189052684372597</v>
      </c>
    </row>
    <row r="44" spans="1:2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R44" s="7" t="s">
        <v>55</v>
      </c>
      <c r="S44" s="21">
        <f>N33/1000</f>
        <v>619.24866000000009</v>
      </c>
      <c r="T44" s="14">
        <f>O33</f>
        <v>5.6020521512605302E-2</v>
      </c>
    </row>
    <row r="45" spans="1:20">
      <c r="A45" s="6" t="s">
        <v>60</v>
      </c>
      <c r="B45" s="6">
        <f>B23-B39</f>
        <v>616202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230411.76</v>
      </c>
      <c r="N45" s="26">
        <f>B45+M45</f>
        <v>846613.76</v>
      </c>
      <c r="O45" s="7"/>
      <c r="P45" s="7"/>
      <c r="R45" s="7" t="s">
        <v>36</v>
      </c>
      <c r="S45" s="21">
        <f>N31/1000</f>
        <v>270.64699999999999</v>
      </c>
      <c r="T45" s="14">
        <f>O31</f>
        <v>2.4484164545179779E-2</v>
      </c>
    </row>
    <row r="46" spans="1:20">
      <c r="B46" s="58">
        <f>B45/B23</f>
        <v>0.24156760479950384</v>
      </c>
      <c r="R46" s="7" t="s">
        <v>58</v>
      </c>
      <c r="S46" s="21">
        <f>N32/1000</f>
        <v>3533.4549999999999</v>
      </c>
      <c r="T46" s="15">
        <f>O32</f>
        <v>0.31965509919928248</v>
      </c>
    </row>
    <row r="47" spans="1:20">
      <c r="M47" s="37"/>
      <c r="R47" s="7" t="s">
        <v>59</v>
      </c>
      <c r="S47" s="21">
        <f>N34/1000</f>
        <v>2774.8510000000001</v>
      </c>
      <c r="T47" s="15">
        <f>O34</f>
        <v>0.25102775376175113</v>
      </c>
    </row>
    <row r="48" spans="1:20">
      <c r="D48" s="37"/>
      <c r="R48" s="7" t="s">
        <v>61</v>
      </c>
      <c r="S48" s="21">
        <f>SUM(S42:S47)</f>
        <v>11053.961000000001</v>
      </c>
      <c r="T48" s="14">
        <f>SUM(T42:T47)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 enableFormatConditionsCalculation="0"/>
  <dimension ref="A1:AU70"/>
  <sheetViews>
    <sheetView zoomScale="125" zoomScaleNormal="125" zoomScalePageLayoutView="125" workbookViewId="0">
      <selection activeCell="B5" sqref="B5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9" width="8.83203125" style="2"/>
    <col min="10" max="10" width="9.5" style="2" bestFit="1" customWidth="1"/>
    <col min="11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9">
        <v>565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9">
        <v>565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O11" s="3"/>
      <c r="P11" s="3"/>
      <c r="Q11" s="3"/>
      <c r="R11" s="3"/>
      <c r="S11" s="3"/>
      <c r="T11" s="3"/>
    </row>
    <row r="12" spans="1:20" ht="15"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20" ht="15">
      <c r="A14" s="4" t="s">
        <v>1</v>
      </c>
      <c r="O14" s="3"/>
      <c r="P14" s="3"/>
      <c r="Q14" s="3"/>
      <c r="R14" s="3"/>
      <c r="S14" s="3"/>
      <c r="T14" s="3"/>
    </row>
    <row r="15" spans="1:20" ht="15">
      <c r="B15" s="7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2" t="s">
        <v>12</v>
      </c>
      <c r="O15" s="3"/>
      <c r="P15" s="3"/>
      <c r="Q15" s="3"/>
      <c r="R15" s="3"/>
      <c r="S15" s="3"/>
      <c r="T15" s="3"/>
    </row>
    <row r="16" spans="1:20" ht="15"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7">
        <f>137+37318-8271</f>
        <v>29184</v>
      </c>
      <c r="C18" s="47">
        <f>139+600</f>
        <v>739</v>
      </c>
      <c r="D18" s="9">
        <v>0</v>
      </c>
      <c r="E18" s="9">
        <v>0</v>
      </c>
      <c r="F18" s="47">
        <f>971/0.85</f>
        <v>1142.3529411764707</v>
      </c>
      <c r="G18" s="47">
        <f>(19686+7790)/0.85</f>
        <v>32324.705882352941</v>
      </c>
      <c r="H18" s="9">
        <v>0</v>
      </c>
      <c r="I18" s="9"/>
      <c r="J18" s="9"/>
      <c r="K18" s="9"/>
      <c r="L18" s="9"/>
      <c r="M18" s="9"/>
      <c r="N18" s="47">
        <f>739+1142+32325</f>
        <v>34206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1298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5">
        <f>1.015*B19</f>
        <v>1317.4699999999998</v>
      </c>
      <c r="N19" s="47">
        <v>1317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47">
        <v>8271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47">
        <f>SUM(B17:B22)</f>
        <v>38753</v>
      </c>
      <c r="C23" s="47">
        <v>739</v>
      </c>
      <c r="D23" s="9">
        <v>0</v>
      </c>
      <c r="E23" s="9">
        <v>0</v>
      </c>
      <c r="F23" s="47">
        <v>1142</v>
      </c>
      <c r="G23" s="47">
        <v>32325</v>
      </c>
      <c r="H23" s="9">
        <v>0</v>
      </c>
      <c r="I23" s="9"/>
      <c r="J23" s="9"/>
      <c r="K23" s="9"/>
      <c r="L23" s="9"/>
      <c r="M23" s="47">
        <v>1317</v>
      </c>
      <c r="N23" s="47">
        <f>1317+34206</f>
        <v>35523</v>
      </c>
      <c r="O23" s="3"/>
      <c r="P23" s="3"/>
      <c r="Q23" s="3"/>
      <c r="R23" s="3" t="s">
        <v>26</v>
      </c>
      <c r="S23" s="12">
        <f>N42/1000</f>
        <v>596.82424000000003</v>
      </c>
      <c r="T23" s="3"/>
    </row>
    <row r="24" spans="1:20" ht="15">
      <c r="O24" s="3"/>
      <c r="P24" s="3"/>
      <c r="Q24" s="3"/>
      <c r="R24" s="3"/>
      <c r="S24" s="3"/>
      <c r="T24" s="3"/>
    </row>
    <row r="25" spans="1:20" ht="15"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O26" s="3"/>
      <c r="P26" s="3"/>
      <c r="Q26" s="3"/>
      <c r="R26" s="3" t="s">
        <v>11</v>
      </c>
      <c r="S26" s="13">
        <f>M42/1000</f>
        <v>217.13123999999999</v>
      </c>
      <c r="T26" s="14">
        <f>M43</f>
        <v>0.36381102751456607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O27" s="3"/>
      <c r="P27" s="3"/>
      <c r="Q27" s="3"/>
      <c r="R27" s="3" t="s">
        <v>32</v>
      </c>
      <c r="S27" s="13">
        <f>G42/1000</f>
        <v>47.432000000000002</v>
      </c>
      <c r="T27" s="15">
        <f>G43</f>
        <v>7.9473983831487807E-2</v>
      </c>
    </row>
    <row r="28" spans="1:20" ht="15">
      <c r="A28" s="4" t="s">
        <v>1</v>
      </c>
      <c r="N28" s="16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7" t="s">
        <v>30</v>
      </c>
      <c r="C29" s="6" t="s">
        <v>3</v>
      </c>
      <c r="D29" s="6" t="s">
        <v>4</v>
      </c>
      <c r="E29" s="6" t="s">
        <v>5</v>
      </c>
      <c r="F29" s="7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7" t="s">
        <v>33</v>
      </c>
      <c r="O29" s="3"/>
      <c r="P29" s="3"/>
      <c r="Q29" s="3"/>
      <c r="R29" s="3" t="s">
        <v>31</v>
      </c>
      <c r="S29" s="13">
        <f>F42/1000</f>
        <v>20.855</v>
      </c>
      <c r="T29" s="14">
        <f>F43</f>
        <v>3.494328581560293E-2</v>
      </c>
    </row>
    <row r="30" spans="1:20" ht="15">
      <c r="O30" s="3"/>
      <c r="P30" s="3"/>
      <c r="Q30" s="3"/>
      <c r="R30" s="3" t="s">
        <v>34</v>
      </c>
      <c r="S30" s="12">
        <f>E42/1000</f>
        <v>38.131</v>
      </c>
      <c r="T30" s="14">
        <f>E43</f>
        <v>6.3889831284332552E-2</v>
      </c>
    </row>
    <row r="31" spans="1:20" ht="15">
      <c r="A31" s="5" t="s">
        <v>35</v>
      </c>
      <c r="B31" s="9">
        <v>0</v>
      </c>
      <c r="C31" s="9">
        <v>3445</v>
      </c>
      <c r="D31" s="9">
        <v>0</v>
      </c>
      <c r="E31" s="9">
        <v>0</v>
      </c>
      <c r="F31" s="9">
        <v>349</v>
      </c>
      <c r="G31" s="9">
        <v>0</v>
      </c>
      <c r="H31" s="9">
        <v>0</v>
      </c>
      <c r="I31" s="9"/>
      <c r="J31" s="9"/>
      <c r="K31" s="9"/>
      <c r="L31" s="17"/>
      <c r="M31" s="9">
        <v>2259</v>
      </c>
      <c r="N31" s="9">
        <v>6052</v>
      </c>
      <c r="O31" s="18">
        <f>N31/N$39</f>
        <v>1.0466694914521416E-2</v>
      </c>
      <c r="P31" s="19" t="s">
        <v>36</v>
      </c>
      <c r="Q31" s="3"/>
      <c r="R31" s="3" t="s">
        <v>37</v>
      </c>
      <c r="S31" s="13">
        <f>C42/1000</f>
        <v>273.27499999999998</v>
      </c>
      <c r="T31" s="15">
        <f>C43</f>
        <v>0.45788187155401061</v>
      </c>
    </row>
    <row r="32" spans="1:20" ht="15">
      <c r="A32" s="5" t="s">
        <v>38</v>
      </c>
      <c r="B32" s="9">
        <v>0</v>
      </c>
      <c r="C32" s="49">
        <f>65794</f>
        <v>65794</v>
      </c>
      <c r="D32" s="9">
        <v>0</v>
      </c>
      <c r="E32" s="49">
        <v>38131</v>
      </c>
      <c r="F32" s="9">
        <v>243</v>
      </c>
      <c r="G32" s="9">
        <v>0</v>
      </c>
      <c r="H32" s="9">
        <v>0</v>
      </c>
      <c r="I32" s="9"/>
      <c r="J32" s="9"/>
      <c r="K32" s="9"/>
      <c r="L32" s="17"/>
      <c r="M32" s="9">
        <v>32131</v>
      </c>
      <c r="N32" s="9">
        <v>136299</v>
      </c>
      <c r="O32" s="18">
        <f>N32/N$39</f>
        <v>0.23572373598056087</v>
      </c>
      <c r="P32" s="19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47">
        <f>32900*0.2754</f>
        <v>9060.66</v>
      </c>
      <c r="C33" s="9">
        <v>360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17"/>
      <c r="M33" s="9">
        <v>20848</v>
      </c>
      <c r="N33" s="9">
        <f>9061+21208</f>
        <v>30269</v>
      </c>
      <c r="O33" s="18">
        <f>N33/N$39</f>
        <v>5.2349039717060265E-2</v>
      </c>
      <c r="P33" s="19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201286</v>
      </c>
      <c r="D34" s="9">
        <v>0</v>
      </c>
      <c r="E34" s="9">
        <v>0</v>
      </c>
      <c r="F34" s="9">
        <v>19122</v>
      </c>
      <c r="G34" s="9">
        <v>0</v>
      </c>
      <c r="H34" s="9">
        <v>0</v>
      </c>
      <c r="I34" s="9"/>
      <c r="J34" s="9"/>
      <c r="K34" s="9"/>
      <c r="L34" s="17"/>
      <c r="M34" s="9">
        <v>0</v>
      </c>
      <c r="N34" s="9">
        <v>220408</v>
      </c>
      <c r="O34" s="18">
        <f>N34/N$39</f>
        <v>0.38118692873758031</v>
      </c>
      <c r="P34" s="19" t="s">
        <v>44</v>
      </c>
      <c r="Q34" s="3"/>
      <c r="R34" s="3"/>
      <c r="S34" s="13">
        <f>SUM(S26:S33)</f>
        <v>596.82424000000003</v>
      </c>
      <c r="T34" s="14">
        <f>SUM(T26:T33)</f>
        <v>0.99999999999999989</v>
      </c>
    </row>
    <row r="35" spans="1:47" ht="15">
      <c r="A35" s="5" t="s">
        <v>45</v>
      </c>
      <c r="B35" s="47">
        <f>32900*0.1288</f>
        <v>4237.5199999999995</v>
      </c>
      <c r="C35" s="9">
        <v>1103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17"/>
      <c r="M35" s="9">
        <v>31648</v>
      </c>
      <c r="N35" s="9">
        <f>4238+32751</f>
        <v>36989</v>
      </c>
      <c r="O35" s="18">
        <f>N35/N$39</f>
        <v>6.3971014242107174E-2</v>
      </c>
      <c r="P35" s="19" t="s">
        <v>46</v>
      </c>
      <c r="Q35" s="19"/>
    </row>
    <row r="36" spans="1:47" ht="15">
      <c r="A36" s="5" t="s">
        <v>47</v>
      </c>
      <c r="B36" s="47">
        <f>32900*0.0116</f>
        <v>381.64</v>
      </c>
      <c r="C36" s="9">
        <v>538</v>
      </c>
      <c r="D36" s="9">
        <v>0</v>
      </c>
      <c r="E36" s="9">
        <v>0</v>
      </c>
      <c r="F36" s="9">
        <v>0</v>
      </c>
      <c r="G36" s="9">
        <v>15107</v>
      </c>
      <c r="H36" s="9">
        <v>0</v>
      </c>
      <c r="I36" s="9"/>
      <c r="J36" s="9"/>
      <c r="K36" s="9"/>
      <c r="L36" s="17"/>
      <c r="M36" s="9">
        <v>98127</v>
      </c>
      <c r="N36" s="9">
        <f>382+113772</f>
        <v>114154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47">
        <f>32900*0.5842</f>
        <v>19220.18</v>
      </c>
      <c r="C37" s="9">
        <v>10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17"/>
      <c r="M37" s="9">
        <v>6478</v>
      </c>
      <c r="N37" s="9">
        <f>19220+6488</f>
        <v>25708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17"/>
      <c r="M38" s="9">
        <v>8337</v>
      </c>
      <c r="N38" s="9">
        <v>8337</v>
      </c>
      <c r="O38" s="19">
        <f>SUM(O31:O35)</f>
        <v>0.74369741359183006</v>
      </c>
      <c r="P38" s="19"/>
      <c r="Q38" s="3"/>
      <c r="R38" s="7" t="s">
        <v>50</v>
      </c>
      <c r="S38" s="20">
        <f>N45/1000</f>
        <v>21.839239999999997</v>
      </c>
      <c r="T38" s="7"/>
    </row>
    <row r="39" spans="1:47" ht="15">
      <c r="A39" s="5" t="s">
        <v>17</v>
      </c>
      <c r="B39" s="47">
        <v>32900</v>
      </c>
      <c r="C39" s="49">
        <f>SUM(C31:C38)</f>
        <v>272536</v>
      </c>
      <c r="D39" s="9">
        <v>0</v>
      </c>
      <c r="E39" s="49">
        <f>E32</f>
        <v>38131</v>
      </c>
      <c r="F39" s="9">
        <v>19713</v>
      </c>
      <c r="G39" s="9">
        <v>15107</v>
      </c>
      <c r="H39" s="9">
        <v>0</v>
      </c>
      <c r="I39" s="9"/>
      <c r="J39" s="9"/>
      <c r="K39" s="9"/>
      <c r="L39" s="17"/>
      <c r="M39" s="9">
        <v>199828</v>
      </c>
      <c r="N39" s="9">
        <f>32900+545315</f>
        <v>578215</v>
      </c>
      <c r="O39" s="3"/>
      <c r="P39" s="3"/>
      <c r="Q39" s="3"/>
      <c r="R39" s="7" t="s">
        <v>51</v>
      </c>
      <c r="S39" s="21">
        <f>N41/1000</f>
        <v>148.19900000000001</v>
      </c>
      <c r="T39" s="14">
        <f>O41</f>
        <v>0.25630431586866476</v>
      </c>
    </row>
    <row r="40" spans="1:47">
      <c r="R40" s="7" t="s">
        <v>52</v>
      </c>
      <c r="S40" s="21">
        <f>N35/1000</f>
        <v>36.988999999999997</v>
      </c>
      <c r="T40" s="15">
        <f>O35</f>
        <v>6.3971014242107174E-2</v>
      </c>
    </row>
    <row r="41" spans="1:47" ht="15">
      <c r="A41" s="22" t="s">
        <v>53</v>
      </c>
      <c r="B41" s="23">
        <f>B38+B37+B36</f>
        <v>19601.82</v>
      </c>
      <c r="C41" s="23">
        <f t="shared" ref="C41:N41" si="0">C38+C37+C36</f>
        <v>548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15107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112942</v>
      </c>
      <c r="N41" s="23">
        <f t="shared" si="0"/>
        <v>148199</v>
      </c>
      <c r="O41" s="18">
        <f>N41/N$39</f>
        <v>0.25630431586866476</v>
      </c>
      <c r="P41" s="18" t="s">
        <v>54</v>
      </c>
      <c r="Q41" s="7"/>
      <c r="R41" s="7" t="s">
        <v>55</v>
      </c>
      <c r="S41" s="21">
        <f>N33/1000</f>
        <v>30.268999999999998</v>
      </c>
      <c r="T41" s="14">
        <f>O33</f>
        <v>5.2349039717060265E-2</v>
      </c>
    </row>
    <row r="42" spans="1:47" ht="15">
      <c r="A42" s="24" t="s">
        <v>56</v>
      </c>
      <c r="B42" s="23"/>
      <c r="C42" s="25">
        <f>C39+C23+C10</f>
        <v>273275</v>
      </c>
      <c r="D42" s="25">
        <f t="shared" ref="D42:L42" si="1">D39+D23+D10</f>
        <v>0</v>
      </c>
      <c r="E42" s="25">
        <f t="shared" si="1"/>
        <v>38131</v>
      </c>
      <c r="F42" s="25">
        <f t="shared" si="1"/>
        <v>20855</v>
      </c>
      <c r="G42" s="25">
        <f t="shared" si="1"/>
        <v>47432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>M39+M23-B6+M45</f>
        <v>217131.24</v>
      </c>
      <c r="N42" s="26">
        <f>SUM(C42:M42)</f>
        <v>596824.24</v>
      </c>
      <c r="O42" s="7"/>
      <c r="P42" s="7"/>
      <c r="Q42" s="7"/>
      <c r="R42" s="7" t="s">
        <v>36</v>
      </c>
      <c r="S42" s="21">
        <f>N31/1000</f>
        <v>6.0519999999999996</v>
      </c>
      <c r="T42" s="14">
        <f>O31</f>
        <v>1.0466694914521416E-2</v>
      </c>
    </row>
    <row r="43" spans="1:47" ht="15">
      <c r="A43" s="24" t="s">
        <v>57</v>
      </c>
      <c r="B43" s="23"/>
      <c r="C43" s="18">
        <f t="shared" ref="C43:M43" si="2">C42/$N42</f>
        <v>0.45788187155401061</v>
      </c>
      <c r="D43" s="18">
        <f t="shared" si="2"/>
        <v>0</v>
      </c>
      <c r="E43" s="18">
        <f t="shared" si="2"/>
        <v>6.3889831284332552E-2</v>
      </c>
      <c r="F43" s="18">
        <f t="shared" si="2"/>
        <v>3.494328581560293E-2</v>
      </c>
      <c r="G43" s="18">
        <f t="shared" si="2"/>
        <v>7.9473983831487807E-2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0.36381102751456607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136.29900000000001</v>
      </c>
      <c r="T43" s="15">
        <f>O32</f>
        <v>0.23572373598056087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220.40799999999999</v>
      </c>
      <c r="T44" s="15">
        <f>O34</f>
        <v>0.38118692873758031</v>
      </c>
    </row>
    <row r="45" spans="1:47" ht="15">
      <c r="A45" s="6" t="s">
        <v>60</v>
      </c>
      <c r="B45" s="6">
        <f>B23-B39</f>
        <v>5853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15986.24</v>
      </c>
      <c r="N45" s="26">
        <f>B45+M45</f>
        <v>21839.239999999998</v>
      </c>
      <c r="O45" s="7"/>
      <c r="P45" s="7"/>
      <c r="Q45" s="7"/>
      <c r="R45" s="7" t="s">
        <v>61</v>
      </c>
      <c r="S45" s="21">
        <f>SUM(S39:S44)</f>
        <v>578.21600000000001</v>
      </c>
      <c r="T45" s="14">
        <f>SUM(T39:T44)</f>
        <v>1.0000017294604948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69</v>
      </c>
      <c r="B47" s="48">
        <f>(B23-B39)/B23</f>
        <v>0.15103346837664181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17"/>
      <c r="N47" s="9"/>
      <c r="O47" s="9"/>
      <c r="P47" s="1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17"/>
      <c r="B48" s="4"/>
      <c r="C48" s="9"/>
      <c r="D48" s="10"/>
      <c r="E48" s="9"/>
      <c r="F48" s="10"/>
      <c r="G48" s="9"/>
      <c r="H48" s="9"/>
      <c r="I48" s="9"/>
      <c r="J48" s="9"/>
      <c r="K48" s="9"/>
      <c r="L48" s="9"/>
      <c r="M48" s="17"/>
      <c r="N48" s="9"/>
      <c r="O48" s="9"/>
      <c r="P48" s="17"/>
      <c r="Q48" s="17"/>
      <c r="R48" s="4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7"/>
      <c r="AG48" s="1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17"/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17"/>
      <c r="N49" s="9"/>
      <c r="O49" s="9"/>
      <c r="P49" s="17"/>
      <c r="Q49" s="17"/>
      <c r="R49" s="4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7"/>
      <c r="AG49" s="17"/>
      <c r="AH49" s="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17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9"/>
      <c r="O50" s="9"/>
      <c r="P50" s="17"/>
      <c r="Q50" s="17"/>
      <c r="R50" s="4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7"/>
      <c r="AG50" s="17"/>
      <c r="AH50" s="4"/>
      <c r="AI50" s="10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7"/>
      <c r="AG51" s="17"/>
      <c r="AH51" s="4"/>
      <c r="AI51" s="10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4"/>
      <c r="C55" s="9"/>
      <c r="D55" s="10"/>
      <c r="E55" s="9"/>
      <c r="F55" s="10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4"/>
      <c r="C56" s="9"/>
      <c r="D56" s="10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 enableFormatConditionsCalculation="0"/>
  <dimension ref="A1:AU70"/>
  <sheetViews>
    <sheetView zoomScale="125" zoomScaleNormal="125" zoomScalePageLayoutView="125" workbookViewId="0">
      <selection activeCell="L32" sqref="L32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47">
        <v>0</v>
      </c>
      <c r="C6" s="47">
        <v>0</v>
      </c>
      <c r="D6" s="9">
        <v>0</v>
      </c>
      <c r="E6" s="9">
        <v>0</v>
      </c>
      <c r="F6" s="47">
        <v>0</v>
      </c>
      <c r="G6" s="9">
        <v>0</v>
      </c>
      <c r="H6" s="9">
        <v>0</v>
      </c>
      <c r="I6" s="9"/>
      <c r="J6" s="9"/>
      <c r="K6" s="9"/>
      <c r="L6" s="9"/>
      <c r="M6" s="9"/>
      <c r="N6" s="47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49">
        <v>557065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9">
        <v>28265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49">
        <f>SUM(B6:B9)</f>
        <v>585330</v>
      </c>
      <c r="C10" s="47">
        <v>0</v>
      </c>
      <c r="D10" s="9">
        <v>0</v>
      </c>
      <c r="E10" s="9">
        <v>0</v>
      </c>
      <c r="F10" s="47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47">
        <v>0</v>
      </c>
      <c r="O10" s="3"/>
      <c r="P10" s="3"/>
      <c r="Q10" s="3"/>
      <c r="R10" s="3"/>
      <c r="S10" s="3"/>
      <c r="T10" s="3"/>
    </row>
    <row r="11" spans="1:20" ht="15">
      <c r="O11" s="3"/>
      <c r="P11" s="3"/>
      <c r="Q11" s="3"/>
      <c r="R11" s="3"/>
      <c r="S11" s="3"/>
      <c r="T11" s="3"/>
    </row>
    <row r="12" spans="1:20" ht="15"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20" ht="15">
      <c r="A14" s="4" t="s">
        <v>62</v>
      </c>
      <c r="O14" s="3"/>
      <c r="P14" s="3"/>
      <c r="Q14" s="3"/>
      <c r="R14" s="3"/>
      <c r="S14" s="3"/>
      <c r="T14" s="3"/>
    </row>
    <row r="15" spans="1:20" ht="15">
      <c r="B15" s="7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2" t="s">
        <v>12</v>
      </c>
      <c r="O15" s="3"/>
      <c r="P15" s="3"/>
      <c r="Q15" s="3"/>
      <c r="R15" s="3"/>
      <c r="S15" s="3"/>
      <c r="T15" s="3"/>
    </row>
    <row r="16" spans="1:20" ht="15"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3190</v>
      </c>
      <c r="C18" s="9">
        <v>50</v>
      </c>
      <c r="D18" s="9">
        <v>0</v>
      </c>
      <c r="E18" s="9">
        <v>0</v>
      </c>
      <c r="F18" s="9">
        <v>0</v>
      </c>
      <c r="G18" s="9">
        <v>4413</v>
      </c>
      <c r="H18" s="9">
        <v>0</v>
      </c>
      <c r="I18" s="9"/>
      <c r="J18" s="9"/>
      <c r="K18" s="9"/>
      <c r="L18" s="9"/>
      <c r="M18" s="9"/>
      <c r="N18" s="9">
        <v>4463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25360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28550</v>
      </c>
      <c r="C23" s="9">
        <v>50</v>
      </c>
      <c r="D23" s="9">
        <v>0</v>
      </c>
      <c r="E23" s="9">
        <v>0</v>
      </c>
      <c r="F23" s="9">
        <v>0</v>
      </c>
      <c r="G23" s="9">
        <v>4413</v>
      </c>
      <c r="H23" s="9">
        <v>0</v>
      </c>
      <c r="I23" s="9"/>
      <c r="J23" s="9"/>
      <c r="K23" s="9"/>
      <c r="L23" s="9"/>
      <c r="M23" s="9"/>
      <c r="N23" s="9">
        <v>4463</v>
      </c>
      <c r="O23" s="3"/>
      <c r="P23" s="3"/>
      <c r="Q23" s="3"/>
      <c r="R23" s="3" t="s">
        <v>26</v>
      </c>
      <c r="S23" s="12">
        <f>N42/1000</f>
        <v>2959.0494399999998</v>
      </c>
      <c r="T23" s="3"/>
    </row>
    <row r="24" spans="1:20" ht="15">
      <c r="O24" s="3"/>
      <c r="P24" s="3"/>
      <c r="Q24" s="3"/>
      <c r="R24" s="3"/>
      <c r="S24" s="3"/>
      <c r="T24" s="3"/>
    </row>
    <row r="25" spans="1:20" ht="15"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O26" s="3"/>
      <c r="P26" s="3"/>
      <c r="Q26" s="3"/>
      <c r="R26" s="3" t="s">
        <v>11</v>
      </c>
      <c r="S26" s="13">
        <f>M42/1000</f>
        <v>258.16644000000002</v>
      </c>
      <c r="T26" s="14">
        <f>M43</f>
        <v>8.7246409779486486E-2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O27" s="3"/>
      <c r="P27" s="3"/>
      <c r="Q27" s="3"/>
      <c r="R27" s="3" t="s">
        <v>32</v>
      </c>
      <c r="S27" s="13">
        <f>G42/1000</f>
        <v>189.505</v>
      </c>
      <c r="T27" s="15">
        <f>G43</f>
        <v>6.4042525764625283E-2</v>
      </c>
    </row>
    <row r="28" spans="1:20" ht="15">
      <c r="A28" s="4" t="s">
        <v>62</v>
      </c>
      <c r="N28" s="16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7" t="s">
        <v>30</v>
      </c>
      <c r="C29" s="6" t="s">
        <v>3</v>
      </c>
      <c r="D29" s="6" t="s">
        <v>4</v>
      </c>
      <c r="E29" s="6" t="s">
        <v>5</v>
      </c>
      <c r="F29" s="7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7" t="s">
        <v>33</v>
      </c>
      <c r="O29" s="3"/>
      <c r="P29" s="3"/>
      <c r="Q29" s="3"/>
      <c r="R29" s="3" t="s">
        <v>31</v>
      </c>
      <c r="S29" s="13">
        <f>F42/1000</f>
        <v>9.2880000000000003</v>
      </c>
      <c r="T29" s="14">
        <f>F43</f>
        <v>3.1388458315181108E-3</v>
      </c>
    </row>
    <row r="30" spans="1:20" ht="15"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9">
        <v>80</v>
      </c>
      <c r="D31" s="9">
        <v>0</v>
      </c>
      <c r="E31" s="9">
        <v>0</v>
      </c>
      <c r="F31" s="9">
        <v>9</v>
      </c>
      <c r="G31" s="9">
        <v>0</v>
      </c>
      <c r="H31" s="9">
        <v>0</v>
      </c>
      <c r="I31" s="9"/>
      <c r="J31" s="9"/>
      <c r="K31" s="9"/>
      <c r="L31" s="17"/>
      <c r="M31" s="9">
        <v>737</v>
      </c>
      <c r="N31" s="9">
        <v>826</v>
      </c>
      <c r="O31" s="18">
        <f>N31/N$39</f>
        <v>2.7883748399469468E-4</v>
      </c>
      <c r="P31" s="19" t="s">
        <v>36</v>
      </c>
      <c r="Q31" s="3"/>
      <c r="R31" s="3" t="s">
        <v>37</v>
      </c>
      <c r="S31" s="13">
        <f>C42/1000</f>
        <v>122.89</v>
      </c>
      <c r="T31" s="15">
        <f>C43</f>
        <v>4.1530228707500068E-2</v>
      </c>
    </row>
    <row r="32" spans="1:20" ht="15">
      <c r="A32" s="5" t="s">
        <v>38</v>
      </c>
      <c r="B32" s="9">
        <v>2077</v>
      </c>
      <c r="C32" s="49">
        <v>27600</v>
      </c>
      <c r="D32" s="9">
        <v>0</v>
      </c>
      <c r="E32" s="9">
        <v>0</v>
      </c>
      <c r="F32" s="49">
        <v>0</v>
      </c>
      <c r="G32" s="49">
        <f>172000</f>
        <v>172000</v>
      </c>
      <c r="H32" s="9">
        <v>0</v>
      </c>
      <c r="I32" s="47">
        <f>1835000+459000</f>
        <v>2294000</v>
      </c>
      <c r="J32" s="9"/>
      <c r="K32" s="9"/>
      <c r="L32" s="50">
        <f>(11200+15000+26000)+33000</f>
        <v>85200</v>
      </c>
      <c r="M32" s="47">
        <v>171000</v>
      </c>
      <c r="N32" s="49">
        <f>2294000+52200+171000+33000+172000+27600+2077</f>
        <v>2751877</v>
      </c>
      <c r="O32" s="18">
        <f>N32/N$39</f>
        <v>0.92896665731582129</v>
      </c>
      <c r="P32" s="19" t="s">
        <v>39</v>
      </c>
      <c r="Q32" s="3"/>
      <c r="R32" s="3" t="s">
        <v>40</v>
      </c>
      <c r="S32" s="13">
        <f>I42/1000</f>
        <v>2294</v>
      </c>
      <c r="T32" s="14">
        <f>I43</f>
        <v>0.77524895967943008</v>
      </c>
    </row>
    <row r="33" spans="1:47" ht="15">
      <c r="A33" s="5" t="s">
        <v>41</v>
      </c>
      <c r="B33" s="9">
        <v>4661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17"/>
      <c r="M33" s="9">
        <v>10064</v>
      </c>
      <c r="N33" s="9">
        <v>14725</v>
      </c>
      <c r="O33" s="18">
        <f>N33/N$39</f>
        <v>4.9708013944574801E-3</v>
      </c>
      <c r="P33" s="19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94489</v>
      </c>
      <c r="D34" s="9">
        <v>0</v>
      </c>
      <c r="E34" s="9">
        <v>0</v>
      </c>
      <c r="F34" s="9">
        <v>9279</v>
      </c>
      <c r="G34" s="9">
        <v>0</v>
      </c>
      <c r="H34" s="9">
        <v>0</v>
      </c>
      <c r="I34" s="9"/>
      <c r="J34" s="9"/>
      <c r="K34" s="9"/>
      <c r="L34" s="17"/>
      <c r="M34" s="9">
        <v>2</v>
      </c>
      <c r="N34" s="9">
        <v>103770</v>
      </c>
      <c r="O34" s="18">
        <f>N34/N$39</f>
        <v>3.5030224835507828E-2</v>
      </c>
      <c r="P34" s="19" t="s">
        <v>44</v>
      </c>
      <c r="Q34" s="3"/>
      <c r="R34" s="3"/>
      <c r="S34" s="13">
        <f>SUM(S26:S33)</f>
        <v>2873.84944</v>
      </c>
      <c r="T34" s="14">
        <f>SUM(T26:T33)</f>
        <v>0.97120696976256005</v>
      </c>
    </row>
    <row r="35" spans="1:47" ht="15">
      <c r="A35" s="5" t="s">
        <v>45</v>
      </c>
      <c r="B35" s="9">
        <v>2105</v>
      </c>
      <c r="C35" s="9">
        <v>50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17"/>
      <c r="M35" s="9">
        <v>12495</v>
      </c>
      <c r="N35" s="9">
        <v>14650</v>
      </c>
      <c r="O35" s="18">
        <f>N35/N$39</f>
        <v>4.9454832209712791E-3</v>
      </c>
      <c r="P35" s="19" t="s">
        <v>46</v>
      </c>
      <c r="Q35" s="19"/>
    </row>
    <row r="36" spans="1:47" ht="15">
      <c r="A36" s="5" t="s">
        <v>47</v>
      </c>
      <c r="B36" s="9">
        <v>3423</v>
      </c>
      <c r="C36" s="9">
        <v>621</v>
      </c>
      <c r="D36" s="9">
        <v>0</v>
      </c>
      <c r="E36" s="9">
        <v>0</v>
      </c>
      <c r="F36" s="9">
        <v>0</v>
      </c>
      <c r="G36" s="9">
        <v>13092</v>
      </c>
      <c r="H36" s="9">
        <v>0</v>
      </c>
      <c r="I36" s="9"/>
      <c r="J36" s="9"/>
      <c r="K36" s="9"/>
      <c r="L36" s="17"/>
      <c r="M36" s="9">
        <v>37385</v>
      </c>
      <c r="N36" s="9">
        <v>54521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9">
        <v>14570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17"/>
      <c r="M37" s="9">
        <v>3341</v>
      </c>
      <c r="N37" s="9">
        <v>17911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17"/>
      <c r="M38" s="9">
        <v>4019</v>
      </c>
      <c r="N38" s="9">
        <v>4019</v>
      </c>
      <c r="O38" s="19">
        <f>SUM(O31:O35)</f>
        <v>0.9741920042507527</v>
      </c>
      <c r="P38" s="19"/>
      <c r="Q38" s="3"/>
      <c r="R38" s="7" t="s">
        <v>50</v>
      </c>
      <c r="S38" s="20">
        <f>N45/1000</f>
        <v>20.837439999999997</v>
      </c>
      <c r="T38" s="7"/>
    </row>
    <row r="39" spans="1:47" ht="15">
      <c r="A39" s="5" t="s">
        <v>17</v>
      </c>
      <c r="B39" s="9">
        <v>26836</v>
      </c>
      <c r="C39" s="49">
        <f>80+27600+94489+50+621</f>
        <v>122840</v>
      </c>
      <c r="D39" s="9">
        <v>0</v>
      </c>
      <c r="E39" s="9">
        <v>0</v>
      </c>
      <c r="F39" s="49">
        <f>9279+9</f>
        <v>9288</v>
      </c>
      <c r="G39" s="49">
        <f>172000+13092</f>
        <v>185092</v>
      </c>
      <c r="H39" s="9">
        <v>0</v>
      </c>
      <c r="I39" s="47">
        <v>2294000</v>
      </c>
      <c r="J39" s="9"/>
      <c r="K39" s="9"/>
      <c r="L39" s="50">
        <f>52200+33000</f>
        <v>85200</v>
      </c>
      <c r="M39" s="9">
        <f>737+171000+10064+2+12495+37385+3341+4019</f>
        <v>239043</v>
      </c>
      <c r="N39" s="49">
        <f>826+2751877+14725+103770+14650+54521+17911+4019</f>
        <v>2962299</v>
      </c>
      <c r="O39" s="3"/>
      <c r="P39" s="3"/>
      <c r="Q39" s="3"/>
      <c r="R39" s="7" t="s">
        <v>51</v>
      </c>
      <c r="S39" s="21">
        <f>N41/1000</f>
        <v>76.450999999999993</v>
      </c>
      <c r="T39" s="14">
        <f>O41</f>
        <v>2.5807995749247459E-2</v>
      </c>
    </row>
    <row r="40" spans="1:47">
      <c r="R40" s="7" t="s">
        <v>52</v>
      </c>
      <c r="S40" s="21">
        <f>N35/1000</f>
        <v>14.65</v>
      </c>
      <c r="T40" s="15">
        <f>O35</f>
        <v>4.9454832209712791E-3</v>
      </c>
    </row>
    <row r="41" spans="1:47" ht="15">
      <c r="A41" s="22" t="s">
        <v>53</v>
      </c>
      <c r="B41" s="23">
        <f>B38+B37+B36</f>
        <v>17993</v>
      </c>
      <c r="C41" s="23">
        <f t="shared" ref="C41:N41" si="0">C38+C37+C36</f>
        <v>621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13092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44745</v>
      </c>
      <c r="N41" s="23">
        <f t="shared" si="0"/>
        <v>76451</v>
      </c>
      <c r="O41" s="18">
        <f>N41/N$39</f>
        <v>2.5807995749247459E-2</v>
      </c>
      <c r="P41" s="18" t="s">
        <v>54</v>
      </c>
      <c r="Q41" s="7"/>
      <c r="R41" s="7" t="s">
        <v>55</v>
      </c>
      <c r="S41" s="21">
        <f>N33/1000</f>
        <v>14.725</v>
      </c>
      <c r="T41" s="14">
        <f>O33</f>
        <v>4.9708013944574801E-3</v>
      </c>
    </row>
    <row r="42" spans="1:47" ht="15">
      <c r="A42" s="24" t="s">
        <v>56</v>
      </c>
      <c r="B42" s="23"/>
      <c r="C42" s="25">
        <f>C39+C23+C10</f>
        <v>122890</v>
      </c>
      <c r="D42" s="25">
        <f t="shared" ref="D42:L42" si="1">D39+D23+D10</f>
        <v>0</v>
      </c>
      <c r="E42" s="25">
        <f t="shared" si="1"/>
        <v>0</v>
      </c>
      <c r="F42" s="25">
        <f t="shared" si="1"/>
        <v>9288</v>
      </c>
      <c r="G42" s="25">
        <f t="shared" si="1"/>
        <v>189505</v>
      </c>
      <c r="H42" s="25">
        <f t="shared" si="1"/>
        <v>0</v>
      </c>
      <c r="I42" s="25">
        <f t="shared" si="1"/>
        <v>2294000</v>
      </c>
      <c r="J42" s="25">
        <f t="shared" si="1"/>
        <v>0</v>
      </c>
      <c r="K42" s="25">
        <f t="shared" si="1"/>
        <v>0</v>
      </c>
      <c r="L42" s="25">
        <f t="shared" si="1"/>
        <v>85200</v>
      </c>
      <c r="M42" s="25">
        <f>M39+M23-B6+M45</f>
        <v>258166.44</v>
      </c>
      <c r="N42" s="26">
        <f>SUM(C42:M42)</f>
        <v>2959049.44</v>
      </c>
      <c r="O42" s="7"/>
      <c r="P42" s="7"/>
      <c r="Q42" s="7"/>
      <c r="R42" s="7" t="s">
        <v>36</v>
      </c>
      <c r="S42" s="21">
        <f>N31/1000</f>
        <v>0.82599999999999996</v>
      </c>
      <c r="T42" s="14">
        <f>O31</f>
        <v>2.7883748399469468E-4</v>
      </c>
    </row>
    <row r="43" spans="1:47" ht="15">
      <c r="A43" s="24" t="s">
        <v>57</v>
      </c>
      <c r="B43" s="23"/>
      <c r="C43" s="18">
        <f t="shared" ref="C43:M43" si="2">C42/$N42</f>
        <v>4.1530228707500068E-2</v>
      </c>
      <c r="D43" s="18">
        <f t="shared" si="2"/>
        <v>0</v>
      </c>
      <c r="E43" s="18">
        <f t="shared" si="2"/>
        <v>0</v>
      </c>
      <c r="F43" s="18">
        <f t="shared" si="2"/>
        <v>3.1388458315181108E-3</v>
      </c>
      <c r="G43" s="18">
        <f t="shared" si="2"/>
        <v>6.4042525764625283E-2</v>
      </c>
      <c r="H43" s="18">
        <f t="shared" si="2"/>
        <v>0</v>
      </c>
      <c r="I43" s="18">
        <f t="shared" si="2"/>
        <v>0.77524895967943008</v>
      </c>
      <c r="J43" s="18">
        <f t="shared" si="2"/>
        <v>0</v>
      </c>
      <c r="K43" s="18">
        <f t="shared" si="2"/>
        <v>0</v>
      </c>
      <c r="L43" s="18">
        <f t="shared" si="2"/>
        <v>2.8793030237440034E-2</v>
      </c>
      <c r="M43" s="18">
        <f t="shared" si="2"/>
        <v>8.7246409779486486E-2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2751.877</v>
      </c>
      <c r="T43" s="15">
        <f>O32</f>
        <v>0.92896665731582129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103.77</v>
      </c>
      <c r="T44" s="15">
        <f>O34</f>
        <v>3.5030224835507828E-2</v>
      </c>
    </row>
    <row r="45" spans="1:47" ht="15">
      <c r="A45" s="6" t="s">
        <v>60</v>
      </c>
      <c r="B45" s="6">
        <f>B23-B39</f>
        <v>1714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19123.439999999999</v>
      </c>
      <c r="N45" s="26">
        <f>B45+M45</f>
        <v>20837.439999999999</v>
      </c>
      <c r="O45" s="7"/>
      <c r="P45" s="7"/>
      <c r="Q45" s="7"/>
      <c r="R45" s="7" t="s">
        <v>61</v>
      </c>
      <c r="S45" s="21">
        <f>SUM(S39:S44)</f>
        <v>2962.299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69</v>
      </c>
      <c r="B47" s="44">
        <f>(B23-B39)/B23</f>
        <v>6.003502626970228E-2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17"/>
      <c r="N47" s="9"/>
      <c r="O47" s="9"/>
      <c r="P47" s="1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17"/>
      <c r="B48" s="4"/>
      <c r="C48" s="9"/>
      <c r="D48" s="10"/>
      <c r="E48" s="9"/>
      <c r="F48" s="9"/>
      <c r="G48" s="10"/>
      <c r="H48" s="10"/>
      <c r="I48" s="9"/>
      <c r="J48" s="9"/>
      <c r="K48" s="9"/>
      <c r="L48" s="9"/>
      <c r="M48" s="17"/>
      <c r="N48" s="9"/>
      <c r="O48" s="10"/>
      <c r="P48" s="17"/>
      <c r="Q48" s="17"/>
      <c r="R48" s="4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7"/>
      <c r="AG48" s="1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17"/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17"/>
      <c r="N49" s="9"/>
      <c r="O49" s="9"/>
      <c r="P49" s="17"/>
      <c r="Q49" s="17"/>
      <c r="R49" s="4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7"/>
      <c r="AG49" s="17"/>
      <c r="AH49" s="4"/>
      <c r="AI49" s="10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17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9"/>
      <c r="O50" s="9"/>
      <c r="P50" s="17"/>
      <c r="Q50" s="17"/>
      <c r="R50" s="4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7"/>
      <c r="AG50" s="17"/>
      <c r="AH50" s="4"/>
      <c r="AI50" s="10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7"/>
      <c r="AG51" s="17"/>
      <c r="AH51" s="4"/>
      <c r="AI51" s="10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17"/>
      <c r="AG52" s="17"/>
      <c r="AH52" s="4"/>
      <c r="AI52" s="10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17"/>
      <c r="AG53" s="17"/>
      <c r="AH53" s="4"/>
      <c r="AI53" s="10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>
      <c r="A54" s="17"/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17"/>
      <c r="AG54" s="17"/>
      <c r="AH54" s="4"/>
      <c r="AI54" s="10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>
      <c r="A55" s="17"/>
      <c r="B55" s="4"/>
      <c r="C55" s="9"/>
      <c r="D55" s="10"/>
      <c r="E55" s="9"/>
      <c r="F55" s="9"/>
      <c r="G55" s="10"/>
      <c r="H55" s="10"/>
      <c r="I55" s="9"/>
      <c r="J55" s="9"/>
      <c r="K55" s="9"/>
      <c r="L55" s="9"/>
      <c r="M55" s="17"/>
      <c r="N55" s="9"/>
      <c r="O55" s="10"/>
      <c r="P55" s="17"/>
      <c r="Q55" s="1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17"/>
      <c r="AG55" s="17"/>
      <c r="AH55" s="4"/>
      <c r="AI55" s="10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>
      <c r="A56" s="17"/>
      <c r="B56" s="4"/>
      <c r="C56" s="9"/>
      <c r="D56" s="10"/>
      <c r="E56" s="9"/>
      <c r="F56" s="9"/>
      <c r="G56" s="10"/>
      <c r="H56" s="10"/>
      <c r="I56" s="9"/>
      <c r="J56" s="9"/>
      <c r="K56" s="9"/>
      <c r="L56" s="9"/>
      <c r="M56" s="17"/>
      <c r="N56" s="9"/>
      <c r="O56" s="10"/>
      <c r="P56" s="17"/>
      <c r="Q56" s="1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7"/>
      <c r="AG56" s="17"/>
      <c r="AH56" s="4"/>
      <c r="AI56" s="10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 enableFormatConditionsCalculation="0"/>
  <dimension ref="A1:AU144"/>
  <sheetViews>
    <sheetView topLeftCell="A3" zoomScale="125" zoomScaleNormal="125" zoomScalePageLayoutView="125" workbookViewId="0">
      <selection activeCell="C32" sqref="C32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O11" s="3"/>
      <c r="P11" s="3"/>
      <c r="Q11" s="3"/>
      <c r="R11" s="3"/>
      <c r="S11" s="3"/>
      <c r="T11" s="3"/>
    </row>
    <row r="12" spans="1:20" ht="15"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20" ht="15">
      <c r="A14" s="4" t="s">
        <v>63</v>
      </c>
      <c r="O14" s="3"/>
      <c r="P14" s="3"/>
      <c r="Q14" s="3"/>
      <c r="R14" s="3"/>
      <c r="S14" s="3"/>
      <c r="T14" s="3"/>
    </row>
    <row r="15" spans="1:20" ht="15">
      <c r="B15" s="7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2" t="s">
        <v>12</v>
      </c>
      <c r="O15" s="3"/>
      <c r="P15" s="3"/>
      <c r="Q15" s="3"/>
      <c r="R15" s="3"/>
      <c r="S15" s="3"/>
      <c r="T15" s="3"/>
    </row>
    <row r="16" spans="1:20" ht="15"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61553</v>
      </c>
      <c r="C18" s="9">
        <v>2826</v>
      </c>
      <c r="D18" s="9">
        <v>0</v>
      </c>
      <c r="E18" s="9">
        <v>0</v>
      </c>
      <c r="F18" s="9">
        <v>0</v>
      </c>
      <c r="G18" s="9">
        <v>75026</v>
      </c>
      <c r="H18" s="9">
        <v>0</v>
      </c>
      <c r="I18" s="9"/>
      <c r="J18" s="9"/>
      <c r="K18" s="9"/>
      <c r="L18" s="9"/>
      <c r="M18" s="9"/>
      <c r="N18" s="9">
        <v>77852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61553</v>
      </c>
      <c r="C23" s="9">
        <v>2826</v>
      </c>
      <c r="D23" s="9">
        <v>0</v>
      </c>
      <c r="E23" s="9">
        <v>0</v>
      </c>
      <c r="F23" s="9">
        <v>0</v>
      </c>
      <c r="G23" s="9">
        <v>75026</v>
      </c>
      <c r="H23" s="9">
        <v>0</v>
      </c>
      <c r="I23" s="9"/>
      <c r="J23" s="9"/>
      <c r="K23" s="9"/>
      <c r="L23" s="9"/>
      <c r="M23" s="9"/>
      <c r="N23" s="9">
        <v>77852</v>
      </c>
      <c r="O23" s="3"/>
      <c r="P23" s="3"/>
      <c r="Q23" s="3"/>
      <c r="R23" s="3" t="s">
        <v>26</v>
      </c>
      <c r="S23" s="12">
        <f>N42/1000</f>
        <v>295.40664000000004</v>
      </c>
      <c r="T23" s="3"/>
    </row>
    <row r="24" spans="1:20" ht="15">
      <c r="O24" s="3"/>
      <c r="P24" s="3"/>
      <c r="Q24" s="3"/>
      <c r="R24" s="3"/>
      <c r="S24" s="3"/>
      <c r="T24" s="3"/>
    </row>
    <row r="25" spans="1:20" ht="15"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O26" s="3"/>
      <c r="P26" s="3"/>
      <c r="Q26" s="3"/>
      <c r="R26" s="3" t="s">
        <v>11</v>
      </c>
      <c r="S26" s="13">
        <f>M42/1000</f>
        <v>98.504639999999995</v>
      </c>
      <c r="T26" s="14">
        <f>M43</f>
        <v>0.33345438680728368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O27" s="3"/>
      <c r="P27" s="3"/>
      <c r="Q27" s="3"/>
      <c r="R27" s="3" t="s">
        <v>32</v>
      </c>
      <c r="S27" s="13">
        <f>G42/1000</f>
        <v>85.811000000000007</v>
      </c>
      <c r="T27" s="15">
        <f>G43</f>
        <v>0.29048433034545196</v>
      </c>
    </row>
    <row r="28" spans="1:20" ht="15">
      <c r="A28" s="4" t="s">
        <v>63</v>
      </c>
      <c r="N28" s="16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7" t="s">
        <v>30</v>
      </c>
      <c r="C29" s="6" t="s">
        <v>3</v>
      </c>
      <c r="D29" s="6" t="s">
        <v>4</v>
      </c>
      <c r="E29" s="6" t="s">
        <v>5</v>
      </c>
      <c r="F29" s="7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7" t="s">
        <v>33</v>
      </c>
      <c r="O29" s="3"/>
      <c r="P29" s="3"/>
      <c r="Q29" s="3"/>
      <c r="R29" s="3" t="s">
        <v>31</v>
      </c>
      <c r="S29" s="13">
        <f>F42/1000</f>
        <v>9.1159999999999997</v>
      </c>
      <c r="T29" s="14">
        <f>F43</f>
        <v>3.0859157397409888E-2</v>
      </c>
    </row>
    <row r="30" spans="1:20" ht="15">
      <c r="O30" s="3"/>
      <c r="P30" s="3"/>
      <c r="Q30" s="3"/>
      <c r="R30" s="3" t="s">
        <v>34</v>
      </c>
      <c r="S30" s="12">
        <f>E42/1000</f>
        <v>0</v>
      </c>
      <c r="T30" s="14">
        <f>E43</f>
        <v>0</v>
      </c>
    </row>
    <row r="31" spans="1:20" ht="15">
      <c r="A31" s="5" t="s">
        <v>35</v>
      </c>
      <c r="B31" s="9">
        <v>0</v>
      </c>
      <c r="C31" s="49">
        <v>5928</v>
      </c>
      <c r="D31" s="9">
        <v>0</v>
      </c>
      <c r="E31" s="9">
        <v>0</v>
      </c>
      <c r="F31" s="49">
        <v>565</v>
      </c>
      <c r="G31" s="9">
        <v>0</v>
      </c>
      <c r="H31" s="9">
        <v>0</v>
      </c>
      <c r="I31" s="9"/>
      <c r="J31" s="9"/>
      <c r="K31" s="9"/>
      <c r="L31" s="17"/>
      <c r="M31" s="9">
        <v>5909</v>
      </c>
      <c r="N31" s="10">
        <f>SUM(B31:M31)</f>
        <v>12402</v>
      </c>
      <c r="O31" s="18">
        <f>N31/N$39</f>
        <v>4.7808857089989512E-2</v>
      </c>
      <c r="P31" s="19" t="s">
        <v>36</v>
      </c>
      <c r="Q31" s="3"/>
      <c r="R31" s="3" t="s">
        <v>37</v>
      </c>
      <c r="S31" s="13">
        <f>C42/1000</f>
        <v>101.97499999999999</v>
      </c>
      <c r="T31" s="15">
        <f>C43</f>
        <v>0.34520212544985446</v>
      </c>
    </row>
    <row r="32" spans="1:20" ht="15">
      <c r="A32" s="5" t="s">
        <v>38</v>
      </c>
      <c r="B32" s="9">
        <v>1134</v>
      </c>
      <c r="C32" s="49">
        <f>C39-SUM(C33:C38)-C31</f>
        <v>1326</v>
      </c>
      <c r="D32" s="9">
        <v>0</v>
      </c>
      <c r="E32" s="9">
        <v>0</v>
      </c>
      <c r="F32" s="49">
        <f>F39-F34-F31</f>
        <v>44</v>
      </c>
      <c r="G32" s="9">
        <v>0</v>
      </c>
      <c r="H32" s="9">
        <v>0</v>
      </c>
      <c r="I32" s="9"/>
      <c r="J32" s="9"/>
      <c r="K32" s="9"/>
      <c r="L32" s="17"/>
      <c r="M32" s="9">
        <v>4765</v>
      </c>
      <c r="N32" s="10">
        <f>SUM(B32:M32)</f>
        <v>7269</v>
      </c>
      <c r="O32" s="18">
        <f>N32/N$39</f>
        <v>2.8021495096527477E-2</v>
      </c>
      <c r="P32" s="19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4715</v>
      </c>
      <c r="C33" s="9">
        <v>65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17"/>
      <c r="M33" s="9">
        <v>6924</v>
      </c>
      <c r="N33" s="9">
        <v>11703</v>
      </c>
      <c r="O33" s="18">
        <f>N33/N$39</f>
        <v>4.5114260161598717E-2</v>
      </c>
      <c r="P33" s="19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91079</v>
      </c>
      <c r="D34" s="9">
        <v>0</v>
      </c>
      <c r="E34" s="9">
        <v>0</v>
      </c>
      <c r="F34" s="9">
        <v>8507</v>
      </c>
      <c r="G34" s="9">
        <v>0</v>
      </c>
      <c r="H34" s="9">
        <v>0</v>
      </c>
      <c r="I34" s="9"/>
      <c r="J34" s="9"/>
      <c r="K34" s="9"/>
      <c r="L34" s="17"/>
      <c r="M34" s="9">
        <v>0</v>
      </c>
      <c r="N34" s="9">
        <v>99586</v>
      </c>
      <c r="O34" s="18">
        <f>N34/N$39</f>
        <v>0.38389718127428607</v>
      </c>
      <c r="P34" s="19" t="s">
        <v>44</v>
      </c>
      <c r="Q34" s="3"/>
      <c r="R34" s="3"/>
      <c r="S34" s="13">
        <f>SUM(S26:S33)</f>
        <v>295.40664000000004</v>
      </c>
      <c r="T34" s="14">
        <f>SUM(T26:T33)</f>
        <v>1</v>
      </c>
    </row>
    <row r="35" spans="1:47" ht="15">
      <c r="A35" s="5" t="s">
        <v>45</v>
      </c>
      <c r="B35" s="9">
        <v>4613</v>
      </c>
      <c r="C35" s="9">
        <v>405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17"/>
      <c r="M35" s="9">
        <v>13832</v>
      </c>
      <c r="N35" s="9">
        <v>18850</v>
      </c>
      <c r="O35" s="18">
        <f>N35/N$39</f>
        <v>7.2665453648306913E-2</v>
      </c>
      <c r="P35" s="19" t="s">
        <v>46</v>
      </c>
      <c r="Q35" s="19"/>
    </row>
    <row r="36" spans="1:47" ht="15">
      <c r="A36" s="5" t="s">
        <v>47</v>
      </c>
      <c r="B36" s="9">
        <v>14860</v>
      </c>
      <c r="C36" s="9">
        <v>345</v>
      </c>
      <c r="D36" s="9">
        <v>0</v>
      </c>
      <c r="E36" s="9">
        <v>0</v>
      </c>
      <c r="F36" s="9">
        <v>0</v>
      </c>
      <c r="G36" s="9">
        <v>10785</v>
      </c>
      <c r="H36" s="9">
        <v>0</v>
      </c>
      <c r="I36" s="9"/>
      <c r="J36" s="9"/>
      <c r="K36" s="9"/>
      <c r="L36" s="17"/>
      <c r="M36" s="9">
        <v>52264</v>
      </c>
      <c r="N36" s="9">
        <v>78254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9">
        <v>23829</v>
      </c>
      <c r="C37" s="9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17"/>
      <c r="M37" s="9">
        <v>3090</v>
      </c>
      <c r="N37" s="9">
        <v>26920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17"/>
      <c r="M38" s="9">
        <v>4425</v>
      </c>
      <c r="N38" s="9">
        <v>4425</v>
      </c>
      <c r="O38" s="19">
        <f>SUM(O31:O35)</f>
        <v>0.57750724727070868</v>
      </c>
      <c r="P38" s="19"/>
      <c r="Q38" s="3"/>
      <c r="R38" s="7" t="s">
        <v>50</v>
      </c>
      <c r="S38" s="20">
        <f>N45/1000</f>
        <v>19.698640000000001</v>
      </c>
      <c r="T38" s="7"/>
    </row>
    <row r="39" spans="1:47" ht="15">
      <c r="A39" s="5" t="s">
        <v>17</v>
      </c>
      <c r="B39" s="9">
        <v>49151</v>
      </c>
      <c r="C39" s="9">
        <v>99149</v>
      </c>
      <c r="D39" s="9">
        <v>0</v>
      </c>
      <c r="E39" s="9">
        <v>0</v>
      </c>
      <c r="F39" s="9">
        <v>9116</v>
      </c>
      <c r="G39" s="9">
        <v>10785</v>
      </c>
      <c r="H39" s="9">
        <v>0</v>
      </c>
      <c r="I39" s="9"/>
      <c r="J39" s="9"/>
      <c r="K39" s="9"/>
      <c r="L39" s="17"/>
      <c r="M39" s="9">
        <v>91208</v>
      </c>
      <c r="N39" s="9">
        <v>259408</v>
      </c>
      <c r="O39" s="3"/>
      <c r="P39" s="3"/>
      <c r="Q39" s="3"/>
      <c r="R39" s="7" t="s">
        <v>51</v>
      </c>
      <c r="S39" s="21">
        <f>N41/1000</f>
        <v>109.599</v>
      </c>
      <c r="T39" s="14">
        <f>O41</f>
        <v>0.42249660766051933</v>
      </c>
    </row>
    <row r="40" spans="1:47">
      <c r="R40" s="7" t="s">
        <v>52</v>
      </c>
      <c r="S40" s="21">
        <f>N35/1000</f>
        <v>18.850000000000001</v>
      </c>
      <c r="T40" s="15">
        <f>O35</f>
        <v>7.2665453648306913E-2</v>
      </c>
    </row>
    <row r="41" spans="1:47" ht="15">
      <c r="A41" s="22" t="s">
        <v>53</v>
      </c>
      <c r="B41" s="23">
        <f>B38+B37+B36</f>
        <v>38689</v>
      </c>
      <c r="C41" s="23">
        <f t="shared" ref="C41:N41" si="0">C38+C37+C36</f>
        <v>346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10785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59779</v>
      </c>
      <c r="N41" s="23">
        <f t="shared" si="0"/>
        <v>109599</v>
      </c>
      <c r="O41" s="18">
        <f>N41/N$39</f>
        <v>0.42249660766051933</v>
      </c>
      <c r="P41" s="18" t="s">
        <v>54</v>
      </c>
      <c r="Q41" s="7"/>
      <c r="R41" s="7" t="s">
        <v>55</v>
      </c>
      <c r="S41" s="21">
        <f>N33/1000</f>
        <v>11.702999999999999</v>
      </c>
      <c r="T41" s="14">
        <f>O33</f>
        <v>4.5114260161598717E-2</v>
      </c>
    </row>
    <row r="42" spans="1:47" ht="15">
      <c r="A42" s="24" t="s">
        <v>56</v>
      </c>
      <c r="B42" s="23"/>
      <c r="C42" s="25">
        <f>C39+C23+C10</f>
        <v>101975</v>
      </c>
      <c r="D42" s="25">
        <f t="shared" ref="D42:L42" si="1">D39+D23+D10</f>
        <v>0</v>
      </c>
      <c r="E42" s="25">
        <f t="shared" si="1"/>
        <v>0</v>
      </c>
      <c r="F42" s="25">
        <f t="shared" si="1"/>
        <v>9116</v>
      </c>
      <c r="G42" s="25">
        <f t="shared" si="1"/>
        <v>85811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>M39+M23-B6+M45</f>
        <v>98504.639999999999</v>
      </c>
      <c r="N42" s="26">
        <f>SUM(C42:M42)</f>
        <v>295406.64</v>
      </c>
      <c r="O42" s="7"/>
      <c r="P42" s="7"/>
      <c r="Q42" s="7"/>
      <c r="R42" s="7" t="s">
        <v>36</v>
      </c>
      <c r="S42" s="21">
        <f>N31/1000</f>
        <v>12.401999999999999</v>
      </c>
      <c r="T42" s="14">
        <f>O31</f>
        <v>4.7808857089989512E-2</v>
      </c>
    </row>
    <row r="43" spans="1:47" ht="15">
      <c r="A43" s="24" t="s">
        <v>57</v>
      </c>
      <c r="B43" s="23"/>
      <c r="C43" s="18">
        <f t="shared" ref="C43:M43" si="2">C42/$N42</f>
        <v>0.34520212544985446</v>
      </c>
      <c r="D43" s="18">
        <f t="shared" si="2"/>
        <v>0</v>
      </c>
      <c r="E43" s="18">
        <f t="shared" si="2"/>
        <v>0</v>
      </c>
      <c r="F43" s="18">
        <f t="shared" si="2"/>
        <v>3.0859157397409888E-2</v>
      </c>
      <c r="G43" s="18">
        <f t="shared" si="2"/>
        <v>0.29048433034545196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0.33345438680728368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7.2690000000000001</v>
      </c>
      <c r="T43" s="15">
        <f>O32</f>
        <v>2.8021495096527477E-2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99.585999999999999</v>
      </c>
      <c r="T44" s="15">
        <f>O34</f>
        <v>0.38389718127428607</v>
      </c>
    </row>
    <row r="45" spans="1:47" ht="15">
      <c r="A45" s="6" t="s">
        <v>60</v>
      </c>
      <c r="B45" s="6">
        <f>B23-B39</f>
        <v>12402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7296.64</v>
      </c>
      <c r="N45" s="26">
        <f>B45+M45</f>
        <v>19698.64</v>
      </c>
      <c r="O45" s="7"/>
      <c r="P45" s="7"/>
      <c r="Q45" s="7"/>
      <c r="R45" s="7" t="s">
        <v>61</v>
      </c>
      <c r="S45" s="21">
        <f>SUM(S39:S44)</f>
        <v>259.40899999999999</v>
      </c>
      <c r="T45" s="14">
        <f>SUM(T39:T44)</f>
        <v>1.000003854931228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69</v>
      </c>
      <c r="B47" s="44">
        <f>(B23-B39)/B23</f>
        <v>0.20148489919256576</v>
      </c>
      <c r="C47" s="9"/>
      <c r="D47" s="10"/>
      <c r="E47" s="9"/>
      <c r="F47" s="9"/>
      <c r="G47" s="10"/>
      <c r="H47" s="9"/>
      <c r="I47" s="9"/>
      <c r="J47" s="9"/>
      <c r="K47" s="9"/>
      <c r="L47" s="9"/>
      <c r="M47" s="17"/>
      <c r="N47" s="9"/>
      <c r="O47" s="10"/>
      <c r="P47" s="1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>
      <c r="A48" s="17"/>
      <c r="B48" s="4"/>
      <c r="C48" s="9"/>
      <c r="D48" s="10"/>
      <c r="E48" s="9"/>
      <c r="F48" s="9"/>
      <c r="G48" s="10"/>
      <c r="H48" s="9"/>
      <c r="I48" s="9"/>
      <c r="J48" s="9"/>
      <c r="K48" s="9"/>
      <c r="L48" s="9"/>
      <c r="M48" s="17"/>
      <c r="N48" s="9"/>
      <c r="O48" s="10"/>
      <c r="P48" s="17"/>
      <c r="Q48" s="17"/>
      <c r="R48" s="4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7"/>
      <c r="AG48" s="1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>
      <c r="A49" s="17"/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17"/>
      <c r="N49" s="9"/>
      <c r="O49" s="9"/>
      <c r="P49" s="17"/>
      <c r="Q49" s="17"/>
      <c r="R49" s="4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7"/>
      <c r="AG49" s="17"/>
      <c r="AH49" s="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>
      <c r="A50" s="17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9"/>
      <c r="O50" s="9"/>
      <c r="P50" s="17"/>
      <c r="Q50" s="17"/>
      <c r="R50" s="4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7"/>
      <c r="AG50" s="17"/>
      <c r="AH50" s="4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7"/>
      <c r="AG51" s="17"/>
      <c r="AH51" s="4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17"/>
      <c r="AG52" s="17"/>
      <c r="AH52" s="4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17"/>
      <c r="AG53" s="17"/>
      <c r="AH53" s="4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>
      <c r="A54" s="17"/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17"/>
      <c r="AG54" s="17"/>
      <c r="AH54" s="4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>
      <c r="A55" s="17"/>
      <c r="B55" s="4"/>
      <c r="C55" s="9"/>
      <c r="D55" s="9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17"/>
      <c r="AG55" s="17"/>
      <c r="AH55" s="4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>
      <c r="A56" s="17"/>
      <c r="B56" s="4"/>
      <c r="C56" s="9"/>
      <c r="D56" s="9"/>
      <c r="E56" s="9"/>
      <c r="F56" s="9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7"/>
      <c r="AG56" s="17"/>
      <c r="AH56" s="4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  <row r="135" spans="1:47">
      <c r="A135" s="4"/>
      <c r="B135" s="4"/>
      <c r="C135" s="9"/>
      <c r="D135" s="10"/>
      <c r="E135" s="9"/>
      <c r="F135" s="9"/>
      <c r="G135" s="10"/>
      <c r="H135" s="9"/>
      <c r="I135" s="9"/>
      <c r="J135" s="9"/>
      <c r="K135" s="9"/>
      <c r="L135" s="9"/>
      <c r="M135" s="17"/>
      <c r="N135" s="9"/>
      <c r="O135" s="10"/>
      <c r="P135" s="17"/>
      <c r="Q135" s="4"/>
      <c r="R135" s="4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17"/>
      <c r="AG135" s="4"/>
      <c r="AH135" s="4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>
        <v>0</v>
      </c>
    </row>
    <row r="136" spans="1:47">
      <c r="A136" s="17"/>
      <c r="B136" s="4"/>
      <c r="C136" s="9"/>
      <c r="D136" s="10"/>
      <c r="E136" s="9"/>
      <c r="F136" s="9"/>
      <c r="G136" s="10"/>
      <c r="H136" s="9"/>
      <c r="I136" s="9"/>
      <c r="J136" s="9"/>
      <c r="K136" s="9"/>
      <c r="L136" s="9"/>
      <c r="M136" s="17"/>
      <c r="N136" s="9"/>
      <c r="O136" s="10"/>
      <c r="P136" s="17"/>
      <c r="Q136" s="17"/>
      <c r="R136" s="4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17"/>
      <c r="AG136" s="17"/>
      <c r="AH136" s="4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>
        <v>0</v>
      </c>
    </row>
    <row r="137" spans="1:47">
      <c r="A137" s="17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7"/>
      <c r="N137" s="9"/>
      <c r="O137" s="9"/>
      <c r="P137" s="17"/>
      <c r="Q137" s="17"/>
      <c r="R137" s="4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17"/>
      <c r="AG137" s="17"/>
      <c r="AH137" s="4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>
        <v>0</v>
      </c>
    </row>
    <row r="138" spans="1:47">
      <c r="A138" s="17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7"/>
      <c r="N138" s="9"/>
      <c r="O138" s="9"/>
      <c r="P138" s="17"/>
      <c r="Q138" s="17"/>
      <c r="R138" s="4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17"/>
      <c r="AG138" s="17"/>
      <c r="AH138" s="4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>
        <v>0</v>
      </c>
    </row>
    <row r="139" spans="1:47">
      <c r="A139" s="17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7"/>
      <c r="N139" s="9"/>
      <c r="O139" s="9"/>
      <c r="P139" s="17"/>
      <c r="Q139" s="17"/>
      <c r="R139" s="4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17"/>
      <c r="AG139" s="17"/>
      <c r="AH139" s="4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>
        <v>0</v>
      </c>
    </row>
    <row r="140" spans="1:47">
      <c r="A140" s="17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7"/>
      <c r="N140" s="9"/>
      <c r="O140" s="9"/>
      <c r="P140" s="17"/>
      <c r="Q140" s="17"/>
      <c r="R140" s="4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17"/>
      <c r="AG140" s="17"/>
      <c r="AH140" s="4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>
      <c r="A141" s="17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7"/>
      <c r="N141" s="9"/>
      <c r="O141" s="9"/>
      <c r="P141" s="17"/>
      <c r="Q141" s="17"/>
      <c r="R141" s="4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17"/>
      <c r="AG141" s="17"/>
      <c r="AH141" s="4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>
      <c r="A142" s="17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7"/>
      <c r="N142" s="9"/>
      <c r="O142" s="9"/>
      <c r="P142" s="17"/>
      <c r="Q142" s="17"/>
      <c r="R142" s="4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17"/>
      <c r="AG142" s="17"/>
      <c r="AH142" s="4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>
      <c r="A143" s="17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7"/>
      <c r="N143" s="9"/>
      <c r="O143" s="9"/>
      <c r="P143" s="17"/>
      <c r="Q143" s="17"/>
      <c r="R143" s="4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17"/>
      <c r="AG143" s="17"/>
      <c r="AH143" s="4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>
      <c r="A144" s="17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7"/>
      <c r="N144" s="9"/>
      <c r="O144" s="9"/>
      <c r="P144" s="17"/>
      <c r="Q144" s="17"/>
      <c r="R144" s="4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17"/>
      <c r="AG144" s="17"/>
      <c r="AH144" s="4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 enableFormatConditionsCalculation="0"/>
  <dimension ref="A1:AU70"/>
  <sheetViews>
    <sheetView topLeftCell="A3" zoomScale="125" zoomScaleNormal="125" zoomScalePageLayoutView="125" workbookViewId="0">
      <selection activeCell="F47" sqref="F47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3" width="8.83203125" style="2"/>
    <col min="14" max="14" width="10.33203125" style="2" bestFit="1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8" t="s">
        <v>64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37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37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37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37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37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O11" s="3"/>
      <c r="P11" s="3"/>
      <c r="Q11" s="3"/>
      <c r="R11" s="3"/>
      <c r="S11" s="3"/>
      <c r="T11" s="3"/>
    </row>
    <row r="12" spans="1:20" ht="15"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20" ht="15">
      <c r="A14" s="8" t="s">
        <v>64</v>
      </c>
      <c r="O14" s="3"/>
      <c r="P14" s="3"/>
      <c r="Q14" s="3"/>
      <c r="R14" s="3"/>
      <c r="S14" s="3"/>
      <c r="T14" s="3"/>
    </row>
    <row r="15" spans="1:20" ht="15">
      <c r="B15" s="7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2" t="s">
        <v>12</v>
      </c>
      <c r="O15" s="3"/>
      <c r="P15" s="3"/>
      <c r="Q15" s="3"/>
      <c r="R15" s="3"/>
      <c r="S15" s="3"/>
      <c r="T15" s="3"/>
    </row>
    <row r="16" spans="1:20" ht="15"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6">
        <f>43500+790</f>
        <v>44290</v>
      </c>
      <c r="C18" s="38">
        <v>318</v>
      </c>
      <c r="D18" s="38">
        <v>0</v>
      </c>
      <c r="E18" s="38">
        <v>0</v>
      </c>
      <c r="F18" s="38">
        <v>4172</v>
      </c>
      <c r="G18" s="38">
        <v>53851</v>
      </c>
      <c r="H18" s="38">
        <v>1060</v>
      </c>
      <c r="I18" s="38"/>
      <c r="J18" s="38"/>
      <c r="K18" s="38"/>
      <c r="L18" s="38"/>
      <c r="M18" s="38"/>
      <c r="N18" s="38">
        <v>59401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38">
        <v>90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46">
        <f>1.015*B19</f>
        <v>91.35</v>
      </c>
      <c r="N19" s="46">
        <v>91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38">
        <v>219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46">
        <f>0.33*B20</f>
        <v>72.27000000000001</v>
      </c>
      <c r="N20" s="46">
        <v>72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38">
        <v>1060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46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38">
        <v>45659</v>
      </c>
      <c r="C23" s="38">
        <v>318</v>
      </c>
      <c r="D23" s="38">
        <v>0</v>
      </c>
      <c r="E23" s="38">
        <v>0</v>
      </c>
      <c r="F23" s="38">
        <v>4172</v>
      </c>
      <c r="G23" s="38">
        <v>53851</v>
      </c>
      <c r="H23" s="38">
        <v>1060</v>
      </c>
      <c r="I23" s="38"/>
      <c r="J23" s="38"/>
      <c r="K23" s="38"/>
      <c r="L23" s="38"/>
      <c r="M23" s="46">
        <f>91+72</f>
        <v>163</v>
      </c>
      <c r="N23" s="46">
        <f>59401+91+72</f>
        <v>59564</v>
      </c>
      <c r="O23" s="3"/>
      <c r="P23" s="3"/>
      <c r="Q23" s="3"/>
      <c r="R23" s="3" t="s">
        <v>26</v>
      </c>
      <c r="S23" s="12">
        <f>N42/1000</f>
        <v>509.93824000000001</v>
      </c>
      <c r="T23" s="3"/>
    </row>
    <row r="24" spans="1:20" ht="15">
      <c r="O24" s="3"/>
      <c r="P24" s="3"/>
      <c r="Q24" s="3"/>
      <c r="R24" s="3"/>
      <c r="S24" s="3"/>
      <c r="T24" s="3"/>
    </row>
    <row r="25" spans="1:20" ht="15"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O26" s="3"/>
      <c r="P26" s="3"/>
      <c r="Q26" s="3"/>
      <c r="R26" s="3" t="s">
        <v>11</v>
      </c>
      <c r="S26" s="13">
        <f>M42/1000</f>
        <v>139.97224</v>
      </c>
      <c r="T26" s="14">
        <f>M43</f>
        <v>0.2744886125817903</v>
      </c>
    </row>
    <row r="27" spans="1:20" ht="18">
      <c r="A27" s="1" t="s">
        <v>29</v>
      </c>
      <c r="B27" s="11"/>
      <c r="C27" s="11"/>
      <c r="D27" s="11"/>
      <c r="E27" s="11"/>
      <c r="F27" s="11"/>
      <c r="G27" s="11"/>
      <c r="O27" s="3"/>
      <c r="P27" s="3"/>
      <c r="Q27" s="3"/>
      <c r="R27" s="3" t="s">
        <v>32</v>
      </c>
      <c r="S27" s="13">
        <f>G42/1000</f>
        <v>190.06899999999999</v>
      </c>
      <c r="T27" s="15">
        <f>G43</f>
        <v>0.37272945053110745</v>
      </c>
    </row>
    <row r="28" spans="1:20" ht="15">
      <c r="A28" s="8" t="s">
        <v>64</v>
      </c>
      <c r="N28" s="16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7" t="s">
        <v>30</v>
      </c>
      <c r="C29" s="6" t="s">
        <v>3</v>
      </c>
      <c r="D29" s="6" t="s">
        <v>4</v>
      </c>
      <c r="E29" s="6" t="s">
        <v>5</v>
      </c>
      <c r="F29" s="7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7" t="s">
        <v>33</v>
      </c>
      <c r="O29" s="3"/>
      <c r="P29" s="3"/>
      <c r="Q29" s="3"/>
      <c r="R29" s="3" t="s">
        <v>31</v>
      </c>
      <c r="S29" s="13">
        <f>F42/1000</f>
        <v>16.087</v>
      </c>
      <c r="T29" s="14">
        <f>F43</f>
        <v>3.1546957529602015E-2</v>
      </c>
    </row>
    <row r="30" spans="1:20" ht="15">
      <c r="O30" s="3"/>
      <c r="P30" s="3"/>
      <c r="Q30" s="3"/>
      <c r="R30" s="3" t="s">
        <v>34</v>
      </c>
      <c r="S30" s="12">
        <f>E42/1000</f>
        <v>23.92</v>
      </c>
      <c r="T30" s="14">
        <f>E43</f>
        <v>4.6907641207688214E-2</v>
      </c>
    </row>
    <row r="31" spans="1:20" ht="15">
      <c r="A31" s="5" t="s">
        <v>35</v>
      </c>
      <c r="B31" s="37">
        <v>0</v>
      </c>
      <c r="C31" s="37">
        <v>14521</v>
      </c>
      <c r="D31" s="37">
        <v>0</v>
      </c>
      <c r="E31" s="37">
        <v>0</v>
      </c>
      <c r="F31" s="37">
        <v>1533</v>
      </c>
      <c r="G31" s="37">
        <v>0</v>
      </c>
      <c r="H31" s="37">
        <v>0</v>
      </c>
      <c r="I31" s="37"/>
      <c r="J31" s="37"/>
      <c r="K31" s="37"/>
      <c r="L31" s="39"/>
      <c r="M31" s="37">
        <v>13956</v>
      </c>
      <c r="N31" s="37">
        <v>30010</v>
      </c>
      <c r="O31" s="18">
        <f>N31/N$39</f>
        <v>6.2556542693120651E-2</v>
      </c>
      <c r="P31" s="19" t="s">
        <v>36</v>
      </c>
      <c r="Q31" s="3"/>
      <c r="R31" s="3" t="s">
        <v>37</v>
      </c>
      <c r="S31" s="13">
        <f>C42/1000</f>
        <v>138.83000000000001</v>
      </c>
      <c r="T31" s="15">
        <f>C43</f>
        <v>0.27224865505281581</v>
      </c>
    </row>
    <row r="32" spans="1:20" ht="15">
      <c r="A32" s="5" t="s">
        <v>38</v>
      </c>
      <c r="B32" s="37">
        <v>0</v>
      </c>
      <c r="C32" s="37">
        <v>16327</v>
      </c>
      <c r="D32" s="37">
        <v>0</v>
      </c>
      <c r="E32" s="53">
        <f>23839+81</f>
        <v>23920</v>
      </c>
      <c r="F32" s="53">
        <v>0</v>
      </c>
      <c r="G32" s="53">
        <v>79691</v>
      </c>
      <c r="H32" s="37">
        <v>0</v>
      </c>
      <c r="I32" s="37"/>
      <c r="J32" s="37"/>
      <c r="K32" s="37"/>
      <c r="L32" s="39"/>
      <c r="M32" s="37">
        <v>25812</v>
      </c>
      <c r="N32" s="37">
        <v>145750</v>
      </c>
      <c r="O32" s="18">
        <f>N32/N$39</f>
        <v>0.30381926349624577</v>
      </c>
      <c r="P32" s="19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52">
        <f>11148+2656</f>
        <v>13804</v>
      </c>
      <c r="C33" s="37">
        <v>89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  <c r="J33" s="37"/>
      <c r="K33" s="37"/>
      <c r="L33" s="39"/>
      <c r="M33" s="37">
        <v>9617</v>
      </c>
      <c r="N33" s="52">
        <f>SUM(B33:M33)</f>
        <v>23510</v>
      </c>
      <c r="O33" s="18">
        <f>N33/N$39</f>
        <v>4.9007141576650003E-2</v>
      </c>
      <c r="P33" s="19" t="s">
        <v>42</v>
      </c>
      <c r="Q33" s="3"/>
      <c r="R33" s="3" t="s">
        <v>7</v>
      </c>
      <c r="S33" s="13">
        <f>H42/1000</f>
        <v>1.06</v>
      </c>
      <c r="T33" s="14">
        <f>H43</f>
        <v>2.0786830969962166E-3</v>
      </c>
    </row>
    <row r="34" spans="1:47" ht="15">
      <c r="A34" s="5" t="s">
        <v>43</v>
      </c>
      <c r="B34" s="37">
        <v>0</v>
      </c>
      <c r="C34" s="37">
        <v>106582</v>
      </c>
      <c r="D34" s="37">
        <v>0</v>
      </c>
      <c r="E34" s="37">
        <v>0</v>
      </c>
      <c r="F34" s="37">
        <v>10382</v>
      </c>
      <c r="G34" s="37">
        <v>0</v>
      </c>
      <c r="H34" s="37">
        <v>0</v>
      </c>
      <c r="I34" s="37"/>
      <c r="J34" s="37"/>
      <c r="K34" s="37"/>
      <c r="L34" s="39"/>
      <c r="M34" s="37">
        <v>59</v>
      </c>
      <c r="N34" s="37">
        <v>117023</v>
      </c>
      <c r="O34" s="18">
        <f>N34/N$39</f>
        <v>0.24393716413119154</v>
      </c>
      <c r="P34" s="19" t="s">
        <v>44</v>
      </c>
      <c r="Q34" s="3"/>
      <c r="R34" s="3"/>
      <c r="S34" s="13">
        <f>SUM(S26:S33)</f>
        <v>509.93824000000001</v>
      </c>
      <c r="T34" s="14">
        <f>SUM(T26:T33)</f>
        <v>1</v>
      </c>
    </row>
    <row r="35" spans="1:47" ht="15">
      <c r="A35" s="5" t="s">
        <v>45</v>
      </c>
      <c r="B35" s="52">
        <f>5096+1214</f>
        <v>6310</v>
      </c>
      <c r="C35" s="37">
        <v>702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/>
      <c r="K35" s="37"/>
      <c r="L35" s="39"/>
      <c r="M35" s="37">
        <v>19894</v>
      </c>
      <c r="N35" s="52">
        <f>SUM(B35:M35)</f>
        <v>26906</v>
      </c>
      <c r="O35" s="18">
        <f>N35/N$39</f>
        <v>5.608618252919375E-2</v>
      </c>
      <c r="P35" s="19" t="s">
        <v>46</v>
      </c>
      <c r="Q35" s="19"/>
    </row>
    <row r="36" spans="1:47" ht="15">
      <c r="A36" s="5" t="s">
        <v>47</v>
      </c>
      <c r="B36" s="52">
        <f>2004+477</f>
        <v>2481</v>
      </c>
      <c r="C36" s="37">
        <v>292</v>
      </c>
      <c r="D36" s="37">
        <v>0</v>
      </c>
      <c r="E36" s="37">
        <v>0</v>
      </c>
      <c r="F36" s="37">
        <v>0</v>
      </c>
      <c r="G36" s="37">
        <v>56527</v>
      </c>
      <c r="H36" s="37">
        <v>0</v>
      </c>
      <c r="I36" s="37"/>
      <c r="J36" s="37"/>
      <c r="K36" s="37"/>
      <c r="L36" s="39"/>
      <c r="M36" s="37">
        <v>47868</v>
      </c>
      <c r="N36" s="52">
        <f>SUM(B36:M36)</f>
        <v>107168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52">
        <f>13821+3292</f>
        <v>17113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/>
      <c r="K37" s="37"/>
      <c r="L37" s="39"/>
      <c r="M37" s="37">
        <v>3614</v>
      </c>
      <c r="N37" s="52">
        <f>SUM(B37:M37)</f>
        <v>20727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L38" s="39"/>
      <c r="M38" s="37">
        <v>8633</v>
      </c>
      <c r="N38" s="37">
        <v>8633</v>
      </c>
      <c r="O38" s="19">
        <f>SUM(O31:O35)</f>
        <v>0.71540629442640169</v>
      </c>
      <c r="P38" s="19"/>
      <c r="Q38" s="3"/>
      <c r="R38" s="7" t="s">
        <v>50</v>
      </c>
      <c r="S38" s="20">
        <f>N45/1000</f>
        <v>16.30724</v>
      </c>
      <c r="T38" s="7"/>
    </row>
    <row r="39" spans="1:47" ht="15">
      <c r="A39" s="5" t="s">
        <v>17</v>
      </c>
      <c r="B39" s="52">
        <v>39708</v>
      </c>
      <c r="C39" s="37">
        <v>138512</v>
      </c>
      <c r="D39" s="37">
        <v>0</v>
      </c>
      <c r="E39" s="53">
        <v>23920</v>
      </c>
      <c r="F39" s="40">
        <f>1533+10382</f>
        <v>11915</v>
      </c>
      <c r="G39" s="53">
        <f>56527+79691</f>
        <v>136218</v>
      </c>
      <c r="H39" s="37">
        <v>0</v>
      </c>
      <c r="I39" s="37"/>
      <c r="J39" s="37"/>
      <c r="K39" s="37"/>
      <c r="L39" s="39"/>
      <c r="M39" s="37">
        <v>129453</v>
      </c>
      <c r="N39" s="52">
        <f>SUM(B39:M39)</f>
        <v>479726</v>
      </c>
      <c r="O39" s="3"/>
      <c r="P39" s="3"/>
      <c r="Q39" s="3"/>
      <c r="R39" s="7" t="s">
        <v>51</v>
      </c>
      <c r="S39" s="21">
        <f>N41/1000</f>
        <v>136.52799999999999</v>
      </c>
      <c r="T39" s="14">
        <f>O41</f>
        <v>0.28459579009684693</v>
      </c>
    </row>
    <row r="40" spans="1:47">
      <c r="R40" s="7" t="s">
        <v>52</v>
      </c>
      <c r="S40" s="21">
        <f>N35/1000</f>
        <v>26.905999999999999</v>
      </c>
      <c r="T40" s="15">
        <f>O35</f>
        <v>5.608618252919375E-2</v>
      </c>
    </row>
    <row r="41" spans="1:47" ht="15">
      <c r="A41" s="22" t="s">
        <v>53</v>
      </c>
      <c r="B41" s="23">
        <f>B38+B37+B36</f>
        <v>19594</v>
      </c>
      <c r="C41" s="23">
        <f t="shared" ref="C41:N41" si="0">C38+C37+C36</f>
        <v>292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56527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60115</v>
      </c>
      <c r="N41" s="23">
        <f t="shared" si="0"/>
        <v>136528</v>
      </c>
      <c r="O41" s="18">
        <f>N41/N$39</f>
        <v>0.28459579009684693</v>
      </c>
      <c r="P41" s="18" t="s">
        <v>54</v>
      </c>
      <c r="Q41" s="7"/>
      <c r="R41" s="7" t="s">
        <v>55</v>
      </c>
      <c r="S41" s="21">
        <f>N33/1000</f>
        <v>23.51</v>
      </c>
      <c r="T41" s="14">
        <f>O33</f>
        <v>4.9007141576650003E-2</v>
      </c>
    </row>
    <row r="42" spans="1:47" ht="15">
      <c r="A42" s="24" t="s">
        <v>56</v>
      </c>
      <c r="B42" s="23"/>
      <c r="C42" s="25">
        <f>C39+C23+C10</f>
        <v>138830</v>
      </c>
      <c r="D42" s="25">
        <f t="shared" ref="D42:L42" si="1">D39+D23+D10</f>
        <v>0</v>
      </c>
      <c r="E42" s="25">
        <f t="shared" si="1"/>
        <v>23920</v>
      </c>
      <c r="F42" s="25">
        <f t="shared" si="1"/>
        <v>16087</v>
      </c>
      <c r="G42" s="25">
        <f t="shared" si="1"/>
        <v>190069</v>
      </c>
      <c r="H42" s="25">
        <f t="shared" si="1"/>
        <v>1060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>M39+M23-B6+M45</f>
        <v>139972.24</v>
      </c>
      <c r="N42" s="26">
        <f>SUM(C42:M42)</f>
        <v>509938.24</v>
      </c>
      <c r="O42" s="7"/>
      <c r="P42" s="7"/>
      <c r="Q42" s="7"/>
      <c r="R42" s="7" t="s">
        <v>36</v>
      </c>
      <c r="S42" s="21">
        <f>N31/1000</f>
        <v>30.01</v>
      </c>
      <c r="T42" s="14">
        <f>O31</f>
        <v>6.2556542693120651E-2</v>
      </c>
    </row>
    <row r="43" spans="1:47" ht="15">
      <c r="A43" s="24" t="s">
        <v>57</v>
      </c>
      <c r="B43" s="23"/>
      <c r="C43" s="18">
        <f t="shared" ref="C43:M43" si="2">C42/$N42</f>
        <v>0.27224865505281581</v>
      </c>
      <c r="D43" s="18">
        <f t="shared" si="2"/>
        <v>0</v>
      </c>
      <c r="E43" s="18">
        <f t="shared" si="2"/>
        <v>4.6907641207688214E-2</v>
      </c>
      <c r="F43" s="18">
        <f t="shared" si="2"/>
        <v>3.1546957529602015E-2</v>
      </c>
      <c r="G43" s="18">
        <f t="shared" si="2"/>
        <v>0.37272945053110745</v>
      </c>
      <c r="H43" s="18">
        <f t="shared" si="2"/>
        <v>2.0786830969962166E-3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0.2744886125817903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145.75</v>
      </c>
      <c r="T43" s="15">
        <f>O32</f>
        <v>0.30381926349624577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117.023</v>
      </c>
      <c r="T44" s="15">
        <f>O34</f>
        <v>0.24393716413119154</v>
      </c>
    </row>
    <row r="45" spans="1:47" ht="15">
      <c r="A45" s="6" t="s">
        <v>60</v>
      </c>
      <c r="B45" s="6">
        <f>B23-B39</f>
        <v>5951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10356.24</v>
      </c>
      <c r="N45" s="26">
        <f>B45+M45</f>
        <v>16307.24</v>
      </c>
      <c r="O45" s="7"/>
      <c r="P45" s="7"/>
      <c r="Q45" s="7"/>
      <c r="R45" s="7" t="s">
        <v>61</v>
      </c>
      <c r="S45" s="21">
        <f>SUM(S39:S44)</f>
        <v>479.72699999999998</v>
      </c>
      <c r="T45" s="14">
        <f>SUM(T39:T44)</f>
        <v>1.0000020845232487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ht="15">
      <c r="A47" s="8" t="s">
        <v>69</v>
      </c>
      <c r="B47" s="51">
        <f>(B23-B39)/B23</f>
        <v>0.13033574979741125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9"/>
      <c r="N47" s="37"/>
      <c r="O47" s="37"/>
      <c r="P47" s="39"/>
      <c r="Q47" s="8"/>
      <c r="R47" s="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9"/>
      <c r="AG47" s="8"/>
      <c r="AH47" s="8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</row>
    <row r="48" spans="1:47" ht="15">
      <c r="A48" s="39"/>
      <c r="B48" s="8"/>
      <c r="C48" s="37"/>
      <c r="D48" s="37"/>
      <c r="E48" s="37"/>
      <c r="F48" s="40"/>
      <c r="G48" s="40"/>
      <c r="H48" s="40"/>
      <c r="I48" s="37"/>
      <c r="J48" s="37"/>
      <c r="K48" s="37"/>
      <c r="L48" s="37"/>
      <c r="M48" s="39"/>
      <c r="N48" s="37"/>
      <c r="O48" s="37"/>
      <c r="P48" s="39"/>
      <c r="Q48" s="39"/>
      <c r="R48" s="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9"/>
      <c r="AG48" s="39"/>
      <c r="AH48" s="8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</row>
    <row r="49" spans="1:47" ht="15">
      <c r="A49" s="39"/>
      <c r="B49" s="8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9"/>
      <c r="N49" s="37"/>
      <c r="O49" s="37"/>
      <c r="P49" s="39"/>
      <c r="Q49" s="39"/>
      <c r="R49" s="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9"/>
      <c r="AG49" s="39"/>
      <c r="AH49" s="8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</row>
    <row r="50" spans="1:47" ht="15">
      <c r="A50" s="39"/>
      <c r="B50" s="8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9"/>
      <c r="N50" s="37"/>
      <c r="O50" s="37"/>
      <c r="P50" s="39"/>
      <c r="Q50" s="39"/>
      <c r="R50" s="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9"/>
      <c r="AG50" s="39"/>
      <c r="AH50" s="8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</row>
    <row r="51" spans="1:47" ht="15">
      <c r="A51" s="39"/>
      <c r="B51" s="8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9"/>
      <c r="N51" s="37"/>
      <c r="O51" s="37"/>
      <c r="P51" s="39"/>
      <c r="Q51" s="39"/>
      <c r="R51" s="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9"/>
      <c r="AG51" s="39"/>
      <c r="AH51" s="8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</row>
    <row r="52" spans="1:47" ht="15">
      <c r="A52" s="39"/>
      <c r="B52" s="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9"/>
      <c r="N52" s="37"/>
      <c r="O52" s="37"/>
      <c r="P52" s="39"/>
      <c r="Q52" s="39"/>
      <c r="R52" s="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9"/>
      <c r="AG52" s="39"/>
      <c r="AH52" s="8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</row>
    <row r="53" spans="1:47" ht="15">
      <c r="A53" s="39"/>
      <c r="B53" s="8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9"/>
      <c r="N53" s="37"/>
      <c r="O53" s="37"/>
      <c r="P53" s="39"/>
      <c r="Q53" s="39"/>
      <c r="R53" s="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9"/>
      <c r="AG53" s="39"/>
      <c r="AH53" s="8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</row>
    <row r="54" spans="1:47" ht="15">
      <c r="A54" s="39"/>
      <c r="B54" s="8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9"/>
      <c r="N54" s="37"/>
      <c r="O54" s="37"/>
      <c r="P54" s="39"/>
      <c r="Q54" s="39"/>
      <c r="R54" s="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9"/>
      <c r="AG54" s="39"/>
      <c r="AH54" s="8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</row>
    <row r="55" spans="1:47" ht="15">
      <c r="A55" s="39"/>
      <c r="B55" s="8"/>
      <c r="C55" s="37"/>
      <c r="D55" s="37"/>
      <c r="E55" s="37"/>
      <c r="F55" s="40"/>
      <c r="G55" s="40"/>
      <c r="H55" s="40"/>
      <c r="I55" s="37"/>
      <c r="J55" s="37"/>
      <c r="K55" s="37"/>
      <c r="L55" s="37"/>
      <c r="M55" s="39"/>
      <c r="N55" s="37"/>
      <c r="O55" s="37"/>
      <c r="P55" s="39"/>
      <c r="Q55" s="39"/>
      <c r="R55" s="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9"/>
      <c r="AG55" s="39"/>
      <c r="AH55" s="8"/>
      <c r="AI55" s="37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</row>
    <row r="56" spans="1:47" ht="15">
      <c r="A56" s="7"/>
      <c r="B56" s="7"/>
      <c r="C56" s="28"/>
      <c r="D56" s="28"/>
      <c r="E56" s="28"/>
      <c r="F56" s="28"/>
      <c r="G56" s="28"/>
      <c r="H56" s="28"/>
      <c r="I56" s="28"/>
      <c r="J56" s="28"/>
      <c r="K56" s="28"/>
      <c r="L56" s="6"/>
      <c r="M56" s="29"/>
      <c r="N56" s="7"/>
      <c r="O56" s="6"/>
      <c r="P56" s="14"/>
      <c r="Q56" s="7"/>
      <c r="R56" s="7"/>
      <c r="S56" s="6"/>
      <c r="T56" s="3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9" enableFormatConditionsCalculation="0"/>
  <dimension ref="A1:AU70"/>
  <sheetViews>
    <sheetView topLeftCell="A3" zoomScale="125" zoomScaleNormal="125" zoomScalePageLayoutView="125" workbookViewId="0">
      <selection activeCell="B18" sqref="B18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284493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284493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20" ht="1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20" ht="15">
      <c r="A14" s="4" t="s">
        <v>65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6" t="s">
        <v>12</v>
      </c>
      <c r="O15" s="3"/>
      <c r="P15" s="3"/>
      <c r="Q15" s="3"/>
      <c r="R15" s="3"/>
      <c r="S15" s="3"/>
      <c r="T15" s="3"/>
    </row>
    <row r="16" spans="1:20" ht="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7">
        <f>68534+2166</f>
        <v>70700</v>
      </c>
      <c r="C18" s="9">
        <v>488</v>
      </c>
      <c r="D18" s="9">
        <v>0</v>
      </c>
      <c r="E18" s="9">
        <v>2251</v>
      </c>
      <c r="F18" s="9">
        <v>0</v>
      </c>
      <c r="G18" s="9">
        <v>79946</v>
      </c>
      <c r="H18" s="9">
        <v>0</v>
      </c>
      <c r="I18" s="9"/>
      <c r="J18" s="9"/>
      <c r="K18" s="9"/>
      <c r="L18" s="9"/>
      <c r="M18" s="9"/>
      <c r="N18" s="9">
        <v>82684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1078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47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71778</v>
      </c>
      <c r="C23" s="9">
        <v>488</v>
      </c>
      <c r="D23" s="9">
        <v>0</v>
      </c>
      <c r="E23" s="9">
        <v>2251</v>
      </c>
      <c r="F23" s="9">
        <v>0</v>
      </c>
      <c r="G23" s="9">
        <v>79946</v>
      </c>
      <c r="H23" s="9">
        <v>0</v>
      </c>
      <c r="I23" s="9"/>
      <c r="J23" s="9"/>
      <c r="K23" s="9"/>
      <c r="L23" s="9"/>
      <c r="M23" s="9"/>
      <c r="N23" s="9">
        <v>82684</v>
      </c>
      <c r="O23" s="3"/>
      <c r="P23" s="3"/>
      <c r="Q23" s="3"/>
      <c r="R23" s="3" t="s">
        <v>26</v>
      </c>
      <c r="S23" s="12">
        <f>N42/1000</f>
        <v>648.14783999999997</v>
      </c>
      <c r="T23" s="3"/>
    </row>
    <row r="24" spans="1:20" ht="1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/>
      <c r="T24" s="3"/>
    </row>
    <row r="25" spans="1:20" ht="1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 t="s">
        <v>11</v>
      </c>
      <c r="S26" s="13">
        <f>M42/1000</f>
        <v>187.26983999999999</v>
      </c>
      <c r="T26" s="14">
        <f>M43</f>
        <v>0.28893074765164689</v>
      </c>
    </row>
    <row r="27" spans="1:20" ht="18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3"/>
      <c r="P27" s="3"/>
      <c r="Q27" s="3"/>
      <c r="R27" s="3" t="s">
        <v>32</v>
      </c>
      <c r="S27" s="13">
        <f>G42/1000</f>
        <v>162.495</v>
      </c>
      <c r="T27" s="15">
        <f>G43</f>
        <v>0.25070669062169521</v>
      </c>
    </row>
    <row r="28" spans="1:20" ht="15">
      <c r="A28" s="4" t="s">
        <v>65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20.420000000000002</v>
      </c>
      <c r="T29" s="14">
        <f>F43</f>
        <v>3.1505157835595043E-2</v>
      </c>
    </row>
    <row r="30" spans="1:20" ht="1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  <c r="P30" s="3"/>
      <c r="Q30" s="3"/>
      <c r="R30" s="3" t="s">
        <v>34</v>
      </c>
      <c r="S30" s="12">
        <f>E42/1000</f>
        <v>14.199</v>
      </c>
      <c r="T30" s="14">
        <f>E43</f>
        <v>2.1907038986660823E-2</v>
      </c>
    </row>
    <row r="31" spans="1:20" ht="15">
      <c r="A31" s="5" t="s">
        <v>35</v>
      </c>
      <c r="B31" s="9">
        <v>0</v>
      </c>
      <c r="C31" s="9">
        <v>11223</v>
      </c>
      <c r="D31" s="9">
        <v>0</v>
      </c>
      <c r="E31" s="9">
        <v>0</v>
      </c>
      <c r="F31" s="9">
        <v>1137</v>
      </c>
      <c r="G31" s="9">
        <v>0</v>
      </c>
      <c r="H31" s="9">
        <v>0</v>
      </c>
      <c r="I31" s="9"/>
      <c r="J31" s="9"/>
      <c r="K31" s="9"/>
      <c r="L31" s="9"/>
      <c r="M31" s="9">
        <v>14305</v>
      </c>
      <c r="N31" s="9">
        <v>26666</v>
      </c>
      <c r="O31" s="18">
        <f>N31/N$39</f>
        <v>4.3347790182780524E-2</v>
      </c>
      <c r="P31" s="19" t="s">
        <v>36</v>
      </c>
      <c r="Q31" s="3"/>
      <c r="R31" s="3" t="s">
        <v>37</v>
      </c>
      <c r="S31" s="13">
        <f>C42/1000</f>
        <v>263.76400000000001</v>
      </c>
      <c r="T31" s="15">
        <f>C43</f>
        <v>0.40695036490440206</v>
      </c>
    </row>
    <row r="32" spans="1:20" ht="15">
      <c r="A32" s="5" t="s">
        <v>38</v>
      </c>
      <c r="B32" s="9">
        <v>3013</v>
      </c>
      <c r="C32" s="9">
        <v>35936</v>
      </c>
      <c r="D32" s="9">
        <v>0</v>
      </c>
      <c r="E32" s="9">
        <v>11948</v>
      </c>
      <c r="F32" s="9">
        <v>173</v>
      </c>
      <c r="G32" s="9">
        <v>3103</v>
      </c>
      <c r="H32" s="9">
        <v>0</v>
      </c>
      <c r="I32" s="9"/>
      <c r="J32" s="9"/>
      <c r="K32" s="9"/>
      <c r="L32" s="9"/>
      <c r="M32" s="9">
        <v>23253</v>
      </c>
      <c r="N32" s="9">
        <v>77426</v>
      </c>
      <c r="O32" s="18">
        <f>N32/N$39</f>
        <v>0.1258623716602402</v>
      </c>
      <c r="P32" s="19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22304</v>
      </c>
      <c r="C33" s="9">
        <v>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22967</v>
      </c>
      <c r="N33" s="9">
        <v>45276</v>
      </c>
      <c r="O33" s="18">
        <f>N33/N$39</f>
        <v>7.3599885558972886E-2</v>
      </c>
      <c r="P33" s="19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208936</v>
      </c>
      <c r="D34" s="9">
        <v>0</v>
      </c>
      <c r="E34" s="9">
        <v>0</v>
      </c>
      <c r="F34" s="9">
        <v>19110</v>
      </c>
      <c r="G34" s="9">
        <v>0</v>
      </c>
      <c r="H34" s="9">
        <v>0</v>
      </c>
      <c r="I34" s="9"/>
      <c r="J34" s="9"/>
      <c r="K34" s="9"/>
      <c r="L34" s="9"/>
      <c r="M34" s="9">
        <v>0</v>
      </c>
      <c r="N34" s="9">
        <v>228047</v>
      </c>
      <c r="O34" s="18">
        <f>N34/N$39</f>
        <v>0.37070927427482753</v>
      </c>
      <c r="P34" s="19" t="s">
        <v>44</v>
      </c>
      <c r="Q34" s="3"/>
      <c r="R34" s="3"/>
      <c r="S34" s="13">
        <f>SUM(S26:S33)</f>
        <v>648.14784000000009</v>
      </c>
      <c r="T34" s="14">
        <f>SUM(T26:T33)</f>
        <v>1</v>
      </c>
    </row>
    <row r="35" spans="1:47" ht="15">
      <c r="A35" s="5" t="s">
        <v>45</v>
      </c>
      <c r="B35" s="9">
        <v>154</v>
      </c>
      <c r="C35" s="9">
        <v>6045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26015</v>
      </c>
      <c r="N35" s="9">
        <v>32215</v>
      </c>
      <c r="O35" s="18">
        <f>N35/N$39</f>
        <v>5.2368148981409839E-2</v>
      </c>
      <c r="P35" s="19" t="s">
        <v>46</v>
      </c>
      <c r="Q35" s="19"/>
    </row>
    <row r="36" spans="1:47" ht="15">
      <c r="A36" s="5" t="s">
        <v>47</v>
      </c>
      <c r="B36" s="9">
        <v>6274</v>
      </c>
      <c r="C36" s="9">
        <v>1109</v>
      </c>
      <c r="D36" s="9">
        <v>0</v>
      </c>
      <c r="E36" s="9">
        <v>0</v>
      </c>
      <c r="F36" s="9">
        <v>0</v>
      </c>
      <c r="G36" s="9">
        <v>79446</v>
      </c>
      <c r="H36" s="9">
        <v>0</v>
      </c>
      <c r="I36" s="9"/>
      <c r="J36" s="9"/>
      <c r="K36" s="9"/>
      <c r="L36" s="9"/>
      <c r="M36" s="9">
        <v>64538</v>
      </c>
      <c r="N36" s="9">
        <v>151367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9">
        <v>31828</v>
      </c>
      <c r="C37" s="9">
        <v>21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9675</v>
      </c>
      <c r="N37" s="9">
        <v>41523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12644</v>
      </c>
      <c r="N38" s="9">
        <v>12644</v>
      </c>
      <c r="O38" s="19">
        <f>SUM(O31:O35)</f>
        <v>0.66588747065823095</v>
      </c>
      <c r="P38" s="19"/>
      <c r="Q38" s="3"/>
      <c r="R38" s="7" t="s">
        <v>50</v>
      </c>
      <c r="S38" s="20">
        <f>N45/1000</f>
        <v>22.076840000000001</v>
      </c>
      <c r="T38" s="7"/>
    </row>
    <row r="39" spans="1:47" ht="15">
      <c r="A39" s="5" t="s">
        <v>17</v>
      </c>
      <c r="B39" s="9">
        <v>63573</v>
      </c>
      <c r="C39" s="9">
        <v>263276</v>
      </c>
      <c r="D39" s="9">
        <v>0</v>
      </c>
      <c r="E39" s="9">
        <v>11948</v>
      </c>
      <c r="F39" s="9">
        <v>20420</v>
      </c>
      <c r="G39" s="9">
        <v>82549</v>
      </c>
      <c r="H39" s="9">
        <v>0</v>
      </c>
      <c r="I39" s="9"/>
      <c r="J39" s="9"/>
      <c r="K39" s="9"/>
      <c r="L39" s="9"/>
      <c r="M39" s="9">
        <v>173398</v>
      </c>
      <c r="N39" s="9">
        <v>615164</v>
      </c>
      <c r="O39" s="3"/>
      <c r="P39" s="3"/>
      <c r="Q39" s="3"/>
      <c r="R39" s="7" t="s">
        <v>51</v>
      </c>
      <c r="S39" s="21">
        <f>N41/1000</f>
        <v>205.53399999999999</v>
      </c>
      <c r="T39" s="14">
        <f>O41</f>
        <v>0.33411252934176905</v>
      </c>
    </row>
    <row r="40" spans="1:47">
      <c r="R40" s="7" t="s">
        <v>52</v>
      </c>
      <c r="S40" s="21">
        <f>N35/1000</f>
        <v>32.215000000000003</v>
      </c>
      <c r="T40" s="15">
        <f>O35</f>
        <v>5.2368148981409839E-2</v>
      </c>
    </row>
    <row r="41" spans="1:47" ht="15">
      <c r="A41" s="22" t="s">
        <v>53</v>
      </c>
      <c r="B41" s="23">
        <f>B38+B37+B36</f>
        <v>38102</v>
      </c>
      <c r="C41" s="23">
        <f t="shared" ref="C41:N41" si="0">C38+C37+C36</f>
        <v>1130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79446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86857</v>
      </c>
      <c r="N41" s="23">
        <f t="shared" si="0"/>
        <v>205534</v>
      </c>
      <c r="O41" s="18">
        <f>N41/N$39</f>
        <v>0.33411252934176905</v>
      </c>
      <c r="P41" s="18" t="s">
        <v>54</v>
      </c>
      <c r="Q41" s="7"/>
      <c r="R41" s="7" t="s">
        <v>55</v>
      </c>
      <c r="S41" s="21">
        <f>N33/1000</f>
        <v>45.276000000000003</v>
      </c>
      <c r="T41" s="14">
        <f>O33</f>
        <v>7.3599885558972886E-2</v>
      </c>
    </row>
    <row r="42" spans="1:47" ht="15">
      <c r="A42" s="24" t="s">
        <v>56</v>
      </c>
      <c r="B42" s="23"/>
      <c r="C42" s="25">
        <f>C39+C23+C10</f>
        <v>263764</v>
      </c>
      <c r="D42" s="25">
        <f t="shared" ref="D42:L42" si="1">D39+D23+D10</f>
        <v>0</v>
      </c>
      <c r="E42" s="25">
        <f t="shared" si="1"/>
        <v>14199</v>
      </c>
      <c r="F42" s="25">
        <f t="shared" si="1"/>
        <v>20420</v>
      </c>
      <c r="G42" s="25">
        <f t="shared" si="1"/>
        <v>162495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>M39+M23-B6+M45</f>
        <v>187269.84</v>
      </c>
      <c r="N42" s="26">
        <f>SUM(C42:M42)</f>
        <v>648147.84</v>
      </c>
      <c r="O42" s="7"/>
      <c r="P42" s="7"/>
      <c r="Q42" s="7"/>
      <c r="R42" s="7" t="s">
        <v>36</v>
      </c>
      <c r="S42" s="21">
        <f>N31/1000</f>
        <v>26.666</v>
      </c>
      <c r="T42" s="14">
        <f>O31</f>
        <v>4.3347790182780524E-2</v>
      </c>
    </row>
    <row r="43" spans="1:47" ht="15">
      <c r="A43" s="24" t="s">
        <v>57</v>
      </c>
      <c r="B43" s="23"/>
      <c r="C43" s="18">
        <f t="shared" ref="C43:M43" si="2">C42/$N42</f>
        <v>0.40695036490440206</v>
      </c>
      <c r="D43" s="18">
        <f t="shared" si="2"/>
        <v>0</v>
      </c>
      <c r="E43" s="18">
        <f t="shared" si="2"/>
        <v>2.1907038986660823E-2</v>
      </c>
      <c r="F43" s="18">
        <f t="shared" si="2"/>
        <v>3.1505157835595043E-2</v>
      </c>
      <c r="G43" s="18">
        <f t="shared" si="2"/>
        <v>0.25070669062169521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0.28893074765164689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77.426000000000002</v>
      </c>
      <c r="T43" s="15">
        <f>O32</f>
        <v>0.1258623716602402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228.047</v>
      </c>
      <c r="T44" s="15">
        <f>O34</f>
        <v>0.37070927427482753</v>
      </c>
    </row>
    <row r="45" spans="1:47" ht="15">
      <c r="A45" s="6" t="s">
        <v>60</v>
      </c>
      <c r="B45" s="6">
        <f>B23-B39</f>
        <v>8205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13871.84</v>
      </c>
      <c r="N45" s="26">
        <f>B45+M45</f>
        <v>22076.84</v>
      </c>
      <c r="O45" s="7"/>
      <c r="P45" s="7"/>
      <c r="Q45" s="7"/>
      <c r="R45" s="7" t="s">
        <v>61</v>
      </c>
      <c r="S45" s="21">
        <f>SUM(S39:S44)</f>
        <v>615.16399999999999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69</v>
      </c>
      <c r="B47" s="44">
        <f>(B23-B39)/B23</f>
        <v>0.11431079160745633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>
      <c r="A48" s="17"/>
      <c r="B48" s="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4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4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4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4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4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 enableFormatConditionsCalculation="0"/>
  <dimension ref="A1:AU70"/>
  <sheetViews>
    <sheetView topLeftCell="A6" zoomScale="125" zoomScaleNormal="125" zoomScalePageLayoutView="125" workbookViewId="0">
      <selection activeCell="N19" sqref="N19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238640</v>
      </c>
      <c r="C6" s="47">
        <v>0</v>
      </c>
      <c r="D6" s="47">
        <v>0</v>
      </c>
      <c r="E6" s="9">
        <v>0</v>
      </c>
      <c r="F6" s="9">
        <v>0</v>
      </c>
      <c r="G6" s="47">
        <v>0</v>
      </c>
      <c r="H6" s="47">
        <v>0</v>
      </c>
      <c r="I6" s="9"/>
      <c r="J6" s="9"/>
      <c r="K6" s="9"/>
      <c r="L6" s="9"/>
      <c r="M6" s="9"/>
      <c r="N6" s="47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49">
        <v>396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9">
        <v>528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239564</v>
      </c>
      <c r="C10" s="47">
        <v>0</v>
      </c>
      <c r="D10" s="47">
        <v>0</v>
      </c>
      <c r="E10" s="9">
        <v>0</v>
      </c>
      <c r="F10" s="9">
        <v>0</v>
      </c>
      <c r="G10" s="47">
        <v>0</v>
      </c>
      <c r="H10" s="47">
        <v>0</v>
      </c>
      <c r="I10" s="9"/>
      <c r="J10" s="9"/>
      <c r="K10" s="9"/>
      <c r="L10" s="9"/>
      <c r="M10" s="9"/>
      <c r="N10" s="47">
        <v>0</v>
      </c>
      <c r="O10" s="3"/>
      <c r="P10" s="3"/>
      <c r="Q10" s="3"/>
      <c r="R10" s="3"/>
      <c r="S10" s="3"/>
      <c r="T10" s="3"/>
    </row>
    <row r="11" spans="1:20" ht="15">
      <c r="B11" s="16"/>
      <c r="C11" s="16"/>
      <c r="D11" s="16"/>
      <c r="E11" s="16"/>
      <c r="F11" s="16"/>
      <c r="G11" s="16"/>
      <c r="H11" s="54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20" ht="15">
      <c r="B12" s="16"/>
      <c r="C12" s="16"/>
      <c r="D12" s="16"/>
      <c r="E12" s="16"/>
      <c r="F12" s="16"/>
      <c r="G12" s="16"/>
      <c r="H12" s="54"/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20" ht="15">
      <c r="A14" s="4" t="s">
        <v>66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6" t="s">
        <v>12</v>
      </c>
      <c r="O15" s="3"/>
      <c r="P15" s="3"/>
      <c r="Q15" s="3"/>
      <c r="R15" s="3"/>
      <c r="S15" s="3"/>
      <c r="T15" s="3"/>
    </row>
    <row r="16" spans="1:20" ht="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1403225</v>
      </c>
      <c r="C17" s="47">
        <v>33129</v>
      </c>
      <c r="D17" s="47">
        <v>0</v>
      </c>
      <c r="E17" s="9">
        <v>0</v>
      </c>
      <c r="F17" s="9">
        <v>0</v>
      </c>
      <c r="G17" s="47">
        <v>125612</v>
      </c>
      <c r="H17" s="47">
        <v>6751</v>
      </c>
      <c r="I17" s="9"/>
      <c r="J17" s="47">
        <v>547314</v>
      </c>
      <c r="K17" s="47">
        <v>1106119</v>
      </c>
      <c r="L17" s="9"/>
      <c r="M17" s="47">
        <v>58909</v>
      </c>
      <c r="N17" s="47">
        <f>SUM(C17:M17)</f>
        <v>1877834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152460</v>
      </c>
      <c r="C18" s="47">
        <v>24291</v>
      </c>
      <c r="D18" s="47">
        <v>0</v>
      </c>
      <c r="E18" s="9">
        <v>0</v>
      </c>
      <c r="F18" s="9">
        <v>0</v>
      </c>
      <c r="G18" s="47">
        <v>46460</v>
      </c>
      <c r="H18" s="9">
        <v>0</v>
      </c>
      <c r="I18" s="9"/>
      <c r="J18" s="47">
        <v>94327</v>
      </c>
      <c r="K18" s="9"/>
      <c r="L18" s="9"/>
      <c r="M18" s="47">
        <v>27274</v>
      </c>
      <c r="N18" s="47">
        <f>SUM(C18:M18)</f>
        <v>192352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46391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5">
        <f>1.015*B19</f>
        <v>47086.864999999998</v>
      </c>
      <c r="N19" s="47">
        <v>47087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428667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45">
        <f>0.33*B20</f>
        <v>141460.11000000002</v>
      </c>
      <c r="N20" s="47">
        <v>141460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2589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2033332</v>
      </c>
      <c r="C23" s="47">
        <f>33129+24291</f>
        <v>57420</v>
      </c>
      <c r="D23" s="47">
        <v>0</v>
      </c>
      <c r="E23" s="9">
        <v>0</v>
      </c>
      <c r="F23" s="9">
        <v>0</v>
      </c>
      <c r="G23" s="47">
        <f>125612+46460</f>
        <v>172072</v>
      </c>
      <c r="H23" s="47">
        <v>6751</v>
      </c>
      <c r="I23" s="9"/>
      <c r="J23" s="47">
        <f>547314+94327</f>
        <v>641641</v>
      </c>
      <c r="K23" s="47">
        <v>1106119</v>
      </c>
      <c r="L23" s="9"/>
      <c r="M23" s="47">
        <f>58909+27274+47087+141460</f>
        <v>274730</v>
      </c>
      <c r="N23" s="47">
        <f>SUM(N17:N22)</f>
        <v>2258733</v>
      </c>
      <c r="O23" s="3"/>
      <c r="P23" s="3"/>
      <c r="Q23" s="3"/>
      <c r="R23" s="3" t="s">
        <v>26</v>
      </c>
      <c r="S23" s="12">
        <f>N42/1000</f>
        <v>5077.2253600000004</v>
      </c>
      <c r="T23" s="3"/>
    </row>
    <row r="24" spans="1:20" ht="1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/>
      <c r="T24" s="3"/>
    </row>
    <row r="25" spans="1:20" ht="1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 t="s">
        <v>11</v>
      </c>
      <c r="S26" s="13">
        <f>M42/1000</f>
        <v>1592.4693600000001</v>
      </c>
      <c r="T26" s="14">
        <f>M43</f>
        <v>0.31364953238947818</v>
      </c>
    </row>
    <row r="27" spans="1:20" ht="18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3"/>
      <c r="P27" s="3"/>
      <c r="Q27" s="3"/>
      <c r="R27" s="3" t="s">
        <v>32</v>
      </c>
      <c r="S27" s="13">
        <f>G42/1000</f>
        <v>251.52099999999999</v>
      </c>
      <c r="T27" s="15">
        <f>G43</f>
        <v>4.9539065565527701E-2</v>
      </c>
    </row>
    <row r="28" spans="1:20" ht="15">
      <c r="A28" s="4" t="s">
        <v>66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3"/>
      <c r="R28" s="3" t="s">
        <v>8</v>
      </c>
      <c r="S28" s="13">
        <f>J42/1000</f>
        <v>641.64099999999996</v>
      </c>
      <c r="T28" s="14">
        <f>J43</f>
        <v>0.12637630881131501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121.127</v>
      </c>
      <c r="T29" s="14">
        <f>F43</f>
        <v>2.38569280288949E-2</v>
      </c>
    </row>
    <row r="30" spans="1:20" ht="1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  <c r="P30" s="3"/>
      <c r="Q30" s="3"/>
      <c r="R30" s="3" t="s">
        <v>34</v>
      </c>
      <c r="S30" s="12">
        <f>E42/1000</f>
        <v>1.381</v>
      </c>
      <c r="T30" s="14">
        <f>E43</f>
        <v>2.7199895653243168E-4</v>
      </c>
    </row>
    <row r="31" spans="1:20" ht="15">
      <c r="A31" s="5" t="s">
        <v>35</v>
      </c>
      <c r="B31" s="9">
        <v>0</v>
      </c>
      <c r="C31" s="9">
        <v>53414</v>
      </c>
      <c r="D31" s="9">
        <v>0</v>
      </c>
      <c r="E31" s="9">
        <v>0</v>
      </c>
      <c r="F31" s="9">
        <v>5574</v>
      </c>
      <c r="G31" s="9">
        <v>0</v>
      </c>
      <c r="H31" s="9">
        <v>0</v>
      </c>
      <c r="I31" s="9"/>
      <c r="J31" s="9"/>
      <c r="K31" s="9"/>
      <c r="L31" s="9"/>
      <c r="M31" s="9">
        <v>35274</v>
      </c>
      <c r="N31" s="9">
        <v>94262</v>
      </c>
      <c r="O31" s="18">
        <f>N31/N$39</f>
        <v>2.1286224315822513E-2</v>
      </c>
      <c r="P31" s="19" t="s">
        <v>36</v>
      </c>
      <c r="Q31" s="3"/>
      <c r="R31" s="3" t="s">
        <v>37</v>
      </c>
      <c r="S31" s="13">
        <f>C42/1000</f>
        <v>1356.2159999999999</v>
      </c>
      <c r="T31" s="15">
        <f>C43</f>
        <v>0.26711755020462591</v>
      </c>
    </row>
    <row r="32" spans="1:20" ht="15">
      <c r="A32" s="5" t="s">
        <v>38</v>
      </c>
      <c r="B32" s="9">
        <v>154531</v>
      </c>
      <c r="C32" s="9">
        <v>8978</v>
      </c>
      <c r="D32" s="9">
        <v>0</v>
      </c>
      <c r="E32" s="9">
        <v>1381</v>
      </c>
      <c r="F32" s="9">
        <v>612</v>
      </c>
      <c r="G32" s="9">
        <v>630</v>
      </c>
      <c r="H32" s="9">
        <v>0</v>
      </c>
      <c r="I32" s="9"/>
      <c r="J32" s="9"/>
      <c r="K32" s="9"/>
      <c r="L32" s="9"/>
      <c r="M32" s="9">
        <v>109644</v>
      </c>
      <c r="N32" s="9">
        <v>275777</v>
      </c>
      <c r="O32" s="18">
        <f>N32/N$39</f>
        <v>6.2275902093575204E-2</v>
      </c>
      <c r="P32" s="19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184843</v>
      </c>
      <c r="C33" s="9">
        <v>2926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175950</v>
      </c>
      <c r="N33" s="9">
        <v>363719</v>
      </c>
      <c r="O33" s="18">
        <f>N33/N$39</f>
        <v>8.2134945385485658E-2</v>
      </c>
      <c r="P33" s="19" t="s">
        <v>42</v>
      </c>
      <c r="Q33" s="3"/>
      <c r="R33" s="3" t="s">
        <v>7</v>
      </c>
      <c r="S33" s="13">
        <f>H42/1000</f>
        <v>6.7510000000000003</v>
      </c>
      <c r="T33" s="14">
        <f>H43</f>
        <v>1.3296632552863479E-3</v>
      </c>
    </row>
    <row r="34" spans="1:47" ht="15">
      <c r="A34" s="5" t="s">
        <v>43</v>
      </c>
      <c r="B34" s="9">
        <v>0</v>
      </c>
      <c r="C34" s="9">
        <v>1224978</v>
      </c>
      <c r="D34" s="9">
        <v>0</v>
      </c>
      <c r="E34" s="9">
        <v>0</v>
      </c>
      <c r="F34" s="9">
        <v>114941</v>
      </c>
      <c r="G34" s="9">
        <v>0</v>
      </c>
      <c r="H34" s="9">
        <v>0</v>
      </c>
      <c r="I34" s="9"/>
      <c r="J34" s="9"/>
      <c r="K34" s="9"/>
      <c r="L34" s="9"/>
      <c r="M34" s="9">
        <v>4517</v>
      </c>
      <c r="N34" s="9">
        <v>1344437</v>
      </c>
      <c r="O34" s="18">
        <f>N34/N$39</f>
        <v>0.30360047060842626</v>
      </c>
      <c r="P34" s="19" t="s">
        <v>44</v>
      </c>
      <c r="Q34" s="3"/>
      <c r="R34" s="3"/>
      <c r="S34" s="13">
        <f>SUM(S26:S33)</f>
        <v>3971.1063599999998</v>
      </c>
      <c r="T34" s="14">
        <f>SUM(T26:T33)</f>
        <v>0.78214104721166056</v>
      </c>
    </row>
    <row r="35" spans="1:47" ht="15">
      <c r="A35" s="5" t="s">
        <v>45</v>
      </c>
      <c r="B35" s="9">
        <v>312939</v>
      </c>
      <c r="C35" s="9">
        <v>5219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622286</v>
      </c>
      <c r="N35" s="9">
        <v>940444</v>
      </c>
      <c r="O35" s="18">
        <f>N35/N$39</f>
        <v>0.21237085931201746</v>
      </c>
      <c r="P35" s="19" t="s">
        <v>46</v>
      </c>
      <c r="Q35" s="19"/>
    </row>
    <row r="36" spans="1:47" ht="15">
      <c r="A36" s="5" t="s">
        <v>47</v>
      </c>
      <c r="B36" s="9">
        <v>149597</v>
      </c>
      <c r="C36" s="9">
        <v>3219</v>
      </c>
      <c r="D36" s="9">
        <v>0</v>
      </c>
      <c r="E36" s="9">
        <v>0</v>
      </c>
      <c r="F36" s="9">
        <v>0</v>
      </c>
      <c r="G36" s="9">
        <v>78819</v>
      </c>
      <c r="H36" s="9">
        <v>0</v>
      </c>
      <c r="I36" s="9"/>
      <c r="J36" s="9"/>
      <c r="K36" s="9"/>
      <c r="L36" s="9"/>
      <c r="M36" s="9">
        <v>328796</v>
      </c>
      <c r="N36" s="9">
        <v>560430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9">
        <v>684555</v>
      </c>
      <c r="C37" s="9">
        <v>62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135731</v>
      </c>
      <c r="N37" s="9">
        <v>820348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28894</v>
      </c>
      <c r="N38" s="9">
        <v>28894</v>
      </c>
      <c r="O38" s="19">
        <f>SUM(O31:O35)</f>
        <v>0.68166840171532717</v>
      </c>
      <c r="P38" s="19"/>
      <c r="Q38" s="3"/>
      <c r="R38" s="7" t="s">
        <v>50</v>
      </c>
      <c r="S38" s="20">
        <f>N45/1000</f>
        <v>662.15436</v>
      </c>
      <c r="T38" s="7"/>
    </row>
    <row r="39" spans="1:47" ht="15">
      <c r="A39" s="5" t="s">
        <v>17</v>
      </c>
      <c r="B39" s="9">
        <v>1486465</v>
      </c>
      <c r="C39" s="9">
        <v>1298796</v>
      </c>
      <c r="D39" s="9">
        <v>0</v>
      </c>
      <c r="E39" s="9">
        <v>1381</v>
      </c>
      <c r="F39" s="9">
        <v>121127</v>
      </c>
      <c r="G39" s="9">
        <v>79449</v>
      </c>
      <c r="H39" s="9">
        <v>0</v>
      </c>
      <c r="I39" s="9"/>
      <c r="J39" s="9"/>
      <c r="K39" s="9"/>
      <c r="L39" s="9"/>
      <c r="M39" s="9">
        <v>1441092</v>
      </c>
      <c r="N39" s="9">
        <v>4428310</v>
      </c>
      <c r="O39" s="3"/>
      <c r="P39" s="3"/>
      <c r="Q39" s="3"/>
      <c r="R39" s="7" t="s">
        <v>51</v>
      </c>
      <c r="S39" s="21">
        <f>N41/1000</f>
        <v>1409.672</v>
      </c>
      <c r="T39" s="14">
        <f>O41</f>
        <v>0.31833182410445521</v>
      </c>
    </row>
    <row r="40" spans="1:47">
      <c r="R40" s="7" t="s">
        <v>52</v>
      </c>
      <c r="S40" s="21">
        <f>N35/1000</f>
        <v>940.44399999999996</v>
      </c>
      <c r="T40" s="15">
        <f>O35</f>
        <v>0.21237085931201746</v>
      </c>
    </row>
    <row r="41" spans="1:47" ht="15">
      <c r="A41" s="22" t="s">
        <v>53</v>
      </c>
      <c r="B41" s="23">
        <f>B38+B37+B36</f>
        <v>834152</v>
      </c>
      <c r="C41" s="23">
        <f t="shared" ref="C41:N41" si="0">C38+C37+C36</f>
        <v>3281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78819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493421</v>
      </c>
      <c r="N41" s="23">
        <f t="shared" si="0"/>
        <v>1409672</v>
      </c>
      <c r="O41" s="18">
        <f>N41/N$39</f>
        <v>0.31833182410445521</v>
      </c>
      <c r="P41" s="18" t="s">
        <v>54</v>
      </c>
      <c r="Q41" s="7"/>
      <c r="R41" s="7" t="s">
        <v>55</v>
      </c>
      <c r="S41" s="21">
        <f>N33/1000</f>
        <v>363.71899999999999</v>
      </c>
      <c r="T41" s="14">
        <f>O33</f>
        <v>8.2134945385485658E-2</v>
      </c>
    </row>
    <row r="42" spans="1:47" ht="15">
      <c r="A42" s="24" t="s">
        <v>56</v>
      </c>
      <c r="B42" s="23"/>
      <c r="C42" s="25">
        <f>C39+C23+C10</f>
        <v>1356216</v>
      </c>
      <c r="D42" s="25">
        <f t="shared" ref="D42:L42" si="1">D39+D23+D10</f>
        <v>0</v>
      </c>
      <c r="E42" s="25">
        <f t="shared" si="1"/>
        <v>1381</v>
      </c>
      <c r="F42" s="25">
        <f t="shared" si="1"/>
        <v>121127</v>
      </c>
      <c r="G42" s="25">
        <f t="shared" si="1"/>
        <v>251521</v>
      </c>
      <c r="H42" s="25">
        <f t="shared" si="1"/>
        <v>6751</v>
      </c>
      <c r="I42" s="25">
        <f t="shared" si="1"/>
        <v>0</v>
      </c>
      <c r="J42" s="25">
        <f t="shared" si="1"/>
        <v>641641</v>
      </c>
      <c r="K42" s="25">
        <f t="shared" si="1"/>
        <v>1106119</v>
      </c>
      <c r="L42" s="25">
        <f t="shared" si="1"/>
        <v>0</v>
      </c>
      <c r="M42" s="25">
        <f>M39+M23-B6+M45</f>
        <v>1592469.36</v>
      </c>
      <c r="N42" s="26">
        <f>SUM(C42:M42)</f>
        <v>5077225.3600000003</v>
      </c>
      <c r="O42" s="7"/>
      <c r="P42" s="7"/>
      <c r="Q42" s="7"/>
      <c r="R42" s="7" t="s">
        <v>36</v>
      </c>
      <c r="S42" s="21">
        <f>N31/1000</f>
        <v>94.262</v>
      </c>
      <c r="T42" s="14">
        <f>O31</f>
        <v>2.1286224315822513E-2</v>
      </c>
    </row>
    <row r="43" spans="1:47" ht="15">
      <c r="A43" s="24" t="s">
        <v>57</v>
      </c>
      <c r="B43" s="23"/>
      <c r="C43" s="18">
        <f t="shared" ref="C43:M43" si="2">C42/$N42</f>
        <v>0.26711755020462591</v>
      </c>
      <c r="D43" s="18">
        <f t="shared" si="2"/>
        <v>0</v>
      </c>
      <c r="E43" s="18">
        <f t="shared" si="2"/>
        <v>2.7199895653243168E-4</v>
      </c>
      <c r="F43" s="18">
        <f t="shared" si="2"/>
        <v>2.38569280288949E-2</v>
      </c>
      <c r="G43" s="18">
        <f t="shared" si="2"/>
        <v>4.9539065565527701E-2</v>
      </c>
      <c r="H43" s="18">
        <f t="shared" si="2"/>
        <v>1.3296632552863479E-3</v>
      </c>
      <c r="I43" s="18">
        <f t="shared" si="2"/>
        <v>0</v>
      </c>
      <c r="J43" s="18">
        <f t="shared" si="2"/>
        <v>0.12637630881131501</v>
      </c>
      <c r="K43" s="18">
        <f t="shared" si="2"/>
        <v>0.21785895278833947</v>
      </c>
      <c r="L43" s="18">
        <f t="shared" si="2"/>
        <v>0</v>
      </c>
      <c r="M43" s="18">
        <f t="shared" si="2"/>
        <v>0.31364953238947818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275.77699999999999</v>
      </c>
      <c r="T43" s="15">
        <f>O32</f>
        <v>6.2275902093575204E-2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1344.4369999999999</v>
      </c>
      <c r="T44" s="15">
        <f>O34</f>
        <v>0.30360047060842626</v>
      </c>
    </row>
    <row r="45" spans="1:47" ht="15">
      <c r="A45" s="6" t="s">
        <v>60</v>
      </c>
      <c r="B45" s="6">
        <f>B23-B39</f>
        <v>546867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115287.36</v>
      </c>
      <c r="N45" s="26">
        <f>B45+M45</f>
        <v>662154.36</v>
      </c>
      <c r="O45" s="7"/>
      <c r="P45" s="7"/>
      <c r="Q45" s="7"/>
      <c r="R45" s="7" t="s">
        <v>61</v>
      </c>
      <c r="S45" s="21">
        <f>SUM(S39:S44)</f>
        <v>4428.3109999999997</v>
      </c>
      <c r="T45" s="14">
        <f>SUM(T39:T44)</f>
        <v>1.0000002258197824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69</v>
      </c>
      <c r="B47" s="43">
        <f>(B23-B39)/B23</f>
        <v>0.26895115996797375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>
      <c r="A48" s="17"/>
      <c r="B48" s="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42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4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42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4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4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4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4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7" enableFormatConditionsCalculation="0"/>
  <dimension ref="A1:AU70"/>
  <sheetViews>
    <sheetView zoomScale="125" zoomScaleNormal="125" zoomScalePageLayoutView="125" workbookViewId="0">
      <selection activeCell="E48" sqref="E48:J53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79540</v>
      </c>
      <c r="C6" s="47">
        <v>0</v>
      </c>
      <c r="D6" s="9">
        <v>0</v>
      </c>
      <c r="E6" s="9">
        <v>0</v>
      </c>
      <c r="F6" s="9">
        <v>0</v>
      </c>
      <c r="G6" s="47">
        <v>0</v>
      </c>
      <c r="H6" s="9">
        <v>0</v>
      </c>
      <c r="I6" s="9"/>
      <c r="J6" s="9"/>
      <c r="K6" s="9"/>
      <c r="L6" s="9"/>
      <c r="M6" s="9"/>
      <c r="N6" s="47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49">
        <v>453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49">
        <v>723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80716</v>
      </c>
      <c r="C10" s="47">
        <v>0</v>
      </c>
      <c r="D10" s="9">
        <v>0</v>
      </c>
      <c r="E10" s="9">
        <v>0</v>
      </c>
      <c r="F10" s="9">
        <v>0</v>
      </c>
      <c r="G10" s="47">
        <v>0</v>
      </c>
      <c r="H10" s="9">
        <v>0</v>
      </c>
      <c r="I10" s="9"/>
      <c r="J10" s="9"/>
      <c r="K10" s="9"/>
      <c r="L10" s="9"/>
      <c r="M10" s="9"/>
      <c r="N10" s="47">
        <v>0</v>
      </c>
      <c r="O10" s="3"/>
      <c r="P10" s="3"/>
      <c r="Q10" s="3"/>
      <c r="R10" s="3"/>
      <c r="S10" s="3"/>
      <c r="T10" s="3"/>
    </row>
    <row r="11" spans="1:20" ht="15">
      <c r="B11" s="16"/>
      <c r="C11" s="16"/>
      <c r="D11" s="16"/>
      <c r="E11" s="16"/>
      <c r="F11" s="16"/>
      <c r="G11" s="16"/>
      <c r="H11" s="16"/>
      <c r="I11" s="54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20" ht="15">
      <c r="B12" s="16"/>
      <c r="C12" s="16"/>
      <c r="D12" s="16"/>
      <c r="E12" s="16"/>
      <c r="F12" s="16"/>
      <c r="G12" s="16"/>
      <c r="H12" s="16"/>
      <c r="I12" s="54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20" ht="15">
      <c r="A14" s="4" t="s">
        <v>67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6" t="s">
        <v>12</v>
      </c>
      <c r="O15" s="3"/>
      <c r="P15" s="3"/>
      <c r="Q15" s="3"/>
      <c r="R15" s="3"/>
      <c r="S15" s="3"/>
      <c r="T15" s="3"/>
    </row>
    <row r="16" spans="1:20" ht="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47">
        <f>214084+29366</f>
        <v>243450</v>
      </c>
      <c r="C17" s="9">
        <f>9482+19</f>
        <v>9501</v>
      </c>
      <c r="D17" s="9">
        <v>0</v>
      </c>
      <c r="E17" s="9">
        <v>0</v>
      </c>
      <c r="F17" s="9">
        <v>0</v>
      </c>
      <c r="G17" s="9">
        <f>253423+94510</f>
        <v>347933</v>
      </c>
      <c r="H17" s="9">
        <v>0</v>
      </c>
      <c r="I17" s="9"/>
      <c r="J17" s="9"/>
      <c r="K17" s="9"/>
      <c r="L17" s="9"/>
      <c r="M17" s="9"/>
      <c r="N17" s="47">
        <f>SUM(C17:M17)</f>
        <v>357434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9">
        <v>3947</v>
      </c>
      <c r="C18" s="9">
        <v>0</v>
      </c>
      <c r="D18" s="9">
        <v>0</v>
      </c>
      <c r="E18" s="9">
        <v>0</v>
      </c>
      <c r="F18" s="9">
        <v>0</v>
      </c>
      <c r="G18" s="9">
        <v>4512</v>
      </c>
      <c r="H18" s="9">
        <v>0</v>
      </c>
      <c r="I18" s="9"/>
      <c r="J18" s="9"/>
      <c r="K18" s="9"/>
      <c r="L18" s="9"/>
      <c r="M18" s="9"/>
      <c r="N18" s="9">
        <v>4512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695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45">
        <f>1.015*B19</f>
        <v>705.42499999999995</v>
      </c>
      <c r="N19" s="47">
        <v>705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47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248092</v>
      </c>
      <c r="C23" s="9">
        <f>9482+19</f>
        <v>9501</v>
      </c>
      <c r="D23" s="9">
        <v>0</v>
      </c>
      <c r="E23" s="9">
        <v>0</v>
      </c>
      <c r="F23" s="9">
        <v>0</v>
      </c>
      <c r="G23" s="9">
        <f>257935+94510</f>
        <v>352445</v>
      </c>
      <c r="H23" s="9">
        <v>0</v>
      </c>
      <c r="I23" s="9"/>
      <c r="J23" s="9"/>
      <c r="K23" s="9"/>
      <c r="L23" s="9"/>
      <c r="M23" s="47">
        <v>705</v>
      </c>
      <c r="N23" s="47">
        <f>SUM(N17:N19)</f>
        <v>362651</v>
      </c>
      <c r="O23" s="3"/>
      <c r="P23" s="3"/>
      <c r="Q23" s="3"/>
      <c r="R23" s="3" t="s">
        <v>26</v>
      </c>
      <c r="S23" s="12">
        <f>N42/1000</f>
        <v>1196.6379999999999</v>
      </c>
      <c r="T23" s="3"/>
    </row>
    <row r="24" spans="1:20" ht="1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/>
      <c r="T24" s="3"/>
    </row>
    <row r="25" spans="1:20" ht="1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 t="s">
        <v>11</v>
      </c>
      <c r="S26" s="13">
        <f>M42/1000</f>
        <v>280.29199999999997</v>
      </c>
      <c r="T26" s="14">
        <f>M43</f>
        <v>0.23423290920061038</v>
      </c>
    </row>
    <row r="27" spans="1:20" ht="18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3"/>
      <c r="P27" s="3"/>
      <c r="Q27" s="3"/>
      <c r="R27" s="3" t="s">
        <v>32</v>
      </c>
      <c r="S27" s="13">
        <f>G42/1000</f>
        <v>412.30200000000002</v>
      </c>
      <c r="T27" s="15">
        <f>G43</f>
        <v>0.34455031513289736</v>
      </c>
    </row>
    <row r="28" spans="1:20" ht="15">
      <c r="A28" s="4" t="s">
        <v>67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40.215000000000003</v>
      </c>
      <c r="T29" s="14">
        <f>F43</f>
        <v>3.3606654644094541E-2</v>
      </c>
    </row>
    <row r="30" spans="1:20" ht="1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  <c r="P30" s="3"/>
      <c r="Q30" s="3"/>
      <c r="R30" s="3" t="s">
        <v>34</v>
      </c>
      <c r="S30" s="12">
        <f>E42/1000</f>
        <v>13.349</v>
      </c>
      <c r="T30" s="14">
        <f>E43</f>
        <v>1.1155420436255576E-2</v>
      </c>
    </row>
    <row r="31" spans="1:20" ht="15">
      <c r="A31" s="5" t="s">
        <v>35</v>
      </c>
      <c r="B31" s="9">
        <v>0</v>
      </c>
      <c r="C31" s="9">
        <v>37268</v>
      </c>
      <c r="D31" s="9">
        <v>0</v>
      </c>
      <c r="E31" s="9">
        <v>0</v>
      </c>
      <c r="F31" s="9">
        <v>3689</v>
      </c>
      <c r="G31" s="9">
        <v>0</v>
      </c>
      <c r="H31" s="9">
        <v>0</v>
      </c>
      <c r="I31" s="9"/>
      <c r="J31" s="9"/>
      <c r="K31" s="9"/>
      <c r="L31" s="9"/>
      <c r="M31" s="9">
        <v>32354</v>
      </c>
      <c r="N31" s="9">
        <v>73311</v>
      </c>
      <c r="O31" s="18">
        <f>N31/N$39</f>
        <v>6.6596113841374233E-2</v>
      </c>
      <c r="P31" s="19" t="s">
        <v>36</v>
      </c>
      <c r="Q31" s="3"/>
      <c r="R31" s="3" t="s">
        <v>37</v>
      </c>
      <c r="S31" s="13">
        <f>C42/1000</f>
        <v>450.48</v>
      </c>
      <c r="T31" s="15">
        <f>C43</f>
        <v>0.37645470058614217</v>
      </c>
    </row>
    <row r="32" spans="1:20" ht="15">
      <c r="A32" s="5" t="s">
        <v>38</v>
      </c>
      <c r="B32" s="9">
        <v>4000</v>
      </c>
      <c r="C32" s="49">
        <f>38892-19907-13430-4000</f>
        <v>1555</v>
      </c>
      <c r="D32" s="9">
        <v>0</v>
      </c>
      <c r="E32" s="49">
        <f>13430-81</f>
        <v>13349</v>
      </c>
      <c r="F32" s="9">
        <v>81</v>
      </c>
      <c r="G32" s="49">
        <v>0</v>
      </c>
      <c r="H32" s="9">
        <v>0</v>
      </c>
      <c r="I32" s="9"/>
      <c r="J32" s="9"/>
      <c r="K32" s="9"/>
      <c r="L32" s="9"/>
      <c r="M32" s="9">
        <v>19907</v>
      </c>
      <c r="N32" s="9">
        <v>38892</v>
      </c>
      <c r="O32" s="18">
        <f>N32/N$39</f>
        <v>3.5329705767466364E-2</v>
      </c>
      <c r="P32" s="19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52597</v>
      </c>
      <c r="C33" s="9">
        <v>136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36610</v>
      </c>
      <c r="N33" s="9">
        <v>89343</v>
      </c>
      <c r="O33" s="18">
        <f>N33/N$39</f>
        <v>8.1159670430493352E-2</v>
      </c>
      <c r="P33" s="19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395462</v>
      </c>
      <c r="D34" s="9">
        <v>0</v>
      </c>
      <c r="E34" s="9">
        <v>0</v>
      </c>
      <c r="F34" s="9">
        <v>36445</v>
      </c>
      <c r="G34" s="9">
        <v>0</v>
      </c>
      <c r="H34" s="9">
        <v>0</v>
      </c>
      <c r="I34" s="9"/>
      <c r="J34" s="9"/>
      <c r="K34" s="9"/>
      <c r="L34" s="9"/>
      <c r="M34" s="9">
        <v>866</v>
      </c>
      <c r="N34" s="9">
        <v>432773</v>
      </c>
      <c r="O34" s="18">
        <f>N34/N$39</f>
        <v>0.39313336300791218</v>
      </c>
      <c r="P34" s="19" t="s">
        <v>44</v>
      </c>
      <c r="Q34" s="3"/>
      <c r="R34" s="3"/>
      <c r="S34" s="13">
        <f>SUM(S26:S33)</f>
        <v>1196.6380000000001</v>
      </c>
      <c r="T34" s="14">
        <f>SUM(T26:T33)</f>
        <v>1</v>
      </c>
    </row>
    <row r="35" spans="1:47" ht="15">
      <c r="A35" s="5" t="s">
        <v>45</v>
      </c>
      <c r="B35" s="9">
        <v>31450</v>
      </c>
      <c r="C35" s="9">
        <v>5358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91017</v>
      </c>
      <c r="N35" s="9">
        <v>127825</v>
      </c>
      <c r="O35" s="18">
        <f>N35/N$39</f>
        <v>0.11611692995285376</v>
      </c>
      <c r="P35" s="19" t="s">
        <v>46</v>
      </c>
      <c r="Q35" s="19"/>
    </row>
    <row r="36" spans="1:47" ht="15">
      <c r="A36" s="5" t="s">
        <v>47</v>
      </c>
      <c r="B36" s="9">
        <v>44030</v>
      </c>
      <c r="C36" s="49">
        <v>1100</v>
      </c>
      <c r="D36" s="9">
        <v>0</v>
      </c>
      <c r="E36" s="9">
        <v>0</v>
      </c>
      <c r="F36" s="9">
        <v>0</v>
      </c>
      <c r="G36" s="49">
        <v>59857</v>
      </c>
      <c r="H36" s="9">
        <v>0</v>
      </c>
      <c r="I36" s="9"/>
      <c r="J36" s="9"/>
      <c r="K36" s="9"/>
      <c r="L36" s="9"/>
      <c r="M36" s="9">
        <v>117529</v>
      </c>
      <c r="N36" s="9">
        <v>222516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9">
        <v>81829</v>
      </c>
      <c r="C37" s="9">
        <v>100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18604</v>
      </c>
      <c r="N37" s="9">
        <v>100533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15637</v>
      </c>
      <c r="N38" s="9">
        <v>15637</v>
      </c>
      <c r="O38" s="19">
        <f>SUM(O31:O35)</f>
        <v>0.69233578300009979</v>
      </c>
      <c r="P38" s="19"/>
      <c r="Q38" s="3"/>
      <c r="R38" s="7" t="s">
        <v>50</v>
      </c>
      <c r="S38" s="20">
        <f>N45/1000</f>
        <v>60.787999999999997</v>
      </c>
      <c r="T38" s="7"/>
    </row>
    <row r="39" spans="1:47" ht="15">
      <c r="A39" s="5" t="s">
        <v>17</v>
      </c>
      <c r="B39" s="9">
        <v>213906</v>
      </c>
      <c r="C39" s="49">
        <f>37268+1555+136+395462+5358+1100+100</f>
        <v>440979</v>
      </c>
      <c r="D39" s="9">
        <v>0</v>
      </c>
      <c r="E39" s="49">
        <v>13349</v>
      </c>
      <c r="F39" s="9">
        <v>40215</v>
      </c>
      <c r="G39" s="49">
        <f>59857</f>
        <v>59857</v>
      </c>
      <c r="H39" s="9">
        <v>0</v>
      </c>
      <c r="I39" s="9"/>
      <c r="J39" s="9"/>
      <c r="K39" s="9"/>
      <c r="L39" s="9"/>
      <c r="M39" s="9">
        <v>332525</v>
      </c>
      <c r="N39" s="9">
        <v>1100830</v>
      </c>
      <c r="O39" s="3"/>
      <c r="P39" s="3"/>
      <c r="Q39" s="3"/>
      <c r="R39" s="7" t="s">
        <v>51</v>
      </c>
      <c r="S39" s="21">
        <f>N41/1000</f>
        <v>338.68599999999998</v>
      </c>
      <c r="T39" s="14">
        <f>O41</f>
        <v>0.3076642169999001</v>
      </c>
    </row>
    <row r="40" spans="1:47">
      <c r="R40" s="7" t="s">
        <v>52</v>
      </c>
      <c r="S40" s="21">
        <f>N35/1000</f>
        <v>127.825</v>
      </c>
      <c r="T40" s="15">
        <f>O35</f>
        <v>0.11611692995285376</v>
      </c>
    </row>
    <row r="41" spans="1:47" ht="15">
      <c r="A41" s="22" t="s">
        <v>53</v>
      </c>
      <c r="B41" s="23">
        <f>B38+B37+B36</f>
        <v>125859</v>
      </c>
      <c r="C41" s="23">
        <f t="shared" ref="C41:N41" si="0">C38+C37+C36</f>
        <v>1200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59857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151770</v>
      </c>
      <c r="N41" s="23">
        <f t="shared" si="0"/>
        <v>338686</v>
      </c>
      <c r="O41" s="18">
        <f>N41/N$39</f>
        <v>0.3076642169999001</v>
      </c>
      <c r="P41" s="18" t="s">
        <v>54</v>
      </c>
      <c r="Q41" s="7"/>
      <c r="R41" s="7" t="s">
        <v>55</v>
      </c>
      <c r="S41" s="21">
        <f>N33/1000</f>
        <v>89.343000000000004</v>
      </c>
      <c r="T41" s="14">
        <f>O33</f>
        <v>8.1159670430493352E-2</v>
      </c>
    </row>
    <row r="42" spans="1:47" ht="15">
      <c r="A42" s="24" t="s">
        <v>56</v>
      </c>
      <c r="B42" s="23"/>
      <c r="C42" s="25">
        <f>C39+C23+C10</f>
        <v>450480</v>
      </c>
      <c r="D42" s="25">
        <f t="shared" ref="D42:L42" si="1">D39+D23+D10</f>
        <v>0</v>
      </c>
      <c r="E42" s="25">
        <f t="shared" si="1"/>
        <v>13349</v>
      </c>
      <c r="F42" s="25">
        <f t="shared" si="1"/>
        <v>40215</v>
      </c>
      <c r="G42" s="25">
        <f t="shared" si="1"/>
        <v>412302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>M39+M23-B6+M45</f>
        <v>280292</v>
      </c>
      <c r="N42" s="26">
        <f>SUM(C42:M42)</f>
        <v>1196638</v>
      </c>
      <c r="O42" s="7"/>
      <c r="P42" s="7"/>
      <c r="Q42" s="7"/>
      <c r="R42" s="7" t="s">
        <v>36</v>
      </c>
      <c r="S42" s="21">
        <f>N31/1000</f>
        <v>73.311000000000007</v>
      </c>
      <c r="T42" s="14">
        <f>O31</f>
        <v>6.6596113841374233E-2</v>
      </c>
    </row>
    <row r="43" spans="1:47" ht="15">
      <c r="A43" s="24" t="s">
        <v>57</v>
      </c>
      <c r="B43" s="23"/>
      <c r="C43" s="18">
        <f t="shared" ref="C43:M43" si="2">C42/$N42</f>
        <v>0.37645470058614217</v>
      </c>
      <c r="D43" s="18">
        <f t="shared" si="2"/>
        <v>0</v>
      </c>
      <c r="E43" s="18">
        <f t="shared" si="2"/>
        <v>1.1155420436255576E-2</v>
      </c>
      <c r="F43" s="18">
        <f t="shared" si="2"/>
        <v>3.3606654644094541E-2</v>
      </c>
      <c r="G43" s="18">
        <f t="shared" si="2"/>
        <v>0.34455031513289736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0.23423290920061038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38.892000000000003</v>
      </c>
      <c r="T43" s="15">
        <f>O32</f>
        <v>3.5329705767466364E-2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432.77300000000002</v>
      </c>
      <c r="T44" s="15">
        <f>O34</f>
        <v>0.39313336300791218</v>
      </c>
    </row>
    <row r="45" spans="1:47" ht="15">
      <c r="A45" s="6" t="s">
        <v>60</v>
      </c>
      <c r="B45" s="6">
        <f>B23-B39</f>
        <v>34186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26602</v>
      </c>
      <c r="N45" s="26">
        <f>B45+M45</f>
        <v>60788</v>
      </c>
      <c r="O45" s="7"/>
      <c r="P45" s="7"/>
      <c r="Q45" s="7"/>
      <c r="R45" s="7" t="s">
        <v>61</v>
      </c>
      <c r="S45" s="21">
        <f>SUM(S39:S44)</f>
        <v>1100.83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69</v>
      </c>
      <c r="B47" s="44">
        <f>(B23-B39)/B23</f>
        <v>0.13779565645002662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>
      <c r="A48" s="17"/>
      <c r="B48" s="4"/>
      <c r="C48" s="17"/>
      <c r="D48" s="42"/>
      <c r="E48" s="17"/>
      <c r="F48" s="42"/>
      <c r="G48" s="17"/>
      <c r="H48" s="42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4"/>
      <c r="C49" s="17"/>
      <c r="D49" s="9"/>
      <c r="E49" s="17"/>
      <c r="F49" s="17"/>
      <c r="G49" s="9"/>
      <c r="H49" s="9"/>
      <c r="I49" s="17"/>
      <c r="J49" s="9"/>
      <c r="K49" s="17"/>
      <c r="L49" s="17"/>
      <c r="M49" s="17"/>
      <c r="N49" s="17"/>
      <c r="O49" s="17"/>
      <c r="P49" s="17"/>
      <c r="Q49" s="17"/>
      <c r="R49" s="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42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4"/>
      <c r="C50" s="17"/>
      <c r="D50" s="17"/>
      <c r="E50" s="17"/>
      <c r="F50" s="9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42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4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4"/>
      <c r="C52" s="17"/>
      <c r="D52" s="42"/>
      <c r="E52" s="17"/>
      <c r="F52" s="17"/>
      <c r="G52" s="17"/>
      <c r="H52" s="42"/>
      <c r="I52" s="17"/>
      <c r="J52" s="17"/>
      <c r="K52" s="17"/>
      <c r="L52" s="17"/>
      <c r="M52" s="17"/>
      <c r="N52" s="17"/>
      <c r="O52" s="17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4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4"/>
      <c r="C55" s="17"/>
      <c r="D55" s="42"/>
      <c r="E55" s="17"/>
      <c r="F55" s="42"/>
      <c r="G55" s="17"/>
      <c r="H55" s="42"/>
      <c r="I55" s="17"/>
      <c r="J55" s="17"/>
      <c r="K55" s="17"/>
      <c r="L55" s="17"/>
      <c r="M55" s="17"/>
      <c r="N55" s="17"/>
      <c r="O55" s="17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4"/>
      <c r="C56" s="17"/>
      <c r="D56" s="42"/>
      <c r="E56" s="17"/>
      <c r="F56" s="42"/>
      <c r="G56" s="17"/>
      <c r="H56" s="42"/>
      <c r="I56" s="17"/>
      <c r="J56" s="17"/>
      <c r="K56" s="17"/>
      <c r="L56" s="17"/>
      <c r="M56" s="17"/>
      <c r="N56" s="17"/>
      <c r="O56" s="17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 enableFormatConditionsCalculation="0"/>
  <dimension ref="A1:AU70"/>
  <sheetViews>
    <sheetView topLeftCell="A9" zoomScale="125" zoomScaleNormal="125" zoomScalePageLayoutView="125" workbookViewId="0">
      <selection activeCell="L43" sqref="L43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4" width="9.5" style="2" bestFit="1" customWidth="1"/>
    <col min="5" max="8" width="9.1640625" style="2" bestFit="1" customWidth="1"/>
    <col min="9" max="11" width="8.83203125" style="2"/>
    <col min="12" max="12" width="10.6640625" style="2" customWidth="1"/>
    <col min="13" max="13" width="9.1640625" style="2" bestFit="1" customWidth="1"/>
    <col min="14" max="14" width="9.5" style="2" bestFit="1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32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70</v>
      </c>
      <c r="M3" s="6" t="s">
        <v>11</v>
      </c>
      <c r="N3" s="7" t="s">
        <v>12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13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14</v>
      </c>
      <c r="B7" s="9">
        <v>25370340</v>
      </c>
      <c r="C7" s="9">
        <v>0</v>
      </c>
      <c r="D7" s="45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55">
        <v>66424933</v>
      </c>
      <c r="M7" s="9"/>
      <c r="N7" s="9">
        <v>66424933</v>
      </c>
      <c r="O7" s="3"/>
      <c r="P7" s="3"/>
      <c r="Q7" s="3"/>
      <c r="R7" s="3"/>
      <c r="S7" s="3"/>
      <c r="T7" s="3"/>
    </row>
    <row r="8" spans="1:20" ht="15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17</v>
      </c>
      <c r="B10" s="9">
        <v>25370340</v>
      </c>
      <c r="C10" s="9">
        <v>0</v>
      </c>
      <c r="D10" s="45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55">
        <v>66424933</v>
      </c>
      <c r="M10" s="9"/>
      <c r="N10" s="9">
        <v>66424933</v>
      </c>
      <c r="O10" s="3"/>
      <c r="P10" s="3"/>
      <c r="Q10" s="3"/>
      <c r="R10" s="3"/>
      <c r="S10" s="3"/>
      <c r="T10" s="3"/>
    </row>
    <row r="11" spans="1:20" ht="1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20" ht="1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20" ht="18">
      <c r="A13" s="1" t="s">
        <v>18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20" ht="15">
      <c r="A14" s="4" t="s">
        <v>68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20" ht="15">
      <c r="B15" s="6" t="s">
        <v>19</v>
      </c>
      <c r="C15" s="6" t="s">
        <v>3</v>
      </c>
      <c r="D15" s="6" t="s">
        <v>4</v>
      </c>
      <c r="E15" s="6" t="s">
        <v>5</v>
      </c>
      <c r="F15" s="6" t="s">
        <v>20</v>
      </c>
      <c r="G15" s="6" t="s">
        <v>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11</v>
      </c>
      <c r="N15" s="16" t="s">
        <v>12</v>
      </c>
      <c r="O15" s="3"/>
      <c r="P15" s="3"/>
      <c r="Q15" s="3"/>
      <c r="R15" s="3"/>
      <c r="S15" s="3"/>
      <c r="T15" s="3"/>
    </row>
    <row r="16" spans="1:20" ht="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0" ht="1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22</v>
      </c>
      <c r="B18" s="47">
        <f>22352+778</f>
        <v>23130</v>
      </c>
      <c r="C18" s="9">
        <v>667</v>
      </c>
      <c r="D18" s="9">
        <v>0</v>
      </c>
      <c r="E18" s="9">
        <v>0</v>
      </c>
      <c r="F18" s="9">
        <v>0</v>
      </c>
      <c r="G18" s="9">
        <v>30191</v>
      </c>
      <c r="H18" s="9">
        <v>0</v>
      </c>
      <c r="I18" s="9"/>
      <c r="J18" s="9"/>
      <c r="K18" s="9"/>
      <c r="L18" s="9"/>
      <c r="M18" s="9"/>
      <c r="N18" s="9">
        <v>30858</v>
      </c>
      <c r="O18" s="3"/>
      <c r="P18" s="3"/>
      <c r="Q18" s="3"/>
      <c r="R18" s="3"/>
      <c r="S18" s="3"/>
      <c r="T18" s="3"/>
    </row>
    <row r="19" spans="1:20" ht="15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56" t="s">
        <v>71</v>
      </c>
      <c r="B22" s="47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17</v>
      </c>
      <c r="B23" s="9">
        <v>23130</v>
      </c>
      <c r="C23" s="9">
        <v>667</v>
      </c>
      <c r="D23" s="9">
        <v>0</v>
      </c>
      <c r="E23" s="9">
        <v>0</v>
      </c>
      <c r="F23" s="9">
        <v>0</v>
      </c>
      <c r="G23" s="9">
        <v>30191</v>
      </c>
      <c r="H23" s="9">
        <v>0</v>
      </c>
      <c r="I23" s="9"/>
      <c r="J23" s="9"/>
      <c r="K23" s="9"/>
      <c r="L23" s="9"/>
      <c r="M23" s="9"/>
      <c r="N23" s="9">
        <v>30858</v>
      </c>
      <c r="O23" s="3"/>
      <c r="P23" s="3"/>
      <c r="Q23" s="3"/>
      <c r="R23" s="3" t="s">
        <v>26</v>
      </c>
      <c r="S23" s="12">
        <f>N42/1000</f>
        <v>613.66291999999987</v>
      </c>
      <c r="T23" s="3"/>
    </row>
    <row r="24" spans="1:20" ht="1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/>
      <c r="T24" s="3"/>
    </row>
    <row r="25" spans="1:20" ht="1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27</v>
      </c>
      <c r="T25" s="3" t="s">
        <v>28</v>
      </c>
    </row>
    <row r="26" spans="1:20" ht="1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 t="s">
        <v>11</v>
      </c>
      <c r="S26" s="13">
        <f>M42/1000</f>
        <v>295.48692</v>
      </c>
      <c r="T26" s="14">
        <f>M43</f>
        <v>0.48151340152668831</v>
      </c>
    </row>
    <row r="27" spans="1:20" ht="18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3"/>
      <c r="P27" s="3"/>
      <c r="Q27" s="3"/>
      <c r="R27" s="3" t="s">
        <v>32</v>
      </c>
      <c r="S27" s="13">
        <f>G42/1000</f>
        <v>89.888000000000005</v>
      </c>
      <c r="T27" s="15">
        <f>G43</f>
        <v>0.14647780902258198</v>
      </c>
    </row>
    <row r="28" spans="1:20" ht="15">
      <c r="A28" s="4" t="s">
        <v>68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3"/>
      <c r="R28" s="3" t="s">
        <v>8</v>
      </c>
      <c r="S28" s="13">
        <f>J42/1000</f>
        <v>0</v>
      </c>
      <c r="T28" s="14">
        <f>J43</f>
        <v>0</v>
      </c>
    </row>
    <row r="29" spans="1:20" ht="15">
      <c r="B29" s="6" t="s">
        <v>30</v>
      </c>
      <c r="C29" s="6" t="s">
        <v>3</v>
      </c>
      <c r="D29" s="6" t="s">
        <v>4</v>
      </c>
      <c r="E29" s="6" t="s">
        <v>5</v>
      </c>
      <c r="F29" s="6" t="s">
        <v>31</v>
      </c>
      <c r="G29" s="6" t="s">
        <v>32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33</v>
      </c>
      <c r="O29" s="3"/>
      <c r="P29" s="3"/>
      <c r="Q29" s="3"/>
      <c r="R29" s="3" t="s">
        <v>31</v>
      </c>
      <c r="S29" s="13">
        <f>F42/1000</f>
        <v>16.72</v>
      </c>
      <c r="T29" s="14">
        <f>F43</f>
        <v>2.724622827137739E-2</v>
      </c>
    </row>
    <row r="30" spans="1:20" ht="1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  <c r="P30" s="3"/>
      <c r="Q30" s="3"/>
      <c r="R30" s="3" t="s">
        <v>34</v>
      </c>
      <c r="S30" s="12">
        <f>E42/1000</f>
        <v>3.4430000000000001</v>
      </c>
      <c r="T30" s="14">
        <f>E43</f>
        <v>5.6105720058823184E-3</v>
      </c>
    </row>
    <row r="31" spans="1:20" ht="15">
      <c r="A31" s="5" t="s">
        <v>35</v>
      </c>
      <c r="B31" s="9">
        <v>0</v>
      </c>
      <c r="C31" s="9">
        <v>13776</v>
      </c>
      <c r="D31" s="9">
        <v>0</v>
      </c>
      <c r="E31" s="9">
        <v>0</v>
      </c>
      <c r="F31" s="9">
        <v>1479</v>
      </c>
      <c r="G31" s="9">
        <v>0</v>
      </c>
      <c r="H31" s="9">
        <v>0</v>
      </c>
      <c r="I31" s="9"/>
      <c r="J31" s="9"/>
      <c r="K31" s="9"/>
      <c r="L31" s="9"/>
      <c r="M31" s="9">
        <v>11863</v>
      </c>
      <c r="N31" s="9">
        <v>27118</v>
      </c>
      <c r="O31" s="18">
        <f>N31/N$39</f>
        <v>4.6512744780223075E-2</v>
      </c>
      <c r="P31" s="19" t="s">
        <v>36</v>
      </c>
      <c r="Q31" s="3"/>
      <c r="R31" s="3" t="s">
        <v>37</v>
      </c>
      <c r="S31" s="13">
        <f>C42/1000</f>
        <v>208.125</v>
      </c>
      <c r="T31" s="15">
        <f>C43</f>
        <v>0.33915198917347006</v>
      </c>
    </row>
    <row r="32" spans="1:20" ht="15">
      <c r="A32" s="5" t="s">
        <v>38</v>
      </c>
      <c r="B32" s="9">
        <v>0</v>
      </c>
      <c r="C32" s="9">
        <v>20775</v>
      </c>
      <c r="D32" s="9">
        <v>0</v>
      </c>
      <c r="E32" s="49">
        <v>3443</v>
      </c>
      <c r="F32" s="9">
        <v>713</v>
      </c>
      <c r="G32" s="49">
        <v>0</v>
      </c>
      <c r="H32" s="9">
        <v>0</v>
      </c>
      <c r="I32" s="9"/>
      <c r="J32" s="9"/>
      <c r="K32" s="9"/>
      <c r="L32" s="9"/>
      <c r="M32" s="9">
        <v>75235</v>
      </c>
      <c r="N32" s="9">
        <v>100166</v>
      </c>
      <c r="O32" s="18">
        <f>N32/N$39</f>
        <v>0.1718045428739518</v>
      </c>
      <c r="P32" s="19" t="s">
        <v>39</v>
      </c>
      <c r="Q32" s="3"/>
      <c r="R32" s="3" t="s">
        <v>40</v>
      </c>
      <c r="S32" s="13">
        <f>I42/1000</f>
        <v>0</v>
      </c>
      <c r="T32" s="14">
        <f>I43</f>
        <v>0</v>
      </c>
    </row>
    <row r="33" spans="1:47" ht="15">
      <c r="A33" s="5" t="s">
        <v>41</v>
      </c>
      <c r="B33" s="9">
        <v>9101</v>
      </c>
      <c r="C33" s="9">
        <v>4639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26963</v>
      </c>
      <c r="N33" s="9">
        <v>40702</v>
      </c>
      <c r="O33" s="18">
        <f>N33/N$39</f>
        <v>6.9811997125327818E-2</v>
      </c>
      <c r="P33" s="19" t="s">
        <v>42</v>
      </c>
      <c r="Q33" s="3"/>
      <c r="R33" s="3" t="s">
        <v>7</v>
      </c>
      <c r="S33" s="13">
        <f>H42/1000</f>
        <v>0</v>
      </c>
      <c r="T33" s="14">
        <f>H43</f>
        <v>0</v>
      </c>
    </row>
    <row r="34" spans="1:47" ht="15">
      <c r="A34" s="5" t="s">
        <v>43</v>
      </c>
      <c r="B34" s="9">
        <v>0</v>
      </c>
      <c r="C34" s="9">
        <v>167143</v>
      </c>
      <c r="D34" s="9">
        <v>0</v>
      </c>
      <c r="E34" s="9">
        <v>0</v>
      </c>
      <c r="F34" s="9">
        <v>14528</v>
      </c>
      <c r="G34" s="9">
        <v>0</v>
      </c>
      <c r="H34" s="9">
        <v>0</v>
      </c>
      <c r="I34" s="9"/>
      <c r="J34" s="9"/>
      <c r="K34" s="9"/>
      <c r="L34" s="9"/>
      <c r="M34" s="9">
        <v>156</v>
      </c>
      <c r="N34" s="9">
        <v>181827</v>
      </c>
      <c r="O34" s="18">
        <f>N34/N$39</f>
        <v>0.31186934306193753</v>
      </c>
      <c r="P34" s="19" t="s">
        <v>44</v>
      </c>
      <c r="Q34" s="3"/>
      <c r="R34" s="3"/>
      <c r="S34" s="13">
        <f>SUM(S26:S33)</f>
        <v>613.66291999999999</v>
      </c>
      <c r="T34" s="14">
        <f>SUM(T26:T33)</f>
        <v>1</v>
      </c>
    </row>
    <row r="35" spans="1:47" ht="15">
      <c r="A35" s="5" t="s">
        <v>45</v>
      </c>
      <c r="B35" s="9">
        <v>633</v>
      </c>
      <c r="C35" s="9">
        <v>815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37508</v>
      </c>
      <c r="N35" s="9">
        <v>38955</v>
      </c>
      <c r="O35" s="18">
        <f>N35/N$39</f>
        <v>6.6815545870403059E-2</v>
      </c>
      <c r="P35" s="19" t="s">
        <v>46</v>
      </c>
      <c r="Q35" s="19"/>
    </row>
    <row r="36" spans="1:47" ht="15">
      <c r="A36" s="5" t="s">
        <v>47</v>
      </c>
      <c r="B36" s="9">
        <v>18</v>
      </c>
      <c r="C36" s="9">
        <v>300</v>
      </c>
      <c r="D36" s="9">
        <v>0</v>
      </c>
      <c r="E36" s="9">
        <v>0</v>
      </c>
      <c r="F36" s="9">
        <v>0</v>
      </c>
      <c r="G36" s="9">
        <v>59697</v>
      </c>
      <c r="H36" s="9">
        <v>0</v>
      </c>
      <c r="I36" s="9"/>
      <c r="J36" s="9"/>
      <c r="K36" s="9"/>
      <c r="L36" s="9"/>
      <c r="M36" s="9">
        <v>82272</v>
      </c>
      <c r="N36" s="9">
        <v>142287</v>
      </c>
      <c r="O36" s="19"/>
      <c r="P36" s="19"/>
      <c r="Q36" s="3"/>
      <c r="R36" s="7"/>
      <c r="S36" s="7"/>
      <c r="T36" s="7"/>
    </row>
    <row r="37" spans="1:47" ht="15">
      <c r="A37" s="5" t="s">
        <v>48</v>
      </c>
      <c r="B37" s="9">
        <v>12354</v>
      </c>
      <c r="C37" s="9">
        <v>10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11694</v>
      </c>
      <c r="N37" s="9">
        <v>24058</v>
      </c>
      <c r="O37" s="19"/>
      <c r="P37" s="19"/>
      <c r="Q37" s="3"/>
      <c r="R37" s="7"/>
      <c r="S37" s="7" t="s">
        <v>27</v>
      </c>
      <c r="T37" s="7" t="s">
        <v>28</v>
      </c>
    </row>
    <row r="38" spans="1:47" ht="15">
      <c r="A38" s="5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27910</v>
      </c>
      <c r="N38" s="9">
        <v>27910</v>
      </c>
      <c r="O38" s="19">
        <f>SUM(O31:O35)</f>
        <v>0.66681417371184326</v>
      </c>
      <c r="P38" s="19"/>
      <c r="Q38" s="3"/>
      <c r="R38" s="7" t="s">
        <v>50</v>
      </c>
      <c r="S38" s="20">
        <f>N45/1000</f>
        <v>22.911920000000002</v>
      </c>
      <c r="T38" s="7"/>
    </row>
    <row r="39" spans="1:47" ht="15">
      <c r="A39" s="5" t="s">
        <v>17</v>
      </c>
      <c r="B39" s="9">
        <v>22106</v>
      </c>
      <c r="C39" s="9">
        <v>207458</v>
      </c>
      <c r="D39" s="9">
        <v>0</v>
      </c>
      <c r="E39" s="49">
        <v>3443</v>
      </c>
      <c r="F39" s="9">
        <v>16720</v>
      </c>
      <c r="G39" s="49">
        <v>59697</v>
      </c>
      <c r="H39" s="9">
        <v>0</v>
      </c>
      <c r="I39" s="9"/>
      <c r="J39" s="9"/>
      <c r="K39" s="9"/>
      <c r="L39" s="9"/>
      <c r="M39" s="9">
        <v>273599</v>
      </c>
      <c r="N39" s="9">
        <v>583023</v>
      </c>
      <c r="O39" s="3"/>
      <c r="P39" s="3"/>
      <c r="Q39" s="3"/>
      <c r="R39" s="7" t="s">
        <v>51</v>
      </c>
      <c r="S39" s="21">
        <f>N41/1000</f>
        <v>194.255</v>
      </c>
      <c r="T39" s="14">
        <f>O41</f>
        <v>0.33318582628815674</v>
      </c>
    </row>
    <row r="40" spans="1:47">
      <c r="R40" s="7" t="s">
        <v>52</v>
      </c>
      <c r="S40" s="21">
        <f>N35/1000</f>
        <v>38.954999999999998</v>
      </c>
      <c r="T40" s="15">
        <f>O35</f>
        <v>6.6815545870403059E-2</v>
      </c>
    </row>
    <row r="41" spans="1:47" ht="15">
      <c r="A41" s="22" t="s">
        <v>53</v>
      </c>
      <c r="B41" s="23">
        <f>B38+B37+B36</f>
        <v>12372</v>
      </c>
      <c r="C41" s="23">
        <f t="shared" ref="C41:N41" si="0">C38+C37+C36</f>
        <v>310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59697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121876</v>
      </c>
      <c r="N41" s="23">
        <f t="shared" si="0"/>
        <v>194255</v>
      </c>
      <c r="O41" s="18">
        <f>N41/N$39</f>
        <v>0.33318582628815674</v>
      </c>
      <c r="P41" s="18" t="s">
        <v>54</v>
      </c>
      <c r="Q41" s="7"/>
      <c r="R41" s="7" t="s">
        <v>55</v>
      </c>
      <c r="S41" s="21">
        <f>N33/1000</f>
        <v>40.701999999999998</v>
      </c>
      <c r="T41" s="14">
        <f>O33</f>
        <v>6.9811997125327818E-2</v>
      </c>
    </row>
    <row r="42" spans="1:47" ht="15">
      <c r="A42" s="24" t="s">
        <v>56</v>
      </c>
      <c r="B42" s="23"/>
      <c r="C42" s="25">
        <f>C39+C23+C10</f>
        <v>208125</v>
      </c>
      <c r="D42" s="25">
        <f t="shared" ref="D42:L42" si="1">D39+D23+D10</f>
        <v>0</v>
      </c>
      <c r="E42" s="25">
        <f t="shared" si="1"/>
        <v>3443</v>
      </c>
      <c r="F42" s="25">
        <f t="shared" si="1"/>
        <v>16720</v>
      </c>
      <c r="G42" s="25">
        <f t="shared" si="1"/>
        <v>89888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>L39+L23</f>
        <v>0</v>
      </c>
      <c r="M42" s="25">
        <f>M39+M23-B6+M45</f>
        <v>295486.92</v>
      </c>
      <c r="N42" s="26">
        <f>SUM(C42:M42)</f>
        <v>613662.91999999993</v>
      </c>
      <c r="O42" s="7"/>
      <c r="P42" s="7"/>
      <c r="Q42" s="7"/>
      <c r="R42" s="7" t="s">
        <v>36</v>
      </c>
      <c r="S42" s="21">
        <f>N31/1000</f>
        <v>27.117999999999999</v>
      </c>
      <c r="T42" s="14">
        <f>O31</f>
        <v>4.6512744780223075E-2</v>
      </c>
    </row>
    <row r="43" spans="1:47" ht="15">
      <c r="A43" s="24" t="s">
        <v>57</v>
      </c>
      <c r="B43" s="23"/>
      <c r="C43" s="18">
        <f t="shared" ref="C43:M43" si="2">C42/$N42</f>
        <v>0.33915198917347006</v>
      </c>
      <c r="D43" s="18">
        <f t="shared" si="2"/>
        <v>0</v>
      </c>
      <c r="E43" s="18">
        <f t="shared" si="2"/>
        <v>5.6105720058823184E-3</v>
      </c>
      <c r="F43" s="18">
        <f t="shared" si="2"/>
        <v>2.724622827137739E-2</v>
      </c>
      <c r="G43" s="18">
        <f t="shared" si="2"/>
        <v>0.14647780902258198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0.48151340152668831</v>
      </c>
      <c r="N43" s="18">
        <f>SUM(C43:M43)</f>
        <v>1</v>
      </c>
      <c r="O43" s="7"/>
      <c r="P43" s="7"/>
      <c r="Q43" s="7"/>
      <c r="R43" s="7" t="s">
        <v>58</v>
      </c>
      <c r="S43" s="21">
        <f>N32/1000</f>
        <v>100.166</v>
      </c>
      <c r="T43" s="15">
        <f>O32</f>
        <v>0.1718045428739518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59</v>
      </c>
      <c r="S44" s="21">
        <f>N34/1000</f>
        <v>181.827</v>
      </c>
      <c r="T44" s="15">
        <f>O34</f>
        <v>0.31186934306193753</v>
      </c>
    </row>
    <row r="45" spans="1:47" ht="15">
      <c r="A45" s="6" t="s">
        <v>60</v>
      </c>
      <c r="B45" s="6">
        <f>B23-B39</f>
        <v>1024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7">
        <f>M39*0.08</f>
        <v>21887.920000000002</v>
      </c>
      <c r="N45" s="26">
        <f>B45+M45</f>
        <v>22911.920000000002</v>
      </c>
      <c r="O45" s="7"/>
      <c r="P45" s="7"/>
      <c r="Q45" s="7"/>
      <c r="R45" s="7" t="s">
        <v>61</v>
      </c>
      <c r="S45" s="21">
        <f>SUM(S39:S44)</f>
        <v>583.02299999999991</v>
      </c>
      <c r="T45" s="14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 t="s">
        <v>69</v>
      </c>
      <c r="B47" s="44">
        <f>(B23-B39)/B23</f>
        <v>4.4271508862948554E-2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>
      <c r="A48" s="17"/>
      <c r="B48" s="4"/>
      <c r="C48" s="17"/>
      <c r="D48" s="17"/>
      <c r="E48" s="17"/>
      <c r="F48" s="42"/>
      <c r="G48" s="17"/>
      <c r="H48" s="42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>
      <c r="A49" s="17"/>
      <c r="B49" s="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>
      <c r="A50" s="17"/>
      <c r="B50" s="4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>
      <c r="A51" s="17"/>
      <c r="B51" s="4"/>
      <c r="C51" s="17"/>
      <c r="D51" s="17"/>
      <c r="E51" s="17"/>
      <c r="F51" s="17"/>
      <c r="G51" s="17"/>
      <c r="H51" s="9"/>
      <c r="I51" s="17"/>
      <c r="J51" s="17"/>
      <c r="K51" s="17"/>
      <c r="L51" s="17"/>
      <c r="M51" s="17"/>
      <c r="N51" s="17"/>
      <c r="O51" s="17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>
      <c r="A52" s="17"/>
      <c r="B52" s="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>
      <c r="A53" s="17"/>
      <c r="B53" s="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>
      <c r="A54" s="17"/>
      <c r="B54" s="4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>
      <c r="A55" s="17"/>
      <c r="B55" s="4"/>
      <c r="C55" s="17"/>
      <c r="D55" s="17"/>
      <c r="E55" s="17"/>
      <c r="F55" s="42"/>
      <c r="G55" s="17"/>
      <c r="H55" s="42"/>
      <c r="I55" s="17"/>
      <c r="J55" s="17"/>
      <c r="K55" s="17"/>
      <c r="L55" s="17"/>
      <c r="M55" s="17"/>
      <c r="N55" s="17"/>
      <c r="O55" s="17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>
      <c r="A56" s="17"/>
      <c r="B56" s="4"/>
      <c r="C56" s="17"/>
      <c r="D56" s="17"/>
      <c r="E56" s="17"/>
      <c r="F56" s="42"/>
      <c r="G56" s="17"/>
      <c r="H56" s="42"/>
      <c r="I56" s="17"/>
      <c r="J56" s="17"/>
      <c r="K56" s="17"/>
      <c r="L56" s="17"/>
      <c r="M56" s="17"/>
      <c r="N56" s="17"/>
      <c r="O56" s="17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4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5">
      <c r="A60" s="24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4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FE5062B4-94DB-4AF2-BC87-41114D29DEC4}"/>
</file>

<file path=customXml/itemProps2.xml><?xml version="1.0" encoding="utf-8"?>
<ds:datastoreItem xmlns:ds="http://schemas.openxmlformats.org/officeDocument/2006/customXml" ds:itemID="{A231DDB7-F9BC-4867-95B4-90208A3C1625}"/>
</file>

<file path=customXml/itemProps3.xml><?xml version="1.0" encoding="utf-8"?>
<ds:datastoreItem xmlns:ds="http://schemas.openxmlformats.org/officeDocument/2006/customXml" ds:itemID="{144450E4-AC7F-4191-8EB2-B4D85A40F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Uppsala län</vt:lpstr>
      <vt:lpstr>Håbo</vt:lpstr>
      <vt:lpstr>Älvkarleby</vt:lpstr>
      <vt:lpstr>Knivsta</vt:lpstr>
      <vt:lpstr>Heby</vt:lpstr>
      <vt:lpstr>Tierp</vt:lpstr>
      <vt:lpstr>Uppsala</vt:lpstr>
      <vt:lpstr>Enköping</vt:lpstr>
      <vt:lpstr>Östhammar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2016-02-05T21:18:49Z</dcterms:created>
  <dcterms:modified xsi:type="dcterms:W3CDTF">2016-03-30T01:14:54Z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