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2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0" yWindow="460" windowWidth="28800" windowHeight="17460" tabRatio="647"/>
  </bookViews>
  <sheets>
    <sheet name="Uppsala län" sheetId="10" r:id="rId1"/>
    <sheet name="Håbo" sheetId="2" r:id="rId2"/>
    <sheet name="Älvkarleby" sheetId="3" r:id="rId3"/>
    <sheet name="Knivsta" sheetId="4" r:id="rId4"/>
    <sheet name="Heby" sheetId="5" r:id="rId5"/>
    <sheet name="Tierp" sheetId="6" r:id="rId6"/>
    <sheet name="Uppsala" sheetId="7" r:id="rId7"/>
    <sheet name="Enköping" sheetId="8" r:id="rId8"/>
    <sheet name="Östhammar" sheetId="9" r:id="rId9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3" l="1"/>
  <c r="D42" i="9"/>
  <c r="L42" i="9"/>
  <c r="N18" i="2"/>
  <c r="N23" i="2"/>
  <c r="N45" i="2"/>
  <c r="N42" i="2"/>
  <c r="C42" i="2"/>
  <c r="D42" i="2"/>
  <c r="E39" i="2"/>
  <c r="E42" i="2"/>
  <c r="F42" i="2"/>
  <c r="G42" i="2"/>
  <c r="H42" i="2"/>
  <c r="I42" i="2"/>
  <c r="J42" i="2"/>
  <c r="K42" i="2"/>
  <c r="L42" i="2"/>
  <c r="M42" i="2"/>
  <c r="O42" i="2"/>
  <c r="N43" i="2"/>
  <c r="U24" i="2"/>
  <c r="G43" i="2"/>
  <c r="U25" i="2"/>
  <c r="J43" i="2"/>
  <c r="U26" i="2"/>
  <c r="F43" i="2"/>
  <c r="U27" i="2"/>
  <c r="E43" i="2"/>
  <c r="U28" i="2"/>
  <c r="D43" i="2"/>
  <c r="U29" i="2"/>
  <c r="K43" i="2"/>
  <c r="U30" i="2"/>
  <c r="I43" i="2"/>
  <c r="U31" i="2"/>
  <c r="H43" i="2"/>
  <c r="U32" i="2"/>
  <c r="C43" i="2"/>
  <c r="U33" i="2"/>
  <c r="U34" i="2"/>
  <c r="N32" i="3"/>
  <c r="B36" i="3"/>
  <c r="B35" i="3"/>
  <c r="N35" i="3"/>
  <c r="N39" i="3"/>
  <c r="N45" i="3"/>
  <c r="N42" i="3"/>
  <c r="C39" i="3"/>
  <c r="C10" i="3"/>
  <c r="C42" i="3"/>
  <c r="D42" i="3"/>
  <c r="E42" i="3"/>
  <c r="F39" i="3"/>
  <c r="F23" i="3"/>
  <c r="F10" i="3"/>
  <c r="F42" i="3"/>
  <c r="G39" i="3"/>
  <c r="G42" i="3"/>
  <c r="H42" i="3"/>
  <c r="I39" i="3"/>
  <c r="I42" i="3"/>
  <c r="J42" i="3"/>
  <c r="K42" i="3"/>
  <c r="L42" i="3"/>
  <c r="M42" i="3"/>
  <c r="O42" i="3"/>
  <c r="N43" i="3"/>
  <c r="U24" i="3"/>
  <c r="G43" i="3"/>
  <c r="U25" i="3"/>
  <c r="J43" i="3"/>
  <c r="U26" i="3"/>
  <c r="F43" i="3"/>
  <c r="U27" i="3"/>
  <c r="E43" i="3"/>
  <c r="U28" i="3"/>
  <c r="D43" i="3"/>
  <c r="U29" i="3"/>
  <c r="K43" i="3"/>
  <c r="U30" i="3"/>
  <c r="I43" i="3"/>
  <c r="U31" i="3"/>
  <c r="H43" i="3"/>
  <c r="U32" i="3"/>
  <c r="C43" i="3"/>
  <c r="U33" i="3"/>
  <c r="U34" i="3"/>
  <c r="O37" i="4"/>
  <c r="O36" i="4"/>
  <c r="B35" i="4"/>
  <c r="B33" i="4"/>
  <c r="O33" i="4"/>
  <c r="O32" i="4"/>
  <c r="N32" i="4"/>
  <c r="N39" i="4"/>
  <c r="N45" i="4"/>
  <c r="N42" i="4"/>
  <c r="C32" i="4"/>
  <c r="C39" i="4"/>
  <c r="C23" i="4"/>
  <c r="C42" i="4"/>
  <c r="D42" i="4"/>
  <c r="E42" i="4"/>
  <c r="F42" i="4"/>
  <c r="G23" i="4"/>
  <c r="G42" i="4"/>
  <c r="H42" i="4"/>
  <c r="I42" i="4"/>
  <c r="J42" i="4"/>
  <c r="K42" i="4"/>
  <c r="L42" i="4"/>
  <c r="M42" i="4"/>
  <c r="O42" i="4"/>
  <c r="N43" i="4"/>
  <c r="U24" i="4"/>
  <c r="G43" i="4"/>
  <c r="U25" i="4"/>
  <c r="J43" i="4"/>
  <c r="U26" i="4"/>
  <c r="F43" i="4"/>
  <c r="U27" i="4"/>
  <c r="E43" i="4"/>
  <c r="U28" i="4"/>
  <c r="D43" i="4"/>
  <c r="U29" i="4"/>
  <c r="K43" i="4"/>
  <c r="U30" i="4"/>
  <c r="I43" i="4"/>
  <c r="U31" i="4"/>
  <c r="H43" i="4"/>
  <c r="U32" i="4"/>
  <c r="C43" i="4"/>
  <c r="U33" i="4"/>
  <c r="U34" i="4"/>
  <c r="N23" i="5"/>
  <c r="N45" i="5"/>
  <c r="N42" i="5"/>
  <c r="C42" i="5"/>
  <c r="D42" i="5"/>
  <c r="N37" i="5"/>
  <c r="B36" i="5"/>
  <c r="B35" i="5"/>
  <c r="N35" i="5"/>
  <c r="B33" i="5"/>
  <c r="N33" i="5"/>
  <c r="N32" i="5"/>
  <c r="G32" i="5"/>
  <c r="E32" i="5"/>
  <c r="E39" i="5"/>
  <c r="E42" i="5"/>
  <c r="F34" i="5"/>
  <c r="F39" i="5"/>
  <c r="F23" i="5"/>
  <c r="F42" i="5"/>
  <c r="G39" i="5"/>
  <c r="G18" i="5"/>
  <c r="G23" i="5"/>
  <c r="G42" i="5"/>
  <c r="H42" i="5"/>
  <c r="I42" i="5"/>
  <c r="J42" i="5"/>
  <c r="K42" i="5"/>
  <c r="L42" i="5"/>
  <c r="M39" i="5"/>
  <c r="M42" i="5"/>
  <c r="O42" i="5"/>
  <c r="N43" i="5"/>
  <c r="U24" i="5"/>
  <c r="G43" i="5"/>
  <c r="U25" i="5"/>
  <c r="J43" i="5"/>
  <c r="U26" i="5"/>
  <c r="F43" i="5"/>
  <c r="U27" i="5"/>
  <c r="E43" i="5"/>
  <c r="U28" i="5"/>
  <c r="D43" i="5"/>
  <c r="U29" i="5"/>
  <c r="K43" i="5"/>
  <c r="U30" i="5"/>
  <c r="I43" i="5"/>
  <c r="U31" i="5"/>
  <c r="H43" i="5"/>
  <c r="U32" i="5"/>
  <c r="C43" i="5"/>
  <c r="U33" i="5"/>
  <c r="U34" i="5"/>
  <c r="N39" i="6"/>
  <c r="N23" i="6"/>
  <c r="N45" i="6"/>
  <c r="N42" i="6"/>
  <c r="C23" i="6"/>
  <c r="C42" i="6"/>
  <c r="D42" i="6"/>
  <c r="G32" i="6"/>
  <c r="E32" i="6"/>
  <c r="E39" i="6"/>
  <c r="E42" i="6"/>
  <c r="F23" i="6"/>
  <c r="F42" i="6"/>
  <c r="G23" i="6"/>
  <c r="G42" i="6"/>
  <c r="H42" i="6"/>
  <c r="I42" i="6"/>
  <c r="J42" i="6"/>
  <c r="K42" i="6"/>
  <c r="L42" i="6"/>
  <c r="M42" i="6"/>
  <c r="O42" i="6"/>
  <c r="N43" i="6"/>
  <c r="U24" i="6"/>
  <c r="G43" i="6"/>
  <c r="U25" i="6"/>
  <c r="J43" i="6"/>
  <c r="U26" i="6"/>
  <c r="F43" i="6"/>
  <c r="U27" i="6"/>
  <c r="E43" i="6"/>
  <c r="U28" i="6"/>
  <c r="D43" i="6"/>
  <c r="U29" i="6"/>
  <c r="K43" i="6"/>
  <c r="U30" i="6"/>
  <c r="I43" i="6"/>
  <c r="U31" i="6"/>
  <c r="H43" i="6"/>
  <c r="U32" i="6"/>
  <c r="C43" i="6"/>
  <c r="U33" i="6"/>
  <c r="U34" i="6"/>
  <c r="N18" i="7"/>
  <c r="N23" i="7"/>
  <c r="N45" i="7"/>
  <c r="N42" i="7"/>
  <c r="C39" i="7"/>
  <c r="C42" i="7"/>
  <c r="D42" i="7"/>
  <c r="E42" i="7"/>
  <c r="F42" i="7"/>
  <c r="N37" i="7"/>
  <c r="B35" i="7"/>
  <c r="N35" i="7"/>
  <c r="N32" i="7"/>
  <c r="G32" i="7"/>
  <c r="G39" i="7"/>
  <c r="G17" i="7"/>
  <c r="G23" i="7"/>
  <c r="G42" i="7"/>
  <c r="H42" i="7"/>
  <c r="I42" i="7"/>
  <c r="J42" i="7"/>
  <c r="K23" i="7"/>
  <c r="K42" i="7"/>
  <c r="L42" i="7"/>
  <c r="M42" i="7"/>
  <c r="O42" i="7"/>
  <c r="N43" i="7"/>
  <c r="U24" i="7"/>
  <c r="G43" i="7"/>
  <c r="U25" i="7"/>
  <c r="J43" i="7"/>
  <c r="U26" i="7"/>
  <c r="F43" i="7"/>
  <c r="U27" i="7"/>
  <c r="E43" i="7"/>
  <c r="U28" i="7"/>
  <c r="D43" i="7"/>
  <c r="U29" i="7"/>
  <c r="K43" i="7"/>
  <c r="U30" i="7"/>
  <c r="I43" i="7"/>
  <c r="U31" i="7"/>
  <c r="H43" i="7"/>
  <c r="U32" i="7"/>
  <c r="C43" i="7"/>
  <c r="U33" i="7"/>
  <c r="U34" i="7"/>
  <c r="N32" i="8"/>
  <c r="G36" i="8"/>
  <c r="N36" i="8"/>
  <c r="N39" i="8"/>
  <c r="N18" i="8"/>
  <c r="N23" i="8"/>
  <c r="N45" i="8"/>
  <c r="N42" i="8"/>
  <c r="C17" i="8"/>
  <c r="C23" i="8"/>
  <c r="C42" i="8"/>
  <c r="D42" i="8"/>
  <c r="E39" i="8"/>
  <c r="E42" i="8"/>
  <c r="F42" i="8"/>
  <c r="G17" i="8"/>
  <c r="G23" i="8"/>
  <c r="G42" i="8"/>
  <c r="H42" i="8"/>
  <c r="I42" i="8"/>
  <c r="J42" i="8"/>
  <c r="K42" i="8"/>
  <c r="L42" i="8"/>
  <c r="M42" i="8"/>
  <c r="O42" i="8"/>
  <c r="N43" i="8"/>
  <c r="U24" i="8"/>
  <c r="G43" i="8"/>
  <c r="U25" i="8"/>
  <c r="J43" i="8"/>
  <c r="U26" i="8"/>
  <c r="F43" i="8"/>
  <c r="U27" i="8"/>
  <c r="E43" i="8"/>
  <c r="U28" i="8"/>
  <c r="D43" i="8"/>
  <c r="U29" i="8"/>
  <c r="K43" i="8"/>
  <c r="U30" i="8"/>
  <c r="I43" i="8"/>
  <c r="U31" i="8"/>
  <c r="H43" i="8"/>
  <c r="U32" i="8"/>
  <c r="C43" i="8"/>
  <c r="U33" i="8"/>
  <c r="U34" i="8"/>
  <c r="C42" i="9"/>
  <c r="O36" i="9"/>
  <c r="O31" i="9"/>
  <c r="O32" i="9"/>
  <c r="G32" i="9"/>
  <c r="E32" i="9"/>
  <c r="E39" i="9"/>
  <c r="E42" i="9"/>
  <c r="F42" i="9"/>
  <c r="G42" i="9"/>
  <c r="H42" i="9"/>
  <c r="I42" i="9"/>
  <c r="J42" i="9"/>
  <c r="K42" i="9"/>
  <c r="M42" i="9"/>
  <c r="N39" i="9"/>
  <c r="N45" i="9"/>
  <c r="N42" i="9"/>
  <c r="O42" i="9"/>
  <c r="N43" i="9"/>
  <c r="U24" i="9"/>
  <c r="G43" i="9"/>
  <c r="U25" i="9"/>
  <c r="J43" i="9"/>
  <c r="U26" i="9"/>
  <c r="F43" i="9"/>
  <c r="U27" i="9"/>
  <c r="E43" i="9"/>
  <c r="U28" i="9"/>
  <c r="D43" i="9"/>
  <c r="U29" i="9"/>
  <c r="K43" i="9"/>
  <c r="U30" i="9"/>
  <c r="I43" i="9"/>
  <c r="U31" i="9"/>
  <c r="H43" i="9"/>
  <c r="U32" i="9"/>
  <c r="C43" i="9"/>
  <c r="U33" i="9"/>
  <c r="U34" i="9"/>
  <c r="N31" i="10"/>
  <c r="N32" i="10"/>
  <c r="N33" i="10"/>
  <c r="N34" i="10"/>
  <c r="N35" i="10"/>
  <c r="N36" i="10"/>
  <c r="N37" i="10"/>
  <c r="N38" i="10"/>
  <c r="N39" i="10"/>
  <c r="N17" i="10"/>
  <c r="N18" i="10"/>
  <c r="N23" i="10"/>
  <c r="B6" i="10"/>
  <c r="N45" i="10"/>
  <c r="N42" i="10"/>
  <c r="C31" i="10"/>
  <c r="C32" i="10"/>
  <c r="C33" i="10"/>
  <c r="C34" i="10"/>
  <c r="C35" i="10"/>
  <c r="C36" i="10"/>
  <c r="C37" i="10"/>
  <c r="C38" i="10"/>
  <c r="C39" i="10"/>
  <c r="C17" i="10"/>
  <c r="C18" i="10"/>
  <c r="C23" i="10"/>
  <c r="C42" i="10"/>
  <c r="D31" i="10"/>
  <c r="D32" i="10"/>
  <c r="D33" i="10"/>
  <c r="D34" i="10"/>
  <c r="D35" i="10"/>
  <c r="D36" i="10"/>
  <c r="D37" i="10"/>
  <c r="D38" i="10"/>
  <c r="D39" i="10"/>
  <c r="D17" i="10"/>
  <c r="D18" i="10"/>
  <c r="D23" i="10"/>
  <c r="D6" i="10"/>
  <c r="D7" i="10"/>
  <c r="D10" i="10"/>
  <c r="D42" i="10"/>
  <c r="E31" i="10"/>
  <c r="E32" i="10"/>
  <c r="E33" i="10"/>
  <c r="E34" i="10"/>
  <c r="E35" i="10"/>
  <c r="E36" i="10"/>
  <c r="E37" i="10"/>
  <c r="E38" i="10"/>
  <c r="E39" i="10"/>
  <c r="E17" i="10"/>
  <c r="E18" i="10"/>
  <c r="E23" i="10"/>
  <c r="E6" i="10"/>
  <c r="E7" i="10"/>
  <c r="E10" i="10"/>
  <c r="E42" i="10"/>
  <c r="F31" i="10"/>
  <c r="F32" i="10"/>
  <c r="F33" i="10"/>
  <c r="F34" i="10"/>
  <c r="F35" i="10"/>
  <c r="F36" i="10"/>
  <c r="F37" i="10"/>
  <c r="F38" i="10"/>
  <c r="F39" i="10"/>
  <c r="F17" i="10"/>
  <c r="F18" i="10"/>
  <c r="F23" i="10"/>
  <c r="F6" i="10"/>
  <c r="F7" i="10"/>
  <c r="F10" i="10"/>
  <c r="F42" i="10"/>
  <c r="G31" i="10"/>
  <c r="G32" i="10"/>
  <c r="G33" i="10"/>
  <c r="G34" i="10"/>
  <c r="G35" i="10"/>
  <c r="G36" i="10"/>
  <c r="G37" i="10"/>
  <c r="G38" i="10"/>
  <c r="G39" i="10"/>
  <c r="G17" i="10"/>
  <c r="G18" i="10"/>
  <c r="G23" i="10"/>
  <c r="G6" i="10"/>
  <c r="G7" i="10"/>
  <c r="G10" i="10"/>
  <c r="G42" i="10"/>
  <c r="H31" i="10"/>
  <c r="H32" i="10"/>
  <c r="H33" i="10"/>
  <c r="H34" i="10"/>
  <c r="H35" i="10"/>
  <c r="H36" i="10"/>
  <c r="H37" i="10"/>
  <c r="H38" i="10"/>
  <c r="H39" i="10"/>
  <c r="H17" i="10"/>
  <c r="H18" i="10"/>
  <c r="H23" i="10"/>
  <c r="H6" i="10"/>
  <c r="H7" i="10"/>
  <c r="H10" i="10"/>
  <c r="H42" i="10"/>
  <c r="I31" i="10"/>
  <c r="I32" i="10"/>
  <c r="I33" i="10"/>
  <c r="I34" i="10"/>
  <c r="I35" i="10"/>
  <c r="I36" i="10"/>
  <c r="I37" i="10"/>
  <c r="I38" i="10"/>
  <c r="I39" i="10"/>
  <c r="I17" i="10"/>
  <c r="I18" i="10"/>
  <c r="I23" i="10"/>
  <c r="I6" i="10"/>
  <c r="I7" i="10"/>
  <c r="I10" i="10"/>
  <c r="I42" i="10"/>
  <c r="J31" i="10"/>
  <c r="J32" i="10"/>
  <c r="J33" i="10"/>
  <c r="J34" i="10"/>
  <c r="J35" i="10"/>
  <c r="J36" i="10"/>
  <c r="J37" i="10"/>
  <c r="J38" i="10"/>
  <c r="J39" i="10"/>
  <c r="J17" i="10"/>
  <c r="J18" i="7"/>
  <c r="J18" i="10"/>
  <c r="J23" i="10"/>
  <c r="J6" i="10"/>
  <c r="J7" i="10"/>
  <c r="J10" i="10"/>
  <c r="J42" i="10"/>
  <c r="K31" i="10"/>
  <c r="K32" i="10"/>
  <c r="K33" i="10"/>
  <c r="K34" i="10"/>
  <c r="K35" i="10"/>
  <c r="K36" i="10"/>
  <c r="K37" i="10"/>
  <c r="K38" i="10"/>
  <c r="K39" i="10"/>
  <c r="K17" i="10"/>
  <c r="K18" i="10"/>
  <c r="K23" i="10"/>
  <c r="K6" i="10"/>
  <c r="K7" i="10"/>
  <c r="K10" i="10"/>
  <c r="K42" i="10"/>
  <c r="L31" i="10"/>
  <c r="L32" i="10"/>
  <c r="L33" i="10"/>
  <c r="L34" i="10"/>
  <c r="L35" i="10"/>
  <c r="L36" i="10"/>
  <c r="L37" i="10"/>
  <c r="L38" i="10"/>
  <c r="L39" i="10"/>
  <c r="L17" i="10"/>
  <c r="L18" i="10"/>
  <c r="L23" i="10"/>
  <c r="L42" i="10"/>
  <c r="M31" i="5"/>
  <c r="M31" i="10"/>
  <c r="M32" i="5"/>
  <c r="M32" i="10"/>
  <c r="M33" i="5"/>
  <c r="M33" i="10"/>
  <c r="M34" i="5"/>
  <c r="M34" i="10"/>
  <c r="M35" i="5"/>
  <c r="M35" i="10"/>
  <c r="M36" i="5"/>
  <c r="M36" i="10"/>
  <c r="M37" i="5"/>
  <c r="M37" i="10"/>
  <c r="M38" i="5"/>
  <c r="M38" i="10"/>
  <c r="M39" i="10"/>
  <c r="M17" i="10"/>
  <c r="M18" i="10"/>
  <c r="M23" i="10"/>
  <c r="M6" i="10"/>
  <c r="M7" i="10"/>
  <c r="M10" i="10"/>
  <c r="M42" i="10"/>
  <c r="O42" i="10"/>
  <c r="N43" i="10"/>
  <c r="U24" i="10"/>
  <c r="G43" i="10"/>
  <c r="U25" i="10"/>
  <c r="J43" i="10"/>
  <c r="U26" i="10"/>
  <c r="F43" i="10"/>
  <c r="U27" i="10"/>
  <c r="E43" i="10"/>
  <c r="U28" i="10"/>
  <c r="D43" i="10"/>
  <c r="U29" i="10"/>
  <c r="K43" i="10"/>
  <c r="U30" i="10"/>
  <c r="I43" i="10"/>
  <c r="U31" i="10"/>
  <c r="H43" i="10"/>
  <c r="U32" i="10"/>
  <c r="C43" i="10"/>
  <c r="U33" i="10"/>
  <c r="U34" i="10"/>
  <c r="T24" i="2"/>
  <c r="T25" i="2"/>
  <c r="T26" i="2"/>
  <c r="T27" i="2"/>
  <c r="T28" i="2"/>
  <c r="T29" i="2"/>
  <c r="T30" i="2"/>
  <c r="T31" i="2"/>
  <c r="T32" i="2"/>
  <c r="T33" i="2"/>
  <c r="T34" i="2"/>
  <c r="T24" i="3"/>
  <c r="T25" i="3"/>
  <c r="T26" i="3"/>
  <c r="T27" i="3"/>
  <c r="T28" i="3"/>
  <c r="T29" i="3"/>
  <c r="T30" i="3"/>
  <c r="T31" i="3"/>
  <c r="T32" i="3"/>
  <c r="T33" i="3"/>
  <c r="T34" i="3"/>
  <c r="T24" i="4"/>
  <c r="T25" i="4"/>
  <c r="T26" i="4"/>
  <c r="T27" i="4"/>
  <c r="T28" i="4"/>
  <c r="T29" i="4"/>
  <c r="T30" i="4"/>
  <c r="T31" i="4"/>
  <c r="T32" i="4"/>
  <c r="T33" i="4"/>
  <c r="T34" i="4"/>
  <c r="T24" i="5"/>
  <c r="T25" i="5"/>
  <c r="T26" i="5"/>
  <c r="T27" i="5"/>
  <c r="T28" i="5"/>
  <c r="T29" i="5"/>
  <c r="T30" i="5"/>
  <c r="T31" i="5"/>
  <c r="T32" i="5"/>
  <c r="T33" i="5"/>
  <c r="T34" i="5"/>
  <c r="T24" i="6"/>
  <c r="T25" i="6"/>
  <c r="T26" i="6"/>
  <c r="T27" i="6"/>
  <c r="T28" i="6"/>
  <c r="T29" i="6"/>
  <c r="T30" i="6"/>
  <c r="T31" i="6"/>
  <c r="T32" i="6"/>
  <c r="T33" i="6"/>
  <c r="T34" i="6"/>
  <c r="T24" i="7"/>
  <c r="T25" i="7"/>
  <c r="T26" i="7"/>
  <c r="T27" i="7"/>
  <c r="T28" i="7"/>
  <c r="T29" i="7"/>
  <c r="T30" i="7"/>
  <c r="T31" i="7"/>
  <c r="T32" i="7"/>
  <c r="T33" i="7"/>
  <c r="T34" i="7"/>
  <c r="T24" i="8"/>
  <c r="T25" i="8"/>
  <c r="T26" i="8"/>
  <c r="T27" i="8"/>
  <c r="T28" i="8"/>
  <c r="T29" i="8"/>
  <c r="T30" i="8"/>
  <c r="T31" i="8"/>
  <c r="T32" i="8"/>
  <c r="T33" i="8"/>
  <c r="T34" i="8"/>
  <c r="T29" i="9"/>
  <c r="T24" i="9"/>
  <c r="T25" i="9"/>
  <c r="T26" i="9"/>
  <c r="T27" i="9"/>
  <c r="T28" i="9"/>
  <c r="T30" i="9"/>
  <c r="T31" i="9"/>
  <c r="T32" i="9"/>
  <c r="T33" i="9"/>
  <c r="T34" i="9"/>
  <c r="T24" i="10"/>
  <c r="T25" i="10"/>
  <c r="T26" i="10"/>
  <c r="T27" i="10"/>
  <c r="T28" i="10"/>
  <c r="T29" i="10"/>
  <c r="T30" i="10"/>
  <c r="T31" i="10"/>
  <c r="T32" i="10"/>
  <c r="T33" i="10"/>
  <c r="T34" i="10"/>
  <c r="B32" i="3"/>
  <c r="B32" i="10"/>
  <c r="O32" i="10"/>
  <c r="B33" i="3"/>
  <c r="B33" i="6"/>
  <c r="B33" i="10"/>
  <c r="O33" i="10"/>
  <c r="B34" i="10"/>
  <c r="O34" i="10"/>
  <c r="B35" i="6"/>
  <c r="B35" i="10"/>
  <c r="O35" i="10"/>
  <c r="B36" i="10"/>
  <c r="O36" i="10"/>
  <c r="B37" i="10"/>
  <c r="O37" i="10"/>
  <c r="B38" i="10"/>
  <c r="O38" i="10"/>
  <c r="B31" i="10"/>
  <c r="O31" i="10"/>
  <c r="O39" i="10"/>
  <c r="B39" i="10"/>
  <c r="O18" i="10"/>
  <c r="O17" i="10"/>
  <c r="O23" i="10"/>
  <c r="B17" i="8"/>
  <c r="B17" i="10"/>
  <c r="B18" i="2"/>
  <c r="B18" i="5"/>
  <c r="B18" i="6"/>
  <c r="B18" i="7"/>
  <c r="B18" i="8"/>
  <c r="B18" i="9"/>
  <c r="B18" i="10"/>
  <c r="B19" i="10"/>
  <c r="B20" i="10"/>
  <c r="B21" i="10"/>
  <c r="B22" i="10"/>
  <c r="B23" i="10"/>
  <c r="C7" i="10"/>
  <c r="L7" i="10"/>
  <c r="N7" i="10"/>
  <c r="O7" i="10"/>
  <c r="C6" i="10"/>
  <c r="L6" i="10"/>
  <c r="N6" i="10"/>
  <c r="O6" i="10"/>
  <c r="L10" i="10"/>
  <c r="N10" i="10"/>
  <c r="O10" i="10"/>
  <c r="C10" i="10"/>
  <c r="B4" i="2"/>
  <c r="B4" i="3"/>
  <c r="B4" i="4"/>
  <c r="B4" i="5"/>
  <c r="B4" i="6"/>
  <c r="B4" i="7"/>
  <c r="B4" i="8"/>
  <c r="B4" i="9"/>
  <c r="B4" i="10"/>
  <c r="B7" i="9"/>
  <c r="B7" i="10"/>
  <c r="B10" i="7"/>
  <c r="B8" i="7"/>
  <c r="B8" i="10"/>
  <c r="B9" i="10"/>
  <c r="B10" i="10"/>
  <c r="O33" i="7"/>
  <c r="O18" i="2"/>
  <c r="O23" i="2"/>
  <c r="O18" i="8"/>
  <c r="O17" i="8"/>
  <c r="O23" i="8"/>
  <c r="B23" i="7"/>
  <c r="O33" i="2"/>
  <c r="O35" i="2"/>
  <c r="O36" i="2"/>
  <c r="O37" i="2"/>
  <c r="O36" i="7"/>
  <c r="O39" i="7"/>
  <c r="O35" i="6"/>
  <c r="O36" i="6"/>
  <c r="N40" i="5"/>
  <c r="O33" i="6"/>
  <c r="O37" i="6"/>
  <c r="O39" i="6"/>
  <c r="B10" i="9"/>
  <c r="B10" i="8"/>
  <c r="B10" i="6"/>
  <c r="B10" i="5"/>
  <c r="B10" i="3"/>
  <c r="B10" i="4"/>
  <c r="B10" i="2"/>
  <c r="O18" i="5"/>
  <c r="O23" i="5"/>
  <c r="B23" i="5"/>
  <c r="B45" i="5"/>
  <c r="O10" i="3"/>
  <c r="B39" i="2"/>
  <c r="O32" i="2"/>
  <c r="O39" i="2"/>
  <c r="O18" i="3"/>
  <c r="O23" i="3"/>
  <c r="O18" i="4"/>
  <c r="O23" i="4"/>
  <c r="O18" i="6"/>
  <c r="O19" i="6"/>
  <c r="O23" i="6"/>
  <c r="O17" i="7"/>
  <c r="O18" i="7"/>
  <c r="O23" i="7"/>
  <c r="H30" i="4"/>
  <c r="B45" i="2"/>
  <c r="B23" i="3"/>
  <c r="B23" i="4"/>
  <c r="B23" i="6"/>
  <c r="G41" i="10"/>
  <c r="O37" i="3"/>
  <c r="B41" i="6"/>
  <c r="B45" i="3"/>
  <c r="B28" i="6"/>
  <c r="B28" i="4"/>
  <c r="I41" i="10"/>
  <c r="K41" i="10"/>
  <c r="T44" i="3"/>
  <c r="T42" i="3"/>
  <c r="T40" i="3"/>
  <c r="P34" i="4"/>
  <c r="U44" i="4"/>
  <c r="T44" i="4"/>
  <c r="P31" i="4"/>
  <c r="U42" i="4"/>
  <c r="T42" i="4"/>
  <c r="P33" i="4"/>
  <c r="U41" i="4"/>
  <c r="T41" i="4"/>
  <c r="P35" i="4"/>
  <c r="U40" i="4"/>
  <c r="T40" i="4"/>
  <c r="P35" i="5"/>
  <c r="U40" i="5"/>
  <c r="P33" i="5"/>
  <c r="U41" i="5"/>
  <c r="P31" i="5"/>
  <c r="P32" i="5"/>
  <c r="U43" i="5"/>
  <c r="P34" i="5"/>
  <c r="U44" i="5"/>
  <c r="T40" i="5"/>
  <c r="T41" i="5"/>
  <c r="T42" i="5"/>
  <c r="T43" i="5"/>
  <c r="T44" i="5"/>
  <c r="P34" i="6"/>
  <c r="U44" i="6"/>
  <c r="T44" i="6"/>
  <c r="P32" i="6"/>
  <c r="U43" i="6"/>
  <c r="T43" i="6"/>
  <c r="P31" i="6"/>
  <c r="U42" i="6"/>
  <c r="T42" i="6"/>
  <c r="P33" i="6"/>
  <c r="U41" i="6"/>
  <c r="T41" i="6"/>
  <c r="P35" i="6"/>
  <c r="U40" i="6"/>
  <c r="T40" i="6"/>
  <c r="P35" i="7"/>
  <c r="U40" i="7"/>
  <c r="P33" i="7"/>
  <c r="U41" i="7"/>
  <c r="P31" i="7"/>
  <c r="U42" i="7"/>
  <c r="P32" i="7"/>
  <c r="P34" i="7"/>
  <c r="U44" i="7"/>
  <c r="T40" i="7"/>
  <c r="T41" i="7"/>
  <c r="T42" i="7"/>
  <c r="T43" i="7"/>
  <c r="T44" i="7"/>
  <c r="P35" i="8"/>
  <c r="U40" i="8"/>
  <c r="P33" i="8"/>
  <c r="U41" i="8"/>
  <c r="P31" i="8"/>
  <c r="P32" i="8"/>
  <c r="U43" i="8"/>
  <c r="P34" i="8"/>
  <c r="U44" i="8"/>
  <c r="T40" i="8"/>
  <c r="T41" i="8"/>
  <c r="T42" i="8"/>
  <c r="T43" i="8"/>
  <c r="T44" i="8"/>
  <c r="P34" i="9"/>
  <c r="U44" i="9"/>
  <c r="T44" i="9"/>
  <c r="P32" i="9"/>
  <c r="U43" i="9"/>
  <c r="T43" i="9"/>
  <c r="P31" i="9"/>
  <c r="U42" i="9"/>
  <c r="T42" i="9"/>
  <c r="P33" i="9"/>
  <c r="U41" i="9"/>
  <c r="T41" i="9"/>
  <c r="P35" i="9"/>
  <c r="U40" i="9"/>
  <c r="T40" i="9"/>
  <c r="T40" i="2"/>
  <c r="T41" i="2"/>
  <c r="T42" i="2"/>
  <c r="T43" i="2"/>
  <c r="T44" i="2"/>
  <c r="P34" i="2"/>
  <c r="U44" i="2"/>
  <c r="P32" i="2"/>
  <c r="U43" i="2"/>
  <c r="P31" i="2"/>
  <c r="P33" i="2"/>
  <c r="P35" i="2"/>
  <c r="P38" i="2"/>
  <c r="U42" i="2"/>
  <c r="U41" i="2"/>
  <c r="U40" i="2"/>
  <c r="N41" i="3"/>
  <c r="L41" i="3"/>
  <c r="K41" i="3"/>
  <c r="J41" i="3"/>
  <c r="I41" i="3"/>
  <c r="H41" i="3"/>
  <c r="G41" i="3"/>
  <c r="F41" i="3"/>
  <c r="E41" i="3"/>
  <c r="D41" i="3"/>
  <c r="C41" i="3"/>
  <c r="B45" i="4"/>
  <c r="O41" i="4"/>
  <c r="P41" i="4"/>
  <c r="U39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B45" i="6"/>
  <c r="N41" i="6"/>
  <c r="M41" i="6"/>
  <c r="L41" i="6"/>
  <c r="K41" i="6"/>
  <c r="J41" i="6"/>
  <c r="I41" i="6"/>
  <c r="H41" i="6"/>
  <c r="G41" i="6"/>
  <c r="F41" i="6"/>
  <c r="E41" i="6"/>
  <c r="D41" i="6"/>
  <c r="C41" i="6"/>
  <c r="B45" i="7"/>
  <c r="M41" i="7"/>
  <c r="L41" i="7"/>
  <c r="K41" i="7"/>
  <c r="J41" i="7"/>
  <c r="I41" i="7"/>
  <c r="H41" i="7"/>
  <c r="G41" i="7"/>
  <c r="F41" i="7"/>
  <c r="E41" i="7"/>
  <c r="D41" i="7"/>
  <c r="C41" i="7"/>
  <c r="B41" i="7"/>
  <c r="B45" i="8"/>
  <c r="O41" i="8"/>
  <c r="T39" i="8"/>
  <c r="T45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B45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O45" i="2"/>
  <c r="T38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P41" i="5"/>
  <c r="U39" i="5"/>
  <c r="T39" i="5"/>
  <c r="T45" i="5"/>
  <c r="O45" i="5"/>
  <c r="T38" i="5"/>
  <c r="D41" i="10"/>
  <c r="O45" i="9"/>
  <c r="T38" i="9"/>
  <c r="T40" i="10"/>
  <c r="P32" i="4"/>
  <c r="U43" i="4"/>
  <c r="T43" i="4"/>
  <c r="T39" i="4"/>
  <c r="T45" i="4"/>
  <c r="O41" i="6"/>
  <c r="T39" i="6"/>
  <c r="T45" i="6"/>
  <c r="P38" i="4"/>
  <c r="T39" i="9"/>
  <c r="T45" i="9"/>
  <c r="P41" i="9"/>
  <c r="U39" i="9"/>
  <c r="U45" i="9"/>
  <c r="U42" i="8"/>
  <c r="P38" i="8"/>
  <c r="P38" i="5"/>
  <c r="U42" i="5"/>
  <c r="U45" i="5"/>
  <c r="P38" i="7"/>
  <c r="U43" i="7"/>
  <c r="T39" i="2"/>
  <c r="T45" i="2"/>
  <c r="P41" i="2"/>
  <c r="U39" i="2"/>
  <c r="U45" i="2"/>
  <c r="U45" i="4"/>
  <c r="P41" i="8"/>
  <c r="U39" i="8"/>
  <c r="U45" i="8"/>
  <c r="O45" i="8"/>
  <c r="T38" i="8"/>
  <c r="O45" i="7"/>
  <c r="T38" i="7"/>
  <c r="M43" i="6"/>
  <c r="O45" i="6"/>
  <c r="T38" i="6"/>
  <c r="O45" i="4"/>
  <c r="T38" i="4"/>
  <c r="T42" i="10"/>
  <c r="P38" i="9"/>
  <c r="P38" i="6"/>
  <c r="P41" i="6"/>
  <c r="U39" i="6"/>
  <c r="U45" i="6"/>
  <c r="T21" i="5"/>
  <c r="L43" i="6"/>
  <c r="T21" i="6"/>
  <c r="M43" i="9"/>
  <c r="T21" i="9"/>
  <c r="L43" i="9"/>
  <c r="L43" i="5"/>
  <c r="M43" i="5"/>
  <c r="O43" i="9"/>
  <c r="O43" i="6"/>
  <c r="O43" i="5"/>
  <c r="M43" i="4"/>
  <c r="T21" i="4"/>
  <c r="L43" i="4"/>
  <c r="O43" i="4"/>
  <c r="M41" i="10"/>
  <c r="M41" i="3"/>
  <c r="O32" i="3"/>
  <c r="O33" i="3"/>
  <c r="O39" i="3"/>
  <c r="O41" i="3"/>
  <c r="P41" i="3"/>
  <c r="U39" i="3"/>
  <c r="P35" i="3"/>
  <c r="U40" i="3"/>
  <c r="P33" i="3"/>
  <c r="U41" i="3"/>
  <c r="P31" i="3"/>
  <c r="U42" i="3"/>
  <c r="P32" i="3"/>
  <c r="U43" i="3"/>
  <c r="P34" i="3"/>
  <c r="U44" i="3"/>
  <c r="U45" i="3"/>
  <c r="P38" i="3"/>
  <c r="T41" i="10"/>
  <c r="T43" i="10"/>
  <c r="P32" i="10"/>
  <c r="U43" i="10"/>
  <c r="T39" i="3"/>
  <c r="T41" i="3"/>
  <c r="T43" i="3"/>
  <c r="T45" i="3"/>
  <c r="L43" i="3"/>
  <c r="M43" i="3"/>
  <c r="O43" i="3"/>
  <c r="T21" i="3"/>
  <c r="B41" i="3"/>
  <c r="O45" i="3"/>
  <c r="T38" i="3"/>
  <c r="O41" i="10"/>
  <c r="L43" i="7"/>
  <c r="M43" i="7"/>
  <c r="O43" i="7"/>
  <c r="T21" i="7"/>
  <c r="O41" i="7"/>
  <c r="P41" i="7"/>
  <c r="U39" i="7"/>
  <c r="U45" i="7"/>
  <c r="N41" i="7"/>
  <c r="T39" i="7"/>
  <c r="T45" i="7"/>
  <c r="G40" i="7"/>
  <c r="L43" i="2"/>
  <c r="T21" i="2"/>
  <c r="M43" i="2"/>
  <c r="P41" i="10"/>
  <c r="U39" i="10"/>
  <c r="T39" i="10"/>
  <c r="B41" i="10"/>
  <c r="P33" i="10"/>
  <c r="U41" i="10"/>
  <c r="P31" i="10"/>
  <c r="P35" i="10"/>
  <c r="U40" i="10"/>
  <c r="T44" i="10"/>
  <c r="H41" i="10"/>
  <c r="F41" i="10"/>
  <c r="N41" i="10"/>
  <c r="P34" i="10"/>
  <c r="U44" i="10"/>
  <c r="J41" i="10"/>
  <c r="E41" i="10"/>
  <c r="C41" i="10"/>
  <c r="L41" i="10"/>
  <c r="B45" i="10"/>
  <c r="O45" i="10"/>
  <c r="T38" i="10"/>
  <c r="M43" i="8"/>
  <c r="T21" i="8"/>
  <c r="L43" i="8"/>
  <c r="O43" i="2"/>
  <c r="T45" i="10"/>
  <c r="U42" i="10"/>
  <c r="U45" i="10"/>
  <c r="P38" i="10"/>
  <c r="O43" i="8"/>
  <c r="M43" i="10"/>
  <c r="L43" i="10"/>
  <c r="T21" i="10"/>
  <c r="O43" i="10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Från industriberäkningar</t>
        </r>
      </text>
    </comment>
    <comment ref="B3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Från Eon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Rickard</author>
    <author>www.statistikdatabasen.scb.se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Fjärrvärmekollen. Knivsta + Alsike.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på raden</t>
        </r>
      </text>
    </comment>
    <comment ref="G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Från industriberäkningar</t>
        </r>
      </text>
    </comment>
    <comment ref="N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kolumnen</t>
        </r>
      </text>
    </comment>
  </commentList>
</comments>
</file>

<file path=xl/comments6.xml><?xml version="1.0" encoding="utf-8"?>
<comments xmlns="http://schemas.openxmlformats.org/spreadsheetml/2006/main">
  <authors>
    <author>Rickard</author>
    <author>www.statistikdatabasen.scb.se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Fjärrvärmekollen: tierp+skutskär+karlholm+örbyhus+skärplinge+månkarbo+söderfors</t>
        </r>
      </text>
    </comment>
    <comment ref="A19" authorId="1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på rad</t>
        </r>
      </text>
    </comment>
    <comment ref="N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Från elberäkningar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Fjärrvärmekollen: tierp+skutskär+kalholmsbruk+örbyhus+skärplinge+månkarbo+söderfors</t>
        </r>
      </text>
    </comment>
    <comment ref="O39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Ökat från SCBs ordinarie mängd eftersom fler fjärrvärmenät är inkluderade.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G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på rad</t>
        </r>
      </text>
    </comment>
    <comment ref="N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kolumn</t>
        </r>
      </text>
    </comment>
    <comment ref="C33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Korrigerad avvikelse</t>
        </r>
      </text>
    </comment>
    <comment ref="B35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i kolumnen</t>
        </r>
      </text>
    </comment>
    <comment ref="N35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på rad
</t>
        </r>
      </text>
    </comment>
    <comment ref="N37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rad</t>
        </r>
      </text>
    </comment>
    <comment ref="B3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Svensk Fjärrvärme: Uppsala + Storvreta</t>
        </r>
      </text>
    </comment>
    <comment ref="G39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Summa kolumn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E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MR</t>
        </r>
      </text>
    </comment>
    <comment ref="N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på rad</t>
        </r>
      </text>
    </comment>
    <comment ref="N36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Resterande på rad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<sst xmlns="http://schemas.openxmlformats.org/spreadsheetml/2006/main" count="908" uniqueCount="70">
  <si>
    <t>Elproduktion och bränsleanvändning (MWh) efter tid, region, produktionssätt och bränsletyp</t>
  </si>
  <si>
    <t>0305 Håbo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</si>
  <si>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</si>
  <si>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</si>
  <si>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</si>
  <si>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</si>
  <si>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</si>
  <si>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</si>
  <si>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</si>
  <si>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</si>
  <si>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</si>
  <si>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</si>
  <si>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</si>
  <si>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</si>
  <si>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</si>
  <si>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</si>
  <si>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</si>
  <si>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</si>
  <si>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</si>
  <si>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</si>
  <si>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</si>
  <si>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</si>
  <si>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</si>
  <si>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</si>
  <si>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</si>
  <si>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</si>
  <si>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</si>
  <si>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</si>
  <si>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</si>
  <si>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</si>
  <si>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</si>
  <si>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</si>
  <si>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</si>
  <si>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</si>
  <si>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</si>
  <si>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</si>
  <si>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</si>
  <si>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</si>
  <si>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</si>
  <si>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</si>
  <si>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</si>
  <si>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</si>
  <si>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</si>
  <si>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</si>
  <si>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</si>
  <si>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</si>
  <si>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</si>
  <si>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</si>
  <si>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</si>
  <si>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</si>
  <si>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</si>
  <si>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</si>
  <si>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</si>
  <si>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</si>
  <si>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</si>
  <si>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</si>
  <si>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</si>
  <si>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</si>
  <si>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</si>
  <si>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0319 Älvkarleby</t>
  </si>
  <si>
    <t>0330 Knivsta</t>
  </si>
  <si>
    <t>0331 Heby</t>
  </si>
  <si>
    <t>0360 Tierp</t>
  </si>
  <si>
    <t>0380 Uppsala</t>
  </si>
  <si>
    <t>0381 Enköping</t>
  </si>
  <si>
    <t>0382 Östhammar</t>
  </si>
  <si>
    <t>Biobränslen</t>
  </si>
  <si>
    <t>Uppsala län</t>
  </si>
  <si>
    <t>Solceller</t>
  </si>
  <si>
    <t>Kärnbränsle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</si>
</sst>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%"/>
    <numFmt numFmtId="166" formatCode="0.0"/>
    <numFmt numFmtId="167" formatCode="#,##0.000"/>
    <numFmt numFmtId="168" formatCode="#,##0.000000"/>
  </numFmts>
  <fonts count="3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sz val="8"/>
      <color rgb="FF000000"/>
      <name val="Tahoma"/>
      <family val="2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Border="0" applyAlignment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1" applyFont="1" applyFill="1" applyProtection="1"/>
    <xf numFmtId="0" fontId="3" fillId="0" borderId="0" xfId="1" applyFill="1" applyProtection="1"/>
    <xf numFmtId="0" fontId="5" fillId="0" borderId="0" xfId="1" applyFont="1"/>
    <xf numFmtId="0" fontId="6" fillId="0" borderId="0" xfId="0" applyFont="1"/>
    <xf numFmtId="0" fontId="7" fillId="0" borderId="0" xfId="1" applyFont="1" applyFill="1" applyProtection="1"/>
    <xf numFmtId="3" fontId="3" fillId="0" borderId="0" xfId="1" applyNumberFormat="1"/>
    <xf numFmtId="0" fontId="3" fillId="0" borderId="0" xfId="1"/>
    <xf numFmtId="0" fontId="7" fillId="0" borderId="0" xfId="0" applyFont="1" applyFill="1" applyProtection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9" fillId="0" borderId="0" xfId="1" applyFont="1" applyFill="1" applyProtection="1"/>
    <xf numFmtId="164" fontId="3" fillId="0" borderId="0" xfId="1" applyNumberFormat="1"/>
    <xf numFmtId="4" fontId="3" fillId="0" borderId="0" xfId="1" applyNumberFormat="1"/>
    <xf numFmtId="165" fontId="3" fillId="0" borderId="0" xfId="1" applyNumberFormat="1"/>
    <xf numFmtId="10" fontId="3" fillId="0" borderId="0" xfId="1" applyNumberFormat="1"/>
    <xf numFmtId="3" fontId="3" fillId="0" borderId="0" xfId="1" applyNumberFormat="1" applyFill="1" applyProtection="1"/>
    <xf numFmtId="0" fontId="8" fillId="0" borderId="0" xfId="0" applyFont="1"/>
    <xf numFmtId="165" fontId="10" fillId="0" borderId="0" xfId="1" applyNumberFormat="1" applyFont="1"/>
    <xf numFmtId="165" fontId="5" fillId="0" borderId="0" xfId="1" applyNumberFormat="1" applyFont="1"/>
    <xf numFmtId="166" fontId="3" fillId="0" borderId="0" xfId="1" applyNumberFormat="1"/>
    <xf numFmtId="2" fontId="3" fillId="0" borderId="0" xfId="1" applyNumberFormat="1"/>
    <xf numFmtId="0" fontId="11" fillId="0" borderId="0" xfId="1" applyFont="1"/>
    <xf numFmtId="3" fontId="11" fillId="0" borderId="0" xfId="1" applyNumberFormat="1" applyFont="1"/>
    <xf numFmtId="3" fontId="10" fillId="0" borderId="0" xfId="1" applyNumberFormat="1" applyFont="1"/>
    <xf numFmtId="3" fontId="10" fillId="2" borderId="0" xfId="1" applyNumberFormat="1" applyFont="1" applyFill="1"/>
    <xf numFmtId="3" fontId="12" fillId="2" borderId="0" xfId="1" applyNumberFormat="1" applyFont="1" applyFill="1"/>
    <xf numFmtId="3" fontId="3" fillId="2" borderId="0" xfId="1" applyNumberFormat="1" applyFill="1"/>
    <xf numFmtId="1" fontId="3" fillId="0" borderId="0" xfId="1" applyNumberFormat="1"/>
    <xf numFmtId="165" fontId="10" fillId="0" borderId="0" xfId="2" applyNumberFormat="1" applyFont="1"/>
    <xf numFmtId="165" fontId="2" fillId="0" borderId="0" xfId="2" applyNumberFormat="1" applyFont="1"/>
    <xf numFmtId="3" fontId="12" fillId="0" borderId="0" xfId="1" applyNumberFormat="1" applyFont="1"/>
    <xf numFmtId="9" fontId="12" fillId="0" borderId="0" xfId="2" applyFont="1"/>
    <xf numFmtId="0" fontId="3" fillId="0" borderId="0" xfId="1" applyAlignment="1">
      <alignment horizontal="right"/>
    </xf>
    <xf numFmtId="3" fontId="3" fillId="0" borderId="0" xfId="1" applyNumberFormat="1" applyAlignment="1">
      <alignment horizontal="right"/>
    </xf>
    <xf numFmtId="9" fontId="12" fillId="0" borderId="0" xfId="2" applyNumberFormat="1" applyFont="1"/>
    <xf numFmtId="9" fontId="2" fillId="0" borderId="0" xfId="2" applyFont="1"/>
    <xf numFmtId="3" fontId="0" fillId="0" borderId="0" xfId="0" applyNumberFormat="1"/>
    <xf numFmtId="3" fontId="0" fillId="0" borderId="0" xfId="0" applyNumberFormat="1" applyFill="1" applyProtection="1"/>
    <xf numFmtId="0" fontId="0" fillId="0" borderId="0" xfId="0" applyFill="1" applyProtection="1"/>
    <xf numFmtId="3" fontId="0" fillId="0" borderId="0" xfId="0" applyNumberFormat="1" applyAlignment="1">
      <alignment horizontal="right"/>
    </xf>
    <xf numFmtId="3" fontId="9" fillId="0" borderId="0" xfId="1" applyNumberFormat="1" applyFont="1" applyFill="1" applyProtection="1"/>
    <xf numFmtId="0" fontId="8" fillId="0" borderId="0" xfId="0" applyFont="1" applyAlignment="1">
      <alignment horizontal="right"/>
    </xf>
    <xf numFmtId="3" fontId="0" fillId="0" borderId="0" xfId="0" applyNumberFormat="1" applyFill="1" applyAlignment="1" applyProtection="1">
      <alignment horizontal="right"/>
    </xf>
    <xf numFmtId="165" fontId="3" fillId="0" borderId="0" xfId="1" applyNumberFormat="1" applyFill="1" applyProtection="1"/>
    <xf numFmtId="0" fontId="15" fillId="0" borderId="0" xfId="0" applyFont="1"/>
    <xf numFmtId="3" fontId="16" fillId="0" borderId="0" xfId="1" applyNumberFormat="1" applyFont="1"/>
    <xf numFmtId="3" fontId="17" fillId="0" borderId="0" xfId="1" applyNumberFormat="1" applyFont="1" applyFill="1" applyProtection="1"/>
    <xf numFmtId="0" fontId="17" fillId="0" borderId="0" xfId="1" applyFont="1" applyFill="1" applyProtection="1"/>
    <xf numFmtId="3" fontId="15" fillId="0" borderId="0" xfId="0" applyNumberFormat="1" applyFont="1"/>
    <xf numFmtId="165" fontId="1" fillId="0" borderId="0" xfId="2" applyNumberFormat="1" applyFont="1"/>
    <xf numFmtId="3" fontId="0" fillId="0" borderId="0" xfId="1" applyNumberFormat="1" applyFont="1"/>
    <xf numFmtId="0" fontId="8" fillId="0" borderId="0" xfId="3" applyFont="1"/>
    <xf numFmtId="9" fontId="1" fillId="0" borderId="0" xfId="2" applyFont="1"/>
    <xf numFmtId="0" fontId="3" fillId="0" borderId="0" xfId="1" applyFont="1" applyFill="1" applyProtection="1"/>
    <xf numFmtId="3" fontId="5" fillId="0" borderId="0" xfId="1" applyNumberFormat="1" applyFont="1"/>
    <xf numFmtId="167" fontId="3" fillId="0" borderId="0" xfId="1" applyNumberFormat="1" applyFill="1" applyProtection="1"/>
    <xf numFmtId="168" fontId="3" fillId="0" borderId="0" xfId="1" applyNumberFormat="1" applyFill="1" applyProtection="1"/>
    <xf numFmtId="3" fontId="20" fillId="0" borderId="0" xfId="0" applyNumberFormat="1" applyFont="1" applyFill="1" applyProtection="1"/>
    <xf numFmtId="3" fontId="20" fillId="0" borderId="0" xfId="0" applyNumberFormat="1" applyFont="1" applyFill="1" applyAlignment="1" applyProtection="1">
      <alignment horizontal="right"/>
    </xf>
    <xf numFmtId="3" fontId="3" fillId="0" borderId="0" xfId="1" applyNumberFormat="1" applyFill="1"/>
    <xf numFmtId="164" fontId="0" fillId="0" borderId="0" xfId="0" applyNumberFormat="1" applyFill="1" applyProtection="1"/>
    <xf numFmtId="164" fontId="3" fillId="0" borderId="0" xfId="1" applyNumberFormat="1" applyFill="1" applyProtection="1"/>
    <xf numFmtId="3" fontId="23" fillId="0" borderId="0" xfId="0" applyNumberFormat="1" applyFont="1" applyFill="1" applyAlignment="1" applyProtection="1">
      <alignment horizontal="right"/>
    </xf>
    <xf numFmtId="3" fontId="24" fillId="0" borderId="0" xfId="0" applyNumberFormat="1" applyFont="1" applyFill="1" applyAlignment="1" applyProtection="1">
      <alignment horizontal="right"/>
    </xf>
    <xf numFmtId="3" fontId="24" fillId="0" borderId="0" xfId="0" applyNumberFormat="1" applyFont="1" applyFill="1" applyProtection="1"/>
    <xf numFmtId="3" fontId="24" fillId="0" borderId="0" xfId="0" applyNumberFormat="1" applyFont="1" applyFill="1" applyBorder="1" applyAlignment="1" applyProtection="1">
      <alignment horizontal="right"/>
    </xf>
    <xf numFmtId="4" fontId="3" fillId="0" borderId="0" xfId="1" applyNumberFormat="1" applyFill="1" applyProtection="1"/>
    <xf numFmtId="9" fontId="3" fillId="0" borderId="0" xfId="4" applyFont="1"/>
    <xf numFmtId="3" fontId="0" fillId="0" borderId="0" xfId="0" applyNumberFormat="1" applyFont="1" applyFill="1" applyProtection="1"/>
    <xf numFmtId="166" fontId="3" fillId="0" borderId="0" xfId="1" applyNumberFormat="1" applyFill="1" applyProtection="1"/>
    <xf numFmtId="3" fontId="25" fillId="0" borderId="0" xfId="0" applyNumberFormat="1" applyFont="1" applyFill="1" applyAlignment="1" applyProtection="1">
      <alignment horizontal="right"/>
    </xf>
    <xf numFmtId="3" fontId="26" fillId="0" borderId="0" xfId="0" applyNumberFormat="1" applyFont="1" applyFill="1" applyProtection="1"/>
    <xf numFmtId="3" fontId="27" fillId="0" borderId="0" xfId="0" applyNumberFormat="1" applyFont="1" applyFill="1" applyProtection="1"/>
    <xf numFmtId="3" fontId="26" fillId="0" borderId="0" xfId="0" applyNumberFormat="1" applyFont="1" applyFill="1" applyAlignment="1" applyProtection="1">
      <alignment horizontal="right"/>
    </xf>
    <xf numFmtId="3" fontId="28" fillId="0" borderId="0" xfId="0" applyNumberFormat="1" applyFont="1" applyFill="1" applyAlignment="1" applyProtection="1">
      <alignment horizontal="right"/>
    </xf>
    <xf numFmtId="0" fontId="3" fillId="0" borderId="0" xfId="4" applyNumberFormat="1" applyFont="1" applyFill="1" applyProtection="1"/>
    <xf numFmtId="3" fontId="29" fillId="0" borderId="0" xfId="0" applyNumberFormat="1" applyFont="1" applyAlignment="1">
      <alignment horizontal="right"/>
    </xf>
  </cellXfs>
  <cellStyles count="5">
    <cellStyle name="Normal" xfId="0" builtinId="0"/>
    <cellStyle name="Normal 2" xfId="1"/>
    <cellStyle name="Normal 3" xfId="3"/>
    <cellStyle name="Percent 2" xfId="2"/>
    <cellStyle name="Procent" xfId="4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7.vml"/><Relationship Id="rId3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abSelected="1" topLeftCell="A8" workbookViewId="0">
      <selection activeCell="B50" sqref="B50"/>
    </sheetView>
  </sheetViews>
  <sheetFormatPr baseColWidth="10" defaultColWidth="8.83203125" defaultRowHeight="15" x14ac:dyDescent="0.2"/>
  <cols>
    <col min="1" max="1" width="21.6640625" style="2" customWidth="1"/>
    <col min="2" max="21" width="10.1640625" style="2" customWidth="1"/>
    <col min="22" max="22" width="8.83203125" style="2"/>
    <col min="23" max="23" width="10.6640625" style="2" customWidth="1"/>
    <col min="24" max="16384" width="8.832031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67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66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9</v>
      </c>
      <c r="M3" s="6" t="s">
        <v>9</v>
      </c>
      <c r="N3" s="6"/>
      <c r="O3" s="7" t="s">
        <v>11</v>
      </c>
      <c r="P3" s="3"/>
      <c r="Q3" s="3"/>
      <c r="R3" s="3"/>
      <c r="S3" s="3"/>
      <c r="T3" s="3"/>
      <c r="U3" s="3"/>
    </row>
    <row r="4" spans="1:21" ht="15.75" x14ac:dyDescent="0.25">
      <c r="A4" s="8" t="s">
        <v>68</v>
      </c>
      <c r="B4" s="10">
        <f>SUM(Håbo:Östhammar!B4)</f>
        <v>6886.55</v>
      </c>
      <c r="C4" s="9"/>
      <c r="D4" s="16"/>
      <c r="P4" s="3"/>
      <c r="Q4" s="3"/>
      <c r="R4" s="3"/>
      <c r="S4" s="3"/>
      <c r="T4" s="3"/>
      <c r="U4" s="3"/>
    </row>
    <row r="5" spans="1:21" ht="15.75" x14ac:dyDescent="0.25">
      <c r="A5" s="5"/>
      <c r="B5" s="10"/>
      <c r="C5" s="39"/>
      <c r="D5" s="39"/>
      <c r="E5" s="39"/>
      <c r="F5" s="39"/>
      <c r="G5" s="39"/>
      <c r="P5" s="3"/>
      <c r="Q5" s="45"/>
      <c r="R5" s="3"/>
      <c r="S5" s="3"/>
      <c r="T5" s="3"/>
      <c r="U5" s="3"/>
    </row>
    <row r="6" spans="1:21" ht="16" x14ac:dyDescent="0.2">
      <c r="A6" s="8" t="s">
        <v>12</v>
      </c>
      <c r="B6" s="10">
        <f>SUM(Håbo:Östhammar!B6)</f>
        <v>189852</v>
      </c>
      <c r="C6" s="10">
        <f>SUM(Håbo:Östhammar!C6)</f>
        <v>0</v>
      </c>
      <c r="D6" s="10">
        <f>SUM(Håbo:Östhammar!D6)</f>
        <v>0</v>
      </c>
      <c r="E6" s="10">
        <f>SUM(Håbo:Östhammar!E6)</f>
        <v>0</v>
      </c>
      <c r="F6" s="10">
        <f>SUM(Håbo:Östhammar!F6)</f>
        <v>0</v>
      </c>
      <c r="G6" s="10">
        <f>SUM(Håbo:Östhammar!G6)</f>
        <v>0</v>
      </c>
      <c r="H6" s="10">
        <f>SUM(Håbo:Östhammar!H6)</f>
        <v>0</v>
      </c>
      <c r="I6" s="10">
        <f>SUM(Håbo:Östhammar!I6)</f>
        <v>0</v>
      </c>
      <c r="J6" s="10">
        <f>SUM(Håbo:Östhammar!J6)</f>
        <v>0</v>
      </c>
      <c r="K6" s="10">
        <f>SUM(Håbo:Östhammar!K6)</f>
        <v>0</v>
      </c>
      <c r="L6" s="10">
        <f>SUM(Håbo:Östhammar!L6)</f>
        <v>0</v>
      </c>
      <c r="M6" s="10">
        <f>SUM(Håbo:Östhammar!M6)</f>
        <v>0</v>
      </c>
      <c r="N6" s="10">
        <f>SUM(Håbo:Östhammar!N6)</f>
        <v>0</v>
      </c>
      <c r="O6" s="10">
        <f>SUM(C6:N6)</f>
        <v>0</v>
      </c>
      <c r="P6" s="3"/>
      <c r="Q6" s="46"/>
      <c r="R6" s="47"/>
      <c r="S6" s="3"/>
      <c r="T6" s="3"/>
      <c r="U6" s="3"/>
    </row>
    <row r="7" spans="1:21" ht="16" x14ac:dyDescent="0.2">
      <c r="A7" s="8" t="s">
        <v>13</v>
      </c>
      <c r="B7" s="10">
        <f>SUM(Håbo:Östhammar!B7)</f>
        <v>22509107.789853547</v>
      </c>
      <c r="C7" s="10">
        <f>SUM(Håbo:Östhammar!C7)</f>
        <v>1255</v>
      </c>
      <c r="D7" s="10">
        <f>SUM(Håbo:Östhammar!D7)</f>
        <v>0</v>
      </c>
      <c r="E7" s="10">
        <f>SUM(Håbo:Östhammar!E7)</f>
        <v>0</v>
      </c>
      <c r="F7" s="10">
        <f>SUM(Håbo:Östhammar!F7)</f>
        <v>0</v>
      </c>
      <c r="G7" s="10">
        <f>SUM(Håbo:Östhammar!G7)</f>
        <v>0</v>
      </c>
      <c r="H7" s="10">
        <f>SUM(Håbo:Östhammar!H7)</f>
        <v>0</v>
      </c>
      <c r="I7" s="10">
        <f>SUM(Håbo:Östhammar!I7)</f>
        <v>0</v>
      </c>
      <c r="J7" s="10">
        <f>SUM(Håbo:Östhammar!J7)</f>
        <v>0</v>
      </c>
      <c r="K7" s="10">
        <f>SUM(Håbo:Östhammar!K7)</f>
        <v>0</v>
      </c>
      <c r="L7" s="10">
        <f>SUM(Håbo:Östhammar!L7)</f>
        <v>58932365</v>
      </c>
      <c r="M7" s="10">
        <f>SUM(Håbo:Östhammar!M7)</f>
        <v>0</v>
      </c>
      <c r="N7" s="10">
        <f>SUM(Håbo:Östhammar!N7)</f>
        <v>0</v>
      </c>
      <c r="O7" s="10">
        <f>SUM(C7:N7)</f>
        <v>58933620</v>
      </c>
      <c r="P7" s="3"/>
      <c r="Q7" s="46"/>
      <c r="R7" s="47"/>
      <c r="S7" s="3"/>
      <c r="T7" s="3"/>
      <c r="U7" s="3"/>
    </row>
    <row r="8" spans="1:21" ht="15.75" x14ac:dyDescent="0.25">
      <c r="A8" s="8" t="s">
        <v>14</v>
      </c>
      <c r="B8" s="10">
        <f>SUM(Håbo:Östhammar!B8)</f>
        <v>1327164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0"/>
      <c r="P8" s="3"/>
      <c r="Q8" s="3"/>
      <c r="R8" s="3"/>
      <c r="S8" s="3"/>
      <c r="T8" s="3"/>
      <c r="U8" s="3"/>
    </row>
    <row r="9" spans="1:21" ht="15.75" x14ac:dyDescent="0.25">
      <c r="A9" s="8" t="s">
        <v>15</v>
      </c>
      <c r="B9" s="10">
        <f>SUM(Håbo:Östhammar!B9)</f>
        <v>35305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0"/>
      <c r="P9" s="3"/>
      <c r="Q9" s="3"/>
      <c r="R9" s="3"/>
      <c r="S9" s="3"/>
      <c r="T9" s="3"/>
      <c r="U9" s="3"/>
    </row>
    <row r="10" spans="1:21" ht="16" x14ac:dyDescent="0.2">
      <c r="A10" s="8" t="s">
        <v>16</v>
      </c>
      <c r="B10" s="10">
        <f>SUM(B4:B9)</f>
        <v>24068315.339853548</v>
      </c>
      <c r="C10" s="10">
        <f>SUM(C6:C9)</f>
        <v>1255</v>
      </c>
      <c r="D10" s="10">
        <f t="shared" ref="D10:O10" si="0">SUM(D6:D9)</f>
        <v>0</v>
      </c>
      <c r="E10" s="10">
        <f t="shared" si="0"/>
        <v>0</v>
      </c>
      <c r="F10" s="10">
        <f t="shared" si="0"/>
        <v>0</v>
      </c>
      <c r="G10" s="10">
        <f t="shared" si="0"/>
        <v>0</v>
      </c>
      <c r="H10" s="10">
        <f t="shared" si="0"/>
        <v>0</v>
      </c>
      <c r="I10" s="10">
        <f t="shared" si="0"/>
        <v>0</v>
      </c>
      <c r="J10" s="10">
        <f t="shared" si="0"/>
        <v>0</v>
      </c>
      <c r="K10" s="10">
        <f t="shared" si="0"/>
        <v>0</v>
      </c>
      <c r="L10" s="10">
        <f t="shared" si="0"/>
        <v>58932365</v>
      </c>
      <c r="M10" s="10">
        <f t="shared" si="0"/>
        <v>0</v>
      </c>
      <c r="N10" s="10">
        <f t="shared" si="0"/>
        <v>0</v>
      </c>
      <c r="O10" s="10">
        <f t="shared" si="0"/>
        <v>58933620</v>
      </c>
      <c r="P10" s="3"/>
      <c r="Q10" s="3"/>
      <c r="R10" s="3"/>
      <c r="S10" s="3"/>
      <c r="T10" s="3"/>
      <c r="U10" s="3"/>
    </row>
    <row r="11" spans="1:21" ht="15.75" x14ac:dyDescent="0.25">
      <c r="A11" s="48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3"/>
      <c r="Q11" s="3"/>
      <c r="R11" s="3"/>
      <c r="S11" s="3"/>
      <c r="T11" s="3"/>
      <c r="U11" s="3"/>
    </row>
    <row r="12" spans="1:21" ht="15.75" x14ac:dyDescent="0.25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3"/>
      <c r="Q12" s="3"/>
      <c r="R12" s="3"/>
      <c r="S12" s="3"/>
      <c r="T12" s="3"/>
      <c r="U12" s="3"/>
    </row>
    <row r="13" spans="1:21" ht="19" x14ac:dyDescent="0.25">
      <c r="A13" s="1" t="s">
        <v>17</v>
      </c>
      <c r="B13" s="41"/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16"/>
      <c r="O13" s="41"/>
      <c r="P13" s="3"/>
      <c r="Q13" s="3"/>
      <c r="R13" s="3"/>
      <c r="S13" s="3"/>
      <c r="T13" s="3"/>
      <c r="U13" s="3"/>
    </row>
    <row r="14" spans="1:21" ht="15.75" x14ac:dyDescent="0.25">
      <c r="A14" s="4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3"/>
      <c r="Q14" s="3"/>
      <c r="R14" s="3"/>
      <c r="S14" s="3"/>
      <c r="T14" s="3"/>
      <c r="U14" s="3"/>
    </row>
    <row r="15" spans="1:21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66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 t="s">
        <v>9</v>
      </c>
      <c r="N15" s="6" t="s">
        <v>10</v>
      </c>
      <c r="O15" s="16" t="s">
        <v>11</v>
      </c>
      <c r="P15" s="3"/>
      <c r="Q15" s="3"/>
      <c r="R15" s="3"/>
      <c r="S15" s="3"/>
      <c r="T15" s="3"/>
      <c r="U15" s="3"/>
    </row>
    <row r="16" spans="1:21" ht="15.75" x14ac:dyDescent="0.25">
      <c r="B16" s="16"/>
      <c r="C16" s="39"/>
      <c r="D16" s="39"/>
      <c r="E16" s="39"/>
      <c r="F16" s="39"/>
      <c r="G16" s="39"/>
      <c r="H16" s="16"/>
      <c r="I16" s="16"/>
      <c r="J16" s="16"/>
      <c r="K16" s="16"/>
      <c r="L16" s="16"/>
      <c r="M16" s="16"/>
      <c r="N16" s="16"/>
      <c r="O16" s="16"/>
      <c r="P16" s="3"/>
      <c r="Q16" s="45"/>
      <c r="R16" s="3"/>
      <c r="S16" s="3"/>
      <c r="T16" s="3"/>
      <c r="U16" s="3"/>
    </row>
    <row r="17" spans="1:24" ht="16" x14ac:dyDescent="0.2">
      <c r="A17" s="8" t="s">
        <v>20</v>
      </c>
      <c r="B17" s="10">
        <f>SUM(Håbo:Östhammar!B17)</f>
        <v>1442669</v>
      </c>
      <c r="C17" s="10">
        <f>SUM(Håbo:Östhammar!C17)</f>
        <v>25997</v>
      </c>
      <c r="D17" s="10">
        <f>SUM(Håbo:Östhammar!D17)</f>
        <v>0</v>
      </c>
      <c r="E17" s="10">
        <f>SUM(Håbo:Östhammar!E17)</f>
        <v>0</v>
      </c>
      <c r="F17" s="10">
        <f>SUM(Håbo:Östhammar!F17)</f>
        <v>0</v>
      </c>
      <c r="G17" s="10">
        <f>SUM(Håbo:Östhammar!G17)</f>
        <v>477581</v>
      </c>
      <c r="H17" s="10">
        <f>SUM(Håbo:Östhammar!H17)</f>
        <v>0</v>
      </c>
      <c r="I17" s="10">
        <f>SUM(Håbo:Östhammar!I17)</f>
        <v>0</v>
      </c>
      <c r="J17" s="10">
        <f>SUM(Håbo:Östhammar!J17)</f>
        <v>235402</v>
      </c>
      <c r="K17" s="10">
        <f>SUM(Håbo:Östhammar!K17)</f>
        <v>908400</v>
      </c>
      <c r="L17" s="10">
        <f>SUM(Håbo:Östhammar!L17)</f>
        <v>0</v>
      </c>
      <c r="M17" s="10">
        <f>SUM(Håbo:Östhammar!M17)</f>
        <v>0</v>
      </c>
      <c r="N17" s="10">
        <f>SUM(Håbo:Östhammar!N17)</f>
        <v>0</v>
      </c>
      <c r="O17" s="10">
        <f>SUM(C17:N17)</f>
        <v>1647380</v>
      </c>
      <c r="P17" s="3"/>
      <c r="Q17" s="46"/>
      <c r="R17" s="47"/>
      <c r="S17" s="3"/>
      <c r="T17" s="3"/>
      <c r="U17" s="3"/>
    </row>
    <row r="18" spans="1:24" ht="16" x14ac:dyDescent="0.2">
      <c r="A18" s="8" t="s">
        <v>21</v>
      </c>
      <c r="B18" s="10">
        <f>SUM(Håbo:Östhammar!B18)</f>
        <v>576260</v>
      </c>
      <c r="C18" s="10">
        <f>SUM(Håbo:Östhammar!C18)</f>
        <v>25271</v>
      </c>
      <c r="D18" s="10">
        <f>SUM(Håbo:Östhammar!D18)</f>
        <v>0</v>
      </c>
      <c r="E18" s="10">
        <f>SUM(Håbo:Östhammar!E18)</f>
        <v>0</v>
      </c>
      <c r="F18" s="10">
        <f>SUM(Håbo:Östhammar!F18)</f>
        <v>5261</v>
      </c>
      <c r="G18" s="10">
        <f>SUM(Håbo:Östhammar!G18)</f>
        <v>314784.88888888888</v>
      </c>
      <c r="H18" s="10">
        <f>SUM(Håbo:Östhammar!H18)</f>
        <v>0</v>
      </c>
      <c r="I18" s="10">
        <f>SUM(Håbo:Östhammar!I18)</f>
        <v>0</v>
      </c>
      <c r="J18" s="10">
        <f>SUM(Håbo:Östhammar!J18)</f>
        <v>101298</v>
      </c>
      <c r="K18" s="10">
        <f>SUM(Håbo:Östhammar!K18)</f>
        <v>180800</v>
      </c>
      <c r="L18" s="10">
        <f>SUM(Håbo:Östhammar!L18)</f>
        <v>0</v>
      </c>
      <c r="M18" s="10">
        <f>SUM(Håbo:Östhammar!M18)</f>
        <v>0</v>
      </c>
      <c r="N18" s="10">
        <f>SUM(Håbo:Östhammar!N18)</f>
        <v>100488.735</v>
      </c>
      <c r="O18" s="10">
        <f>SUM(C18:N18)</f>
        <v>727903.62388888886</v>
      </c>
      <c r="P18" s="3"/>
      <c r="Q18" s="46"/>
      <c r="R18" s="47"/>
      <c r="S18" s="3"/>
      <c r="T18" s="3"/>
      <c r="U18" s="3"/>
    </row>
    <row r="19" spans="1:24" ht="15.75" x14ac:dyDescent="0.25">
      <c r="A19" s="8" t="s">
        <v>22</v>
      </c>
      <c r="B19" s="10">
        <f>SUM(Håbo:Östhammar!B19)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  <c r="O19" s="10"/>
      <c r="P19" s="3"/>
      <c r="Q19" s="3"/>
      <c r="R19" s="3"/>
      <c r="S19" s="3"/>
      <c r="T19" s="3"/>
      <c r="U19" s="3"/>
    </row>
    <row r="20" spans="1:24" ht="16" x14ac:dyDescent="0.2">
      <c r="A20" s="8" t="s">
        <v>23</v>
      </c>
      <c r="B20" s="10">
        <f>SUM(Håbo:Östhammar!B20)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/>
      <c r="O20" s="10"/>
      <c r="P20" s="3"/>
      <c r="Q20" s="3"/>
      <c r="R20" s="3"/>
      <c r="S20" s="3"/>
      <c r="T20" s="3"/>
      <c r="U20" s="3"/>
    </row>
    <row r="21" spans="1:24" ht="16" x14ac:dyDescent="0.2">
      <c r="A21" s="8" t="s">
        <v>24</v>
      </c>
      <c r="B21" s="10">
        <f>SUM(Håbo:Östhammar!B21)</f>
        <v>58606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/>
      <c r="P21" s="3"/>
      <c r="Q21" s="3"/>
      <c r="R21" s="3"/>
      <c r="S21" s="3" t="s">
        <v>26</v>
      </c>
      <c r="T21" s="12">
        <f>O42/1000</f>
        <v>12064.295608834462</v>
      </c>
      <c r="U21" s="3"/>
    </row>
    <row r="22" spans="1:24" ht="16" x14ac:dyDescent="0.2">
      <c r="A22" s="8" t="s">
        <v>25</v>
      </c>
      <c r="B22" s="10">
        <f>SUM(Håbo:Östhammar!B22)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/>
      <c r="P22" s="3"/>
      <c r="Q22" s="3"/>
      <c r="R22" s="3"/>
      <c r="S22" s="3"/>
      <c r="T22" s="3"/>
      <c r="U22" s="3"/>
    </row>
    <row r="23" spans="1:24" ht="16" x14ac:dyDescent="0.2">
      <c r="A23" s="8" t="s">
        <v>16</v>
      </c>
      <c r="B23" s="10">
        <f>SUM(B17:B22)</f>
        <v>2077535</v>
      </c>
      <c r="C23" s="10">
        <f t="shared" ref="C23:O23" si="1">SUM(C17:C22)</f>
        <v>51268</v>
      </c>
      <c r="D23" s="10">
        <f t="shared" si="1"/>
        <v>0</v>
      </c>
      <c r="E23" s="10">
        <f t="shared" si="1"/>
        <v>0</v>
      </c>
      <c r="F23" s="10">
        <f t="shared" si="1"/>
        <v>5261</v>
      </c>
      <c r="G23" s="10">
        <f t="shared" si="1"/>
        <v>792365.88888888888</v>
      </c>
      <c r="H23" s="10">
        <f t="shared" si="1"/>
        <v>0</v>
      </c>
      <c r="I23" s="10">
        <f t="shared" si="1"/>
        <v>0</v>
      </c>
      <c r="J23" s="10">
        <f t="shared" si="1"/>
        <v>336700</v>
      </c>
      <c r="K23" s="10">
        <f t="shared" si="1"/>
        <v>1089200</v>
      </c>
      <c r="L23" s="10">
        <f t="shared" si="1"/>
        <v>0</v>
      </c>
      <c r="M23" s="10">
        <f t="shared" si="1"/>
        <v>0</v>
      </c>
      <c r="N23" s="10">
        <f t="shared" si="1"/>
        <v>100488.735</v>
      </c>
      <c r="O23" s="10">
        <f t="shared" si="1"/>
        <v>2375283.6238888889</v>
      </c>
      <c r="P23" s="3"/>
      <c r="Q23" s="3"/>
      <c r="R23" s="3"/>
      <c r="S23" s="3"/>
      <c r="T23" s="3" t="s">
        <v>27</v>
      </c>
      <c r="U23" s="3" t="s">
        <v>28</v>
      </c>
    </row>
    <row r="24" spans="1:24" ht="15.75" x14ac:dyDescent="0.25">
      <c r="A24" s="48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3"/>
      <c r="Q24" s="3"/>
      <c r="R24" s="3"/>
      <c r="S24" s="3" t="s">
        <v>10</v>
      </c>
      <c r="T24" s="13">
        <f>N42/1000</f>
        <v>3202.6609189641626</v>
      </c>
      <c r="U24" s="14">
        <f>N43</f>
        <v>0.26546605146337038</v>
      </c>
    </row>
    <row r="25" spans="1:24" ht="16" x14ac:dyDescent="0.2"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3"/>
      <c r="Q25" s="3"/>
      <c r="R25" s="3"/>
      <c r="S25" s="3" t="s">
        <v>66</v>
      </c>
      <c r="T25" s="13">
        <f>G42/1000</f>
        <v>1522.0248888888889</v>
      </c>
      <c r="U25" s="15">
        <f>G43</f>
        <v>0.12615944919107736</v>
      </c>
    </row>
    <row r="26" spans="1:24" ht="15.75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3"/>
      <c r="Q26" s="3"/>
      <c r="R26" s="3"/>
      <c r="S26" s="3" t="s">
        <v>7</v>
      </c>
      <c r="T26" s="13">
        <f>J42/1000</f>
        <v>336.7</v>
      </c>
      <c r="U26" s="14">
        <f>J43</f>
        <v>2.7908798898581427E-2</v>
      </c>
    </row>
    <row r="27" spans="1:24" ht="19" x14ac:dyDescent="0.25">
      <c r="A27" s="1" t="s">
        <v>29</v>
      </c>
      <c r="B27" s="41"/>
      <c r="C27" s="41"/>
      <c r="D27" s="41"/>
      <c r="E27" s="41"/>
      <c r="F27" s="41"/>
      <c r="G27" s="41"/>
      <c r="H27" s="16"/>
      <c r="I27" s="16"/>
      <c r="J27" s="16"/>
      <c r="K27" s="16"/>
      <c r="L27" s="16"/>
      <c r="M27" s="16"/>
      <c r="N27" s="16"/>
      <c r="O27" s="16"/>
      <c r="P27" s="3"/>
      <c r="Q27" s="3"/>
      <c r="R27" s="3"/>
      <c r="S27" s="3" t="s">
        <v>31</v>
      </c>
      <c r="T27" s="13">
        <f>F42/1000</f>
        <v>228.43600000000001</v>
      </c>
      <c r="U27" s="14">
        <f>F43</f>
        <v>1.8934880858914011E-2</v>
      </c>
    </row>
    <row r="28" spans="1:24" ht="15.75" x14ac:dyDescent="0.25">
      <c r="A28" s="4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3"/>
      <c r="Q28" s="3"/>
      <c r="R28" s="3"/>
      <c r="S28" s="3" t="s">
        <v>4</v>
      </c>
      <c r="T28" s="12">
        <f>E42/1000</f>
        <v>173.49136111111113</v>
      </c>
      <c r="U28" s="14">
        <f>E43</f>
        <v>1.4380562838999618E-2</v>
      </c>
    </row>
    <row r="29" spans="1:24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66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4">
        <f>D43</f>
        <v>0</v>
      </c>
    </row>
    <row r="30" spans="1:24" ht="15.75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3"/>
      <c r="Q30" s="3"/>
      <c r="R30" s="3"/>
      <c r="S30" s="2" t="s">
        <v>8</v>
      </c>
      <c r="T30" s="2">
        <f>K42/1000</f>
        <v>1089.2</v>
      </c>
      <c r="U30" s="44">
        <f>K43</f>
        <v>9.0282933651128286E-2</v>
      </c>
      <c r="W30" s="45"/>
    </row>
    <row r="31" spans="1:24" ht="15.75" x14ac:dyDescent="0.25">
      <c r="A31" s="5" t="s">
        <v>33</v>
      </c>
      <c r="B31" s="10">
        <f>SUM(Håbo:Östhammar!B31)</f>
        <v>0</v>
      </c>
      <c r="C31" s="10">
        <f>SUM(Håbo:Östhammar!C31)</f>
        <v>140780</v>
      </c>
      <c r="D31" s="10">
        <f>SUM(Håbo:Östhammar!D31)</f>
        <v>0</v>
      </c>
      <c r="E31" s="10">
        <f>SUM(Håbo:Östhammar!E31)</f>
        <v>0</v>
      </c>
      <c r="F31" s="10">
        <f>SUM(Håbo:Östhammar!F31)</f>
        <v>13521</v>
      </c>
      <c r="G31" s="10">
        <f>SUM(Håbo:Östhammar!G31)</f>
        <v>0</v>
      </c>
      <c r="H31" s="10">
        <f>SUM(Håbo:Östhammar!H31)</f>
        <v>0</v>
      </c>
      <c r="I31" s="10">
        <f>SUM(Håbo:Östhammar!I31)</f>
        <v>0</v>
      </c>
      <c r="J31" s="10">
        <f>SUM(Håbo:Östhammar!J31)</f>
        <v>0</v>
      </c>
      <c r="K31" s="10">
        <f>SUM(Håbo:Östhammar!K31)</f>
        <v>0</v>
      </c>
      <c r="L31" s="10">
        <f>SUM(Håbo:Östhammar!L31)</f>
        <v>0</v>
      </c>
      <c r="M31" s="10">
        <f>SUM(Håbo:Östhammar!M31)</f>
        <v>0</v>
      </c>
      <c r="N31" s="10">
        <f>SUM(Håbo:Östhammar!N31)</f>
        <v>118922</v>
      </c>
      <c r="O31" s="10">
        <f>SUM(B31:N31)</f>
        <v>273223</v>
      </c>
      <c r="P31" s="18">
        <f>O31/O$39</f>
        <v>2.3834650978757775E-2</v>
      </c>
      <c r="Q31" s="19" t="s">
        <v>34</v>
      </c>
      <c r="R31" s="3"/>
      <c r="S31" s="3" t="s">
        <v>5</v>
      </c>
      <c r="T31" s="13">
        <f>I42/1000</f>
        <v>2585</v>
      </c>
      <c r="U31" s="14">
        <f>I43</f>
        <v>0.21426862237253635</v>
      </c>
      <c r="W31" s="47"/>
      <c r="X31" s="47"/>
    </row>
    <row r="32" spans="1:24" ht="15.75" x14ac:dyDescent="0.25">
      <c r="A32" s="5" t="s">
        <v>36</v>
      </c>
      <c r="B32" s="10">
        <f>SUM(Håbo:Östhammar!B32)</f>
        <v>171585.61144408007</v>
      </c>
      <c r="C32" s="10">
        <f>SUM(Håbo:Östhammar!C32)</f>
        <v>57991.689870300441</v>
      </c>
      <c r="D32" s="10">
        <f>SUM(Håbo:Östhammar!D32)</f>
        <v>0</v>
      </c>
      <c r="E32" s="10">
        <f>SUM(Håbo:Östhammar!E32)</f>
        <v>165076</v>
      </c>
      <c r="F32" s="10">
        <f>SUM(Håbo:Östhammar!F32)</f>
        <v>0</v>
      </c>
      <c r="G32" s="10">
        <f>SUM(Håbo:Östhammar!G32)</f>
        <v>380000</v>
      </c>
      <c r="H32" s="10">
        <f>SUM(Håbo:Östhammar!H32)</f>
        <v>0</v>
      </c>
      <c r="I32" s="10">
        <f>SUM(Håbo:Östhammar!I32)</f>
        <v>2585000</v>
      </c>
      <c r="J32" s="10">
        <f>SUM(Håbo:Östhammar!J32)</f>
        <v>0</v>
      </c>
      <c r="K32" s="10">
        <f>SUM(Håbo:Östhammar!K32)</f>
        <v>0</v>
      </c>
      <c r="L32" s="10">
        <f>SUM(Håbo:Östhammar!L32)</f>
        <v>0</v>
      </c>
      <c r="M32" s="10">
        <f>SUM(Håbo:Östhammar!M32)</f>
        <v>0</v>
      </c>
      <c r="N32" s="10">
        <f>SUM(Håbo:Östhammar!N32)</f>
        <v>457618.31012969953</v>
      </c>
      <c r="O32" s="10">
        <f t="shared" ref="O32:O38" si="2">SUM(B32:N32)</f>
        <v>3817271.6114440802</v>
      </c>
      <c r="P32" s="18">
        <f>O32/O$39</f>
        <v>0.33300028383368135</v>
      </c>
      <c r="Q32" s="19" t="s">
        <v>37</v>
      </c>
      <c r="R32" s="3"/>
      <c r="S32" s="3" t="s">
        <v>6</v>
      </c>
      <c r="T32" s="13">
        <f>H42/1000</f>
        <v>34.152749999999997</v>
      </c>
      <c r="U32" s="14">
        <f>H43</f>
        <v>2.8308946586977335E-3</v>
      </c>
      <c r="W32" s="47"/>
      <c r="X32" s="47"/>
    </row>
    <row r="33" spans="1:48" ht="15.75" x14ac:dyDescent="0.25">
      <c r="A33" s="5" t="s">
        <v>38</v>
      </c>
      <c r="B33" s="10">
        <f>SUM(Håbo:Östhammar!B33)</f>
        <v>288177.75819229276</v>
      </c>
      <c r="C33" s="10">
        <f>SUM(Håbo:Östhammar!C33)</f>
        <v>10549</v>
      </c>
      <c r="D33" s="10">
        <f>SUM(Håbo:Östhammar!D33)</f>
        <v>0</v>
      </c>
      <c r="E33" s="10">
        <f>SUM(Håbo:Östhammar!E33)</f>
        <v>0</v>
      </c>
      <c r="F33" s="10">
        <f>SUM(Håbo:Östhammar!F33)</f>
        <v>0</v>
      </c>
      <c r="G33" s="10">
        <f>SUM(Håbo:Östhammar!G33)</f>
        <v>0</v>
      </c>
      <c r="H33" s="10">
        <f>SUM(Håbo:Östhammar!H33)</f>
        <v>0</v>
      </c>
      <c r="I33" s="10">
        <f>SUM(Håbo:Östhammar!I33)</f>
        <v>0</v>
      </c>
      <c r="J33" s="10">
        <f>SUM(Håbo:Östhammar!J33)</f>
        <v>0</v>
      </c>
      <c r="K33" s="10">
        <f>SUM(Håbo:Östhammar!K33)</f>
        <v>0</v>
      </c>
      <c r="L33" s="10">
        <f>SUM(Håbo:Östhammar!L33)</f>
        <v>0</v>
      </c>
      <c r="M33" s="10">
        <f>SUM(Håbo:Östhammar!M33)</f>
        <v>0</v>
      </c>
      <c r="N33" s="10">
        <f>SUM(Håbo:Östhammar!N33)</f>
        <v>326522.87305352173</v>
      </c>
      <c r="O33" s="10">
        <f t="shared" si="2"/>
        <v>625249.6312458145</v>
      </c>
      <c r="P33" s="18">
        <f>O33/O$39</f>
        <v>5.4543749008469242E-2</v>
      </c>
      <c r="Q33" s="19" t="s">
        <v>39</v>
      </c>
      <c r="R33" s="3"/>
      <c r="S33" s="3" t="s">
        <v>35</v>
      </c>
      <c r="T33" s="13">
        <f>C42/1000</f>
        <v>2892.6296898703004</v>
      </c>
      <c r="U33" s="15">
        <f>C43</f>
        <v>0.2397678060666949</v>
      </c>
      <c r="W33" s="47"/>
      <c r="X33" s="47"/>
    </row>
    <row r="34" spans="1:48" ht="15.75" x14ac:dyDescent="0.25">
      <c r="A34" s="5" t="s">
        <v>40</v>
      </c>
      <c r="B34" s="10">
        <f>SUM(Håbo:Östhammar!B34)</f>
        <v>0</v>
      </c>
      <c r="C34" s="10">
        <f>SUM(Håbo:Östhammar!C34)</f>
        <v>2592576</v>
      </c>
      <c r="D34" s="10">
        <f>SUM(Håbo:Östhammar!D34)</f>
        <v>0</v>
      </c>
      <c r="E34" s="77">
        <f>766*39.55/3.6</f>
        <v>8415.3611111111113</v>
      </c>
      <c r="F34" s="10">
        <f>SUM(Håbo:Östhammar!F34)</f>
        <v>209654</v>
      </c>
      <c r="G34" s="10">
        <f>SUM(Håbo:Östhammar!G34)</f>
        <v>0</v>
      </c>
      <c r="H34" s="77">
        <f>3483*35.3/3.6</f>
        <v>34152.75</v>
      </c>
      <c r="I34" s="10">
        <f>SUM(Håbo:Östhammar!I34)</f>
        <v>0</v>
      </c>
      <c r="J34" s="10">
        <f>SUM(Håbo:Östhammar!J34)</f>
        <v>0</v>
      </c>
      <c r="K34" s="10">
        <f>SUM(Håbo:Östhammar!K34)</f>
        <v>0</v>
      </c>
      <c r="L34" s="10">
        <f>SUM(Håbo:Östhammar!L34)</f>
        <v>0</v>
      </c>
      <c r="M34" s="10">
        <f>SUM(Håbo:Östhammar!M34)</f>
        <v>0</v>
      </c>
      <c r="N34" s="10">
        <f>SUM(Håbo:Östhammar!N34)</f>
        <v>4802</v>
      </c>
      <c r="O34" s="10">
        <f t="shared" si="2"/>
        <v>2849600.111111111</v>
      </c>
      <c r="P34" s="18">
        <f>O34/O$39</f>
        <v>0.24858530971903064</v>
      </c>
      <c r="Q34" s="19" t="s">
        <v>41</v>
      </c>
      <c r="R34" s="3"/>
      <c r="S34" s="3"/>
      <c r="T34" s="13">
        <f>SUM(T24:T33)</f>
        <v>12064.295608834462</v>
      </c>
      <c r="U34" s="14">
        <f>SUM(U24:U33)</f>
        <v>1</v>
      </c>
      <c r="W34" s="47"/>
      <c r="X34" s="47"/>
    </row>
    <row r="35" spans="1:48" ht="16" x14ac:dyDescent="0.2">
      <c r="A35" s="5" t="s">
        <v>42</v>
      </c>
      <c r="B35" s="10">
        <f>SUM(Håbo:Östhammar!B35)</f>
        <v>319327.63036362716</v>
      </c>
      <c r="C35" s="10">
        <f>SUM(Håbo:Östhammar!C35)</f>
        <v>33162</v>
      </c>
      <c r="D35" s="10">
        <f>SUM(Håbo:Östhammar!D35)</f>
        <v>0</v>
      </c>
      <c r="E35" s="10">
        <f>SUM(Håbo:Östhammar!E35)</f>
        <v>0</v>
      </c>
      <c r="F35" s="10">
        <f>SUM(Håbo:Östhammar!F35)</f>
        <v>0</v>
      </c>
      <c r="G35" s="10">
        <f>SUM(Håbo:Östhammar!G35)</f>
        <v>0</v>
      </c>
      <c r="H35" s="10">
        <f>SUM(Håbo:Östhammar!H35)</f>
        <v>0</v>
      </c>
      <c r="I35" s="10">
        <f>SUM(Håbo:Östhammar!I35)</f>
        <v>0</v>
      </c>
      <c r="J35" s="10">
        <f>SUM(Håbo:Östhammar!J35)</f>
        <v>0</v>
      </c>
      <c r="K35" s="10">
        <f>SUM(Håbo:Östhammar!K35)</f>
        <v>0</v>
      </c>
      <c r="L35" s="10">
        <f>SUM(Håbo:Östhammar!L35)</f>
        <v>0</v>
      </c>
      <c r="M35" s="10">
        <f>SUM(Håbo:Östhammar!M35)</f>
        <v>0</v>
      </c>
      <c r="N35" s="10">
        <f>SUM(Håbo:Östhammar!N35)</f>
        <v>965496.35752433655</v>
      </c>
      <c r="O35" s="10">
        <f t="shared" si="2"/>
        <v>1317985.9878879637</v>
      </c>
      <c r="P35" s="18">
        <f>O35/O$39</f>
        <v>0.11497471302270632</v>
      </c>
      <c r="Q35" s="19" t="s">
        <v>43</v>
      </c>
      <c r="R35" s="19"/>
      <c r="W35" s="47"/>
      <c r="X35" s="47"/>
    </row>
    <row r="36" spans="1:48" ht="16" x14ac:dyDescent="0.2">
      <c r="A36" s="5" t="s">
        <v>44</v>
      </c>
      <c r="B36" s="10">
        <f>SUM(Håbo:Östhammar!B36)</f>
        <v>205104</v>
      </c>
      <c r="C36" s="10">
        <f>SUM(Håbo:Östhammar!C36)</f>
        <v>6080</v>
      </c>
      <c r="D36" s="10">
        <f>SUM(Håbo:Östhammar!D36)</f>
        <v>0</v>
      </c>
      <c r="E36" s="10">
        <f>SUM(Håbo:Östhammar!E36)</f>
        <v>0</v>
      </c>
      <c r="F36" s="10">
        <f>SUM(Håbo:Östhammar!F36)</f>
        <v>0</v>
      </c>
      <c r="G36" s="10">
        <f>SUM(Håbo:Östhammar!G36)</f>
        <v>349659</v>
      </c>
      <c r="H36" s="10">
        <f>SUM(Håbo:Östhammar!H36)</f>
        <v>0</v>
      </c>
      <c r="I36" s="10">
        <f>SUM(Håbo:Östhammar!I36)</f>
        <v>0</v>
      </c>
      <c r="J36" s="10">
        <f>SUM(Håbo:Östhammar!J36)</f>
        <v>0</v>
      </c>
      <c r="K36" s="10">
        <f>SUM(Håbo:Östhammar!K36)</f>
        <v>0</v>
      </c>
      <c r="L36" s="10">
        <f>SUM(Håbo:Östhammar!L36)</f>
        <v>0</v>
      </c>
      <c r="M36" s="10">
        <f>SUM(Håbo:Östhammar!M36)</f>
        <v>0</v>
      </c>
      <c r="N36" s="10">
        <f>SUM(Håbo:Östhammar!N36)</f>
        <v>857818</v>
      </c>
      <c r="O36" s="10">
        <f t="shared" si="2"/>
        <v>1418661</v>
      </c>
      <c r="P36" s="19"/>
      <c r="Q36" s="19"/>
      <c r="R36" s="3"/>
      <c r="S36" s="7"/>
      <c r="T36" s="7"/>
      <c r="U36" s="7"/>
      <c r="W36" s="47"/>
      <c r="X36" s="47"/>
    </row>
    <row r="37" spans="1:48" ht="15.75" x14ac:dyDescent="0.25">
      <c r="A37" s="5" t="s">
        <v>45</v>
      </c>
      <c r="B37" s="10">
        <f>SUM(Håbo:Östhammar!B37)</f>
        <v>844063</v>
      </c>
      <c r="C37" s="10">
        <f>SUM(Håbo:Östhammar!C37)</f>
        <v>223</v>
      </c>
      <c r="D37" s="10">
        <f>SUM(Håbo:Östhammar!D37)</f>
        <v>0</v>
      </c>
      <c r="E37" s="10">
        <f>SUM(Håbo:Östhammar!E37)</f>
        <v>0</v>
      </c>
      <c r="F37" s="10">
        <f>SUM(Håbo:Östhammar!F37)</f>
        <v>0</v>
      </c>
      <c r="G37" s="10">
        <f>SUM(Håbo:Östhammar!G37)</f>
        <v>0</v>
      </c>
      <c r="H37" s="10">
        <f>SUM(Håbo:Östhammar!H37)</f>
        <v>0</v>
      </c>
      <c r="I37" s="10">
        <f>SUM(Håbo:Östhammar!I37)</f>
        <v>0</v>
      </c>
      <c r="J37" s="10">
        <f>SUM(Håbo:Östhammar!J37)</f>
        <v>0</v>
      </c>
      <c r="K37" s="10">
        <f>SUM(Håbo:Östhammar!K37)</f>
        <v>0</v>
      </c>
      <c r="L37" s="10">
        <f>SUM(Håbo:Östhammar!L37)</f>
        <v>0</v>
      </c>
      <c r="M37" s="10">
        <f>SUM(Håbo:Östhammar!M37)</f>
        <v>0</v>
      </c>
      <c r="N37" s="10">
        <f>SUM(Håbo:Östhammar!N37)</f>
        <v>196467</v>
      </c>
      <c r="O37" s="10">
        <f t="shared" si="2"/>
        <v>1040753</v>
      </c>
      <c r="P37" s="19"/>
      <c r="Q37" s="19"/>
      <c r="R37" s="3"/>
      <c r="S37" s="7"/>
      <c r="T37" s="7" t="s">
        <v>27</v>
      </c>
      <c r="U37" s="7" t="s">
        <v>28</v>
      </c>
      <c r="W37" s="47"/>
      <c r="X37" s="47"/>
    </row>
    <row r="38" spans="1:48" ht="16" x14ac:dyDescent="0.2">
      <c r="A38" s="5" t="s">
        <v>46</v>
      </c>
      <c r="B38" s="10">
        <f>SUM(Håbo:Östhammar!B38)</f>
        <v>0</v>
      </c>
      <c r="C38" s="10">
        <f>SUM(Håbo:Östhammar!C38)</f>
        <v>0</v>
      </c>
      <c r="D38" s="10">
        <f>SUM(Håbo:Östhammar!D38)</f>
        <v>0</v>
      </c>
      <c r="E38" s="10">
        <f>SUM(Håbo:Östhammar!E38)</f>
        <v>0</v>
      </c>
      <c r="F38" s="10">
        <f>SUM(Håbo:Östhammar!F38)</f>
        <v>0</v>
      </c>
      <c r="G38" s="10">
        <f>SUM(Håbo:Östhammar!G38)</f>
        <v>0</v>
      </c>
      <c r="H38" s="10">
        <f>SUM(Håbo:Östhammar!H38)</f>
        <v>0</v>
      </c>
      <c r="I38" s="10">
        <f>SUM(Håbo:Östhammar!I38)</f>
        <v>0</v>
      </c>
      <c r="J38" s="10">
        <f>SUM(Håbo:Östhammar!J38)</f>
        <v>0</v>
      </c>
      <c r="K38" s="10">
        <f>SUM(Håbo:Östhammar!K38)</f>
        <v>0</v>
      </c>
      <c r="L38" s="10">
        <f>SUM(Håbo:Östhammar!L38)</f>
        <v>0</v>
      </c>
      <c r="M38" s="10">
        <f>SUM(Håbo:Östhammar!M38)</f>
        <v>0</v>
      </c>
      <c r="N38" s="10">
        <f>SUM(Håbo:Östhammar!N38)</f>
        <v>120524</v>
      </c>
      <c r="O38" s="10">
        <f t="shared" si="2"/>
        <v>120524</v>
      </c>
      <c r="P38" s="19">
        <f>SUM(P31:P35)</f>
        <v>0.77493870656264541</v>
      </c>
      <c r="Q38" s="19"/>
      <c r="R38" s="3"/>
      <c r="S38" s="7" t="s">
        <v>47</v>
      </c>
      <c r="T38" s="20">
        <f>O45/1000</f>
        <v>493.13064325660469</v>
      </c>
      <c r="U38" s="7"/>
      <c r="W38" s="47"/>
      <c r="X38" s="47"/>
    </row>
    <row r="39" spans="1:48" ht="16" x14ac:dyDescent="0.2">
      <c r="A39" s="5" t="s">
        <v>16</v>
      </c>
      <c r="B39" s="10">
        <f>SUM(B31:B38)</f>
        <v>1828258</v>
      </c>
      <c r="C39" s="10">
        <f t="shared" ref="C39:O39" si="3">SUM(C31:C38)</f>
        <v>2841361.6898703002</v>
      </c>
      <c r="D39" s="10">
        <f t="shared" si="3"/>
        <v>0</v>
      </c>
      <c r="E39" s="10">
        <f t="shared" si="3"/>
        <v>173491.36111111112</v>
      </c>
      <c r="F39" s="10">
        <f t="shared" si="3"/>
        <v>223175</v>
      </c>
      <c r="G39" s="10">
        <f t="shared" si="3"/>
        <v>729659</v>
      </c>
      <c r="H39" s="10">
        <f t="shared" si="3"/>
        <v>34152.75</v>
      </c>
      <c r="I39" s="10">
        <f t="shared" si="3"/>
        <v>2585000</v>
      </c>
      <c r="J39" s="10">
        <f t="shared" si="3"/>
        <v>0</v>
      </c>
      <c r="K39" s="10">
        <f t="shared" si="3"/>
        <v>0</v>
      </c>
      <c r="L39" s="10">
        <f t="shared" si="3"/>
        <v>0</v>
      </c>
      <c r="M39" s="10">
        <f t="shared" si="3"/>
        <v>0</v>
      </c>
      <c r="N39" s="10">
        <f t="shared" si="3"/>
        <v>3048170.5407075579</v>
      </c>
      <c r="O39" s="10">
        <f t="shared" si="3"/>
        <v>11463268.341688968</v>
      </c>
      <c r="P39" s="3"/>
      <c r="Q39" s="3"/>
      <c r="R39" s="3"/>
      <c r="S39" s="7" t="s">
        <v>48</v>
      </c>
      <c r="T39" s="21">
        <f>O41/1000</f>
        <v>2579.9380000000001</v>
      </c>
      <c r="U39" s="14">
        <f>P41</f>
        <v>0.22506129343735476</v>
      </c>
    </row>
    <row r="40" spans="1:48" x14ac:dyDescent="0.2">
      <c r="S40" s="7" t="s">
        <v>49</v>
      </c>
      <c r="T40" s="21">
        <f>O35/1000</f>
        <v>1317.9859878879636</v>
      </c>
      <c r="U40" s="15">
        <f>P35</f>
        <v>0.11497471302270632</v>
      </c>
    </row>
    <row r="41" spans="1:48" ht="16" x14ac:dyDescent="0.2">
      <c r="A41" s="22" t="s">
        <v>50</v>
      </c>
      <c r="B41" s="23">
        <f>B38+B37+B36</f>
        <v>1049167</v>
      </c>
      <c r="C41" s="23">
        <f t="shared" ref="C41:O41" si="4">C38+C37+C36</f>
        <v>6303</v>
      </c>
      <c r="D41" s="23">
        <f t="shared" si="4"/>
        <v>0</v>
      </c>
      <c r="E41" s="23">
        <f t="shared" si="4"/>
        <v>0</v>
      </c>
      <c r="F41" s="23">
        <f t="shared" si="4"/>
        <v>0</v>
      </c>
      <c r="G41" s="23">
        <f t="shared" si="4"/>
        <v>349659</v>
      </c>
      <c r="H41" s="23">
        <f t="shared" si="4"/>
        <v>0</v>
      </c>
      <c r="I41" s="23">
        <f t="shared" si="4"/>
        <v>0</v>
      </c>
      <c r="J41" s="23">
        <f t="shared" si="4"/>
        <v>0</v>
      </c>
      <c r="K41" s="23">
        <f t="shared" si="4"/>
        <v>0</v>
      </c>
      <c r="L41" s="23">
        <f t="shared" si="4"/>
        <v>0</v>
      </c>
      <c r="M41" s="23">
        <f t="shared" si="4"/>
        <v>0</v>
      </c>
      <c r="N41" s="23">
        <f t="shared" si="4"/>
        <v>1174809</v>
      </c>
      <c r="O41" s="23">
        <f t="shared" si="4"/>
        <v>2579938</v>
      </c>
      <c r="P41" s="18">
        <f>O41/O$39</f>
        <v>0.22506129343735476</v>
      </c>
      <c r="Q41" s="18" t="s">
        <v>51</v>
      </c>
      <c r="R41" s="7"/>
      <c r="S41" s="7" t="s">
        <v>52</v>
      </c>
      <c r="T41" s="21">
        <f>O33/1000</f>
        <v>625.2496312458145</v>
      </c>
      <c r="U41" s="14">
        <f>P33</f>
        <v>5.4543749008469242E-2</v>
      </c>
    </row>
    <row r="42" spans="1:48" ht="16" x14ac:dyDescent="0.2">
      <c r="A42" s="24" t="s">
        <v>53</v>
      </c>
      <c r="B42" s="23"/>
      <c r="C42" s="25">
        <f>C39+C23</f>
        <v>2892629.6898703002</v>
      </c>
      <c r="D42" s="25">
        <f t="shared" ref="D42:M42" si="5">D39+D23+D10</f>
        <v>0</v>
      </c>
      <c r="E42" s="25">
        <f t="shared" si="5"/>
        <v>173491.36111111112</v>
      </c>
      <c r="F42" s="25">
        <f t="shared" si="5"/>
        <v>228436</v>
      </c>
      <c r="G42" s="25">
        <f t="shared" si="5"/>
        <v>1522024.888888889</v>
      </c>
      <c r="H42" s="25">
        <f t="shared" si="5"/>
        <v>34152.75</v>
      </c>
      <c r="I42" s="25">
        <f t="shared" si="5"/>
        <v>2585000</v>
      </c>
      <c r="J42" s="25">
        <f t="shared" si="5"/>
        <v>336700</v>
      </c>
      <c r="K42" s="25">
        <f t="shared" si="5"/>
        <v>1089200</v>
      </c>
      <c r="L42" s="25">
        <f>L39+L23</f>
        <v>0</v>
      </c>
      <c r="M42" s="25">
        <f t="shared" si="5"/>
        <v>0</v>
      </c>
      <c r="N42" s="25">
        <f>N39+N23-B6+N45</f>
        <v>3202660.9189641625</v>
      </c>
      <c r="O42" s="26">
        <f>SUM(C42:N42)</f>
        <v>12064295.608834462</v>
      </c>
      <c r="P42" s="7"/>
      <c r="Q42" s="7"/>
      <c r="R42" s="7"/>
      <c r="S42" s="7" t="s">
        <v>34</v>
      </c>
      <c r="T42" s="21">
        <f>O31/1000</f>
        <v>273.22300000000001</v>
      </c>
      <c r="U42" s="14">
        <f>P31</f>
        <v>2.3834650978757775E-2</v>
      </c>
    </row>
    <row r="43" spans="1:48" ht="16" x14ac:dyDescent="0.2">
      <c r="A43" s="24" t="s">
        <v>54</v>
      </c>
      <c r="B43" s="23"/>
      <c r="C43" s="18">
        <f t="shared" ref="C43:N43" si="6">C42/$O42</f>
        <v>0.2397678060666949</v>
      </c>
      <c r="D43" s="18">
        <f t="shared" si="6"/>
        <v>0</v>
      </c>
      <c r="E43" s="18">
        <f t="shared" si="6"/>
        <v>1.4380562838999618E-2</v>
      </c>
      <c r="F43" s="18">
        <f t="shared" si="6"/>
        <v>1.8934880858914011E-2</v>
      </c>
      <c r="G43" s="18">
        <f t="shared" si="6"/>
        <v>0.12615944919107736</v>
      </c>
      <c r="H43" s="18">
        <f t="shared" si="6"/>
        <v>2.8308946586977335E-3</v>
      </c>
      <c r="I43" s="18">
        <f t="shared" si="6"/>
        <v>0.21426862237253635</v>
      </c>
      <c r="J43" s="18">
        <f t="shared" si="6"/>
        <v>2.7908798898581427E-2</v>
      </c>
      <c r="K43" s="18">
        <f t="shared" si="6"/>
        <v>9.0282933651128286E-2</v>
      </c>
      <c r="L43" s="18">
        <f t="shared" si="6"/>
        <v>0</v>
      </c>
      <c r="M43" s="18">
        <f t="shared" si="6"/>
        <v>0</v>
      </c>
      <c r="N43" s="18">
        <f t="shared" si="6"/>
        <v>0.26546605146337038</v>
      </c>
      <c r="O43" s="18">
        <f>SUM(C43:N43)</f>
        <v>1</v>
      </c>
      <c r="P43" s="7"/>
      <c r="Q43" s="7"/>
      <c r="R43" s="7"/>
      <c r="S43" s="7" t="s">
        <v>55</v>
      </c>
      <c r="T43" s="21">
        <f>O32/1000</f>
        <v>3817.2716114440805</v>
      </c>
      <c r="U43" s="15">
        <f>P32</f>
        <v>0.33300028383368135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1">
        <f>O34/1000</f>
        <v>2849.6001111111109</v>
      </c>
      <c r="U44" s="15">
        <f>P34</f>
        <v>0.24858530971903064</v>
      </c>
    </row>
    <row r="45" spans="1:48" ht="16" x14ac:dyDescent="0.2">
      <c r="A45" s="6" t="s">
        <v>57</v>
      </c>
      <c r="B45" s="6">
        <f>B23-B39</f>
        <v>249277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7">
        <f>N39*0.08</f>
        <v>243853.64325660464</v>
      </c>
      <c r="O45" s="26">
        <f>B45+N45</f>
        <v>493130.64325660467</v>
      </c>
      <c r="P45" s="7"/>
      <c r="Q45" s="7"/>
      <c r="R45" s="7"/>
      <c r="S45" s="7" t="s">
        <v>58</v>
      </c>
      <c r="T45" s="21">
        <f>SUM(T39:T44)</f>
        <v>11463.268341688969</v>
      </c>
      <c r="U45" s="14">
        <f>SUM(U39:U44)</f>
        <v>1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5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9"/>
      <c r="Q47" s="17"/>
      <c r="R47" s="4"/>
      <c r="S47" s="4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4"/>
      <c r="AI47" s="4"/>
      <c r="AJ47" s="42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</row>
    <row r="48" spans="1:48" x14ac:dyDescent="0.2">
      <c r="A48" s="45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17"/>
      <c r="Q48" s="17"/>
      <c r="R48" s="17"/>
      <c r="S48" s="4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4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</row>
    <row r="49" spans="1:48" x14ac:dyDescent="0.2">
      <c r="A49" s="17"/>
      <c r="B49" s="9"/>
      <c r="C49" s="42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42"/>
      <c r="Q49" s="9"/>
      <c r="R49" s="17"/>
      <c r="S49" s="4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4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</row>
    <row r="50" spans="1:48" x14ac:dyDescent="0.2">
      <c r="A50" s="17"/>
      <c r="B50" s="9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4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4"/>
      <c r="AJ50" s="42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</row>
    <row r="51" spans="1:48" x14ac:dyDescent="0.2">
      <c r="A51" s="17"/>
      <c r="B51" s="4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4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4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</row>
    <row r="52" spans="1:48" x14ac:dyDescent="0.2">
      <c r="A52" s="17"/>
      <c r="B52" s="9"/>
      <c r="C52" s="42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42"/>
      <c r="Q52" s="17"/>
      <c r="R52" s="17"/>
      <c r="S52" s="4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4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</row>
    <row r="53" spans="1:48" x14ac:dyDescent="0.2">
      <c r="A53" s="17"/>
      <c r="B53" s="9"/>
      <c r="C53" s="42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42"/>
      <c r="Q53" s="17"/>
      <c r="R53" s="17"/>
      <c r="S53" s="4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4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</row>
    <row r="54" spans="1:48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4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4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</row>
    <row r="55" spans="1:48" x14ac:dyDescent="0.2">
      <c r="A55" s="17"/>
      <c r="B55" s="17"/>
      <c r="C55" s="17"/>
      <c r="D55" s="17"/>
      <c r="E55" s="42"/>
      <c r="F55" s="42"/>
      <c r="G55" s="42"/>
      <c r="H55" s="42"/>
      <c r="I55" s="42"/>
      <c r="J55" s="42"/>
      <c r="K55" s="42"/>
      <c r="L55" s="42"/>
      <c r="M55" s="42"/>
      <c r="N55" s="17"/>
      <c r="O55" s="17"/>
      <c r="P55" s="17"/>
      <c r="Q55" s="17"/>
      <c r="R55" s="17"/>
      <c r="S55" s="4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4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</row>
    <row r="56" spans="1:48" x14ac:dyDescent="0.2">
      <c r="A56" s="17"/>
      <c r="B56" s="4"/>
      <c r="C56" s="17"/>
      <c r="D56" s="17"/>
      <c r="E56" s="42"/>
      <c r="F56" s="42"/>
      <c r="G56" s="42"/>
      <c r="H56" s="42"/>
      <c r="I56" s="6"/>
      <c r="J56" s="42"/>
      <c r="K56" s="42"/>
      <c r="L56" s="42"/>
      <c r="M56" s="42"/>
      <c r="N56" s="17"/>
      <c r="O56" s="17"/>
      <c r="P56" s="17"/>
      <c r="Q56" s="17"/>
      <c r="R56" s="17"/>
      <c r="S56" s="4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4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</row>
    <row r="57" spans="1:48" ht="16" x14ac:dyDescent="0.2">
      <c r="A57" s="7"/>
      <c r="B57" s="7"/>
      <c r="C57" s="28"/>
      <c r="D57" s="28"/>
      <c r="E57" s="28"/>
      <c r="F57" s="17"/>
      <c r="G57" s="17"/>
      <c r="H57" s="28"/>
      <c r="I57" s="9"/>
      <c r="J57" s="17"/>
      <c r="K57" s="28"/>
      <c r="L57" s="6"/>
      <c r="M57" s="6"/>
      <c r="N57" s="29"/>
      <c r="O57" s="7"/>
      <c r="P57" s="6"/>
      <c r="Q57" s="14"/>
      <c r="R57" s="7"/>
      <c r="S57" s="7"/>
      <c r="T57" s="6"/>
      <c r="U57" s="50"/>
    </row>
    <row r="58" spans="1:48" ht="16" x14ac:dyDescent="0.2">
      <c r="A58" s="7"/>
      <c r="B58" s="7"/>
      <c r="C58" s="28"/>
      <c r="D58" s="28"/>
      <c r="E58" s="28"/>
      <c r="F58" s="42"/>
      <c r="G58" s="17"/>
      <c r="H58" s="28"/>
      <c r="I58" s="9"/>
      <c r="J58" s="17"/>
      <c r="K58" s="28"/>
      <c r="L58" s="6"/>
      <c r="M58" s="6"/>
      <c r="N58" s="29"/>
      <c r="O58" s="7"/>
      <c r="P58" s="6"/>
      <c r="Q58" s="14"/>
      <c r="R58" s="7"/>
      <c r="S58" s="7"/>
      <c r="T58" s="6"/>
      <c r="U58" s="50"/>
    </row>
    <row r="59" spans="1:48" ht="16" x14ac:dyDescent="0.2">
      <c r="A59" s="7"/>
      <c r="B59" s="7"/>
      <c r="C59" s="28"/>
      <c r="D59" s="28"/>
      <c r="E59" s="28"/>
      <c r="F59" s="17"/>
      <c r="G59" s="17"/>
      <c r="H59" s="28"/>
      <c r="I59" s="9"/>
      <c r="J59" s="17"/>
      <c r="K59" s="28"/>
      <c r="L59" s="6"/>
      <c r="M59" s="6"/>
      <c r="N59" s="29"/>
      <c r="O59" s="7"/>
      <c r="P59" s="6"/>
      <c r="Q59" s="14"/>
      <c r="R59" s="7"/>
      <c r="S59" s="7"/>
      <c r="T59" s="6"/>
      <c r="U59" s="50"/>
    </row>
    <row r="60" spans="1:48" ht="16" x14ac:dyDescent="0.2">
      <c r="A60" s="24"/>
      <c r="B60" s="7"/>
      <c r="C60" s="28"/>
      <c r="D60" s="28"/>
      <c r="E60" s="28"/>
      <c r="F60" s="17"/>
      <c r="G60" s="17"/>
      <c r="H60" s="28"/>
      <c r="I60" s="9"/>
      <c r="J60" s="17"/>
      <c r="K60" s="28"/>
      <c r="L60" s="6"/>
      <c r="M60" s="6"/>
      <c r="N60" s="29"/>
      <c r="O60" s="7"/>
      <c r="P60" s="6"/>
      <c r="Q60" s="14"/>
      <c r="R60" s="7"/>
      <c r="S60" s="7"/>
      <c r="T60" s="6"/>
      <c r="U60" s="50"/>
    </row>
    <row r="61" spans="1:48" ht="16" x14ac:dyDescent="0.2">
      <c r="A61" s="7"/>
      <c r="B61" s="7"/>
      <c r="C61" s="7"/>
      <c r="D61" s="7"/>
      <c r="E61" s="7"/>
      <c r="F61" s="17"/>
      <c r="G61" s="17"/>
      <c r="H61" s="7"/>
      <c r="I61" s="9"/>
      <c r="J61" s="17"/>
      <c r="K61" s="6"/>
      <c r="L61" s="6"/>
      <c r="M61" s="6"/>
      <c r="N61" s="29"/>
      <c r="O61" s="7"/>
      <c r="P61" s="6"/>
      <c r="Q61" s="14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17"/>
      <c r="G62" s="17"/>
      <c r="H62" s="7"/>
      <c r="I62" s="9"/>
      <c r="J62" s="1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50"/>
    </row>
    <row r="65" spans="1:21" ht="16" x14ac:dyDescent="0.2">
      <c r="A65" s="7"/>
      <c r="B65" s="6"/>
      <c r="C65" s="7"/>
      <c r="D65" s="6"/>
      <c r="E65" s="51"/>
      <c r="F65" s="51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5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50"/>
    </row>
    <row r="67" spans="1:21" ht="16" x14ac:dyDescent="0.2">
      <c r="A67" s="52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50"/>
    </row>
    <row r="68" spans="1:21" ht="16" x14ac:dyDescent="0.2">
      <c r="D68" s="1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50"/>
    </row>
    <row r="69" spans="1:21" ht="16" x14ac:dyDescent="0.2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50"/>
    </row>
    <row r="70" spans="1:21" ht="16" x14ac:dyDescent="0.2">
      <c r="A70" s="7"/>
      <c r="B70" s="31"/>
      <c r="C70" s="24"/>
      <c r="D70" s="24"/>
      <c r="E70" s="6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53"/>
      <c r="T70" s="31"/>
      <c r="U70" s="35"/>
    </row>
    <row r="71" spans="1:21" x14ac:dyDescent="0.2">
      <c r="C71" s="54"/>
      <c r="D71" s="54"/>
      <c r="E71" s="6"/>
    </row>
    <row r="72" spans="1:21" x14ac:dyDescent="0.2">
      <c r="E72" s="6"/>
    </row>
    <row r="73" spans="1:21" x14ac:dyDescent="0.2">
      <c r="E73" s="6"/>
    </row>
    <row r="74" spans="1:21" x14ac:dyDescent="0.2">
      <c r="D74" s="16"/>
      <c r="E74" s="16"/>
      <c r="F74" s="16"/>
    </row>
  </sheetData>
  <conditionalFormatting sqref="B12:O12">
    <cfRule type="colorScale" priority="8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O25">
    <cfRule type="colorScale" priority="7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25:N25">
    <cfRule type="colorScale" priority="6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48:O48">
    <cfRule type="colorScale" priority="5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X31:X38">
    <cfRule type="colorScale" priority="4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17:R18">
    <cfRule type="colorScale" priority="3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6:R7">
    <cfRule type="colorScale" priority="2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51">
    <cfRule type="colorScale" priority="1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 enableFormatConditionsCalculation="0"/>
  <dimension ref="A1:AU70"/>
  <sheetViews>
    <sheetView topLeftCell="A14" workbookViewId="0">
      <selection activeCell="B50" sqref="B50"/>
    </sheetView>
  </sheetViews>
  <sheetFormatPr baseColWidth="10" defaultColWidth="8.83203125" defaultRowHeight="15" x14ac:dyDescent="0.2"/>
  <cols>
    <col min="1" max="1" width="21.6640625" style="2" customWidth="1"/>
    <col min="2" max="21" width="10.1640625" style="2" customWidth="1"/>
    <col min="22" max="16384" width="8.83203125" style="2"/>
  </cols>
  <sheetData>
    <row r="1" spans="1:35" ht="19" x14ac:dyDescent="0.25">
      <c r="A1" s="1" t="s">
        <v>0</v>
      </c>
      <c r="O1" s="3"/>
      <c r="P1" s="3"/>
      <c r="Q1" s="3"/>
      <c r="R1" s="3"/>
      <c r="S1" s="3"/>
      <c r="T1" s="3"/>
    </row>
    <row r="2" spans="1:35" ht="16" x14ac:dyDescent="0.2">
      <c r="A2" s="8" t="s">
        <v>1</v>
      </c>
      <c r="Q2" s="39"/>
      <c r="R2" s="8"/>
      <c r="AH2" s="39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66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9</v>
      </c>
      <c r="M3" s="6"/>
      <c r="N3" s="6" t="s">
        <v>10</v>
      </c>
      <c r="O3" s="7" t="s">
        <v>11</v>
      </c>
      <c r="Q3" s="39"/>
      <c r="R3" s="39"/>
      <c r="AH3" s="39"/>
      <c r="AI3" s="39"/>
    </row>
    <row r="4" spans="1:35" ht="15.75" x14ac:dyDescent="0.25">
      <c r="A4" s="8" t="s">
        <v>68</v>
      </c>
      <c r="B4" s="75">
        <f>0.95*414</f>
        <v>393.29999999999995</v>
      </c>
      <c r="Q4" s="39"/>
      <c r="R4" s="39"/>
      <c r="AH4" s="39"/>
      <c r="AI4" s="39"/>
    </row>
    <row r="5" spans="1:35" ht="15.75" x14ac:dyDescent="0.25">
      <c r="A5" s="39"/>
      <c r="Q5" s="39"/>
      <c r="R5" s="39"/>
      <c r="AH5" s="39"/>
      <c r="AI5" s="39"/>
    </row>
    <row r="6" spans="1:35" ht="16" x14ac:dyDescent="0.2">
      <c r="A6" s="8" t="s">
        <v>12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/>
      <c r="O6" s="38">
        <v>0</v>
      </c>
      <c r="Q6" s="39"/>
      <c r="R6" s="39"/>
      <c r="AH6" s="39"/>
      <c r="AI6" s="39"/>
    </row>
    <row r="7" spans="1:35" ht="16" x14ac:dyDescent="0.2">
      <c r="A7" s="8" t="s">
        <v>13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/>
      <c r="O7" s="38">
        <v>0</v>
      </c>
      <c r="P7" s="38"/>
      <c r="Q7" s="39"/>
      <c r="R7" s="39"/>
      <c r="AH7" s="39"/>
      <c r="AI7" s="39"/>
    </row>
    <row r="8" spans="1:35" ht="15.75" x14ac:dyDescent="0.25">
      <c r="A8" s="8" t="s">
        <v>14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/>
      <c r="O8" s="38">
        <v>0</v>
      </c>
      <c r="P8" s="38"/>
      <c r="Q8" s="39"/>
      <c r="R8" s="39"/>
      <c r="AH8" s="39"/>
      <c r="AI8" s="39"/>
    </row>
    <row r="9" spans="1:35" ht="15.75" x14ac:dyDescent="0.25">
      <c r="A9" s="8" t="s">
        <v>15</v>
      </c>
      <c r="B9" s="63">
        <v>635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/>
      <c r="O9" s="38">
        <v>0</v>
      </c>
      <c r="P9" s="38"/>
      <c r="Q9" s="39"/>
      <c r="R9" s="39"/>
      <c r="S9" s="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9"/>
      <c r="AI9" s="39"/>
    </row>
    <row r="10" spans="1:35" ht="16" x14ac:dyDescent="0.2">
      <c r="A10" s="8" t="s">
        <v>16</v>
      </c>
      <c r="B10" s="59">
        <f>SUM(B4:B9)</f>
        <v>1028.3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/>
      <c r="O10" s="38">
        <v>0</v>
      </c>
      <c r="P10" s="38"/>
      <c r="Q10" s="39"/>
      <c r="R10" s="39"/>
      <c r="S10" s="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9"/>
      <c r="AI10" s="39"/>
    </row>
    <row r="11" spans="1:35" ht="15.75" x14ac:dyDescent="0.25">
      <c r="O11" s="3"/>
      <c r="P11" s="3"/>
      <c r="Q11" s="3"/>
      <c r="R11" s="3"/>
      <c r="S11" s="3"/>
      <c r="T11" s="3"/>
    </row>
    <row r="12" spans="1:35" ht="15.75" x14ac:dyDescent="0.25">
      <c r="O12" s="3"/>
      <c r="P12" s="3"/>
      <c r="Q12" s="3"/>
      <c r="R12" s="3"/>
      <c r="S12" s="3"/>
      <c r="T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N13" s="11"/>
      <c r="O13" s="3"/>
      <c r="P13" s="3"/>
      <c r="Q13" s="3"/>
      <c r="R13" s="3"/>
      <c r="S13" s="3"/>
      <c r="T13" s="3"/>
    </row>
    <row r="14" spans="1:35" ht="16" x14ac:dyDescent="0.2">
      <c r="A14" s="4" t="s">
        <v>1</v>
      </c>
      <c r="O14" s="3"/>
      <c r="P14" s="3"/>
      <c r="Q14" s="3"/>
      <c r="R14" s="3"/>
      <c r="S14" s="3"/>
      <c r="T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66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/>
      <c r="N15" s="6" t="s">
        <v>10</v>
      </c>
      <c r="O15" s="16" t="s">
        <v>11</v>
      </c>
      <c r="P15" s="3"/>
      <c r="Q15" s="3"/>
      <c r="R15" s="3"/>
      <c r="S15" s="3"/>
      <c r="T15" s="3"/>
    </row>
    <row r="16" spans="1:35" ht="15.75" x14ac:dyDescent="0.25">
      <c r="O16" s="3"/>
      <c r="P16" s="3"/>
      <c r="Q16" s="3"/>
      <c r="R16" s="3"/>
      <c r="S16" s="3"/>
      <c r="T16" s="3"/>
    </row>
    <row r="17" spans="1:21" ht="16" x14ac:dyDescent="0.2">
      <c r="A17" s="8" t="s">
        <v>20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/>
      <c r="O17" s="38">
        <v>0</v>
      </c>
      <c r="P17" s="3"/>
      <c r="Q17" s="3"/>
      <c r="R17" s="3"/>
      <c r="S17" s="3"/>
      <c r="T17" s="3"/>
    </row>
    <row r="18" spans="1:21" ht="16" x14ac:dyDescent="0.2">
      <c r="A18" s="8" t="s">
        <v>21</v>
      </c>
      <c r="B18" s="65">
        <f>26501+354</f>
        <v>26855</v>
      </c>
      <c r="C18" s="38">
        <v>925</v>
      </c>
      <c r="D18" s="38">
        <v>0</v>
      </c>
      <c r="E18" s="38">
        <v>0</v>
      </c>
      <c r="F18" s="38">
        <v>870</v>
      </c>
      <c r="G18" s="38">
        <v>29098</v>
      </c>
      <c r="H18" s="38">
        <v>0</v>
      </c>
      <c r="I18" s="38"/>
      <c r="J18" s="38"/>
      <c r="K18" s="38"/>
      <c r="L18" s="38"/>
      <c r="M18" s="38"/>
      <c r="N18" s="65">
        <f>354*1.015</f>
        <v>359.30999999999995</v>
      </c>
      <c r="O18" s="65">
        <f>SUM(C18:N18)</f>
        <v>31252.31</v>
      </c>
      <c r="P18" s="3"/>
      <c r="Q18" s="3"/>
      <c r="R18" s="3"/>
      <c r="S18" s="3"/>
      <c r="T18" s="3"/>
    </row>
    <row r="19" spans="1:21" ht="15.75" x14ac:dyDescent="0.25">
      <c r="A19" s="8" t="s">
        <v>22</v>
      </c>
      <c r="B19" s="65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38"/>
      <c r="N19" s="58"/>
      <c r="O19" s="38">
        <v>0</v>
      </c>
      <c r="P19" s="3"/>
      <c r="Q19" s="3"/>
      <c r="R19" s="3"/>
      <c r="S19" s="3"/>
      <c r="T19" s="3"/>
    </row>
    <row r="20" spans="1:21" ht="16" x14ac:dyDescent="0.2">
      <c r="A20" s="8" t="s">
        <v>23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38"/>
      <c r="N20" s="38"/>
      <c r="O20" s="38">
        <v>0</v>
      </c>
      <c r="P20" s="3"/>
      <c r="Q20" s="3"/>
      <c r="R20" s="3"/>
      <c r="S20" s="3"/>
      <c r="T20" s="3"/>
    </row>
    <row r="21" spans="1:21" ht="16" x14ac:dyDescent="0.2">
      <c r="A21" s="8" t="s">
        <v>24</v>
      </c>
      <c r="B21" s="38">
        <v>8594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/>
      <c r="O21" s="38">
        <v>0</v>
      </c>
      <c r="P21" s="3"/>
      <c r="Q21" s="3"/>
      <c r="R21" s="3"/>
      <c r="S21" s="3" t="s">
        <v>26</v>
      </c>
      <c r="T21" s="12">
        <f>O42/1000</f>
        <v>564.06566999999995</v>
      </c>
      <c r="U21" s="3"/>
    </row>
    <row r="22" spans="1:21" ht="16" x14ac:dyDescent="0.2">
      <c r="A22" s="8" t="s">
        <v>25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/>
      <c r="O22" s="38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38">
        <v>35449</v>
      </c>
      <c r="C23" s="38">
        <v>925</v>
      </c>
      <c r="D23" s="38">
        <v>0</v>
      </c>
      <c r="E23" s="38">
        <v>0</v>
      </c>
      <c r="F23" s="38">
        <v>870</v>
      </c>
      <c r="G23" s="38">
        <v>29098</v>
      </c>
      <c r="H23" s="38">
        <v>0</v>
      </c>
      <c r="I23" s="38"/>
      <c r="J23" s="38"/>
      <c r="K23" s="38"/>
      <c r="L23" s="38"/>
      <c r="M23" s="38"/>
      <c r="N23" s="65">
        <f>SUM(N18:N22)</f>
        <v>359.30999999999995</v>
      </c>
      <c r="O23" s="65">
        <f>SUM(O18:O22)</f>
        <v>31252.31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O24" s="3"/>
      <c r="P24" s="3"/>
      <c r="Q24" s="3"/>
      <c r="R24" s="3"/>
      <c r="S24" s="3" t="s">
        <v>10</v>
      </c>
      <c r="T24" s="13">
        <f>N42/1000</f>
        <v>207.54866999999999</v>
      </c>
      <c r="U24" s="14">
        <f>N43</f>
        <v>0.36795125290996705</v>
      </c>
    </row>
    <row r="25" spans="1:21" ht="16" x14ac:dyDescent="0.2">
      <c r="B25" s="56"/>
      <c r="O25" s="3"/>
      <c r="P25" s="3"/>
      <c r="Q25" s="3"/>
      <c r="R25" s="3"/>
      <c r="S25" s="3" t="s">
        <v>66</v>
      </c>
      <c r="T25" s="13">
        <f>G42/1000</f>
        <v>43.223999999999997</v>
      </c>
      <c r="U25" s="15">
        <f>G43</f>
        <v>7.6629375441338243E-2</v>
      </c>
    </row>
    <row r="26" spans="1:21" ht="15.75" x14ac:dyDescent="0.25">
      <c r="O26" s="3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O27" s="3"/>
      <c r="P27" s="3"/>
      <c r="Q27" s="3"/>
      <c r="R27" s="3"/>
      <c r="S27" s="3" t="s">
        <v>31</v>
      </c>
      <c r="T27" s="13">
        <f>F42/1000</f>
        <v>16.727</v>
      </c>
      <c r="U27" s="14">
        <f>F43</f>
        <v>2.9654348579660952E-2</v>
      </c>
    </row>
    <row r="28" spans="1:21" ht="16" x14ac:dyDescent="0.2">
      <c r="A28" s="4" t="s">
        <v>1</v>
      </c>
      <c r="N28" s="16"/>
      <c r="O28" s="3"/>
      <c r="P28" s="3"/>
      <c r="Q28" s="3"/>
      <c r="R28" s="3"/>
      <c r="S28" s="3" t="s">
        <v>4</v>
      </c>
      <c r="T28" s="12">
        <f>E42/1000</f>
        <v>101.998</v>
      </c>
      <c r="U28" s="14">
        <f>E43</f>
        <v>0.18082646298967284</v>
      </c>
    </row>
    <row r="29" spans="1:21" ht="16" x14ac:dyDescent="0.2">
      <c r="B29" s="60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66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4">
        <f>D43</f>
        <v>0</v>
      </c>
    </row>
    <row r="30" spans="1:21" ht="15.75" x14ac:dyDescent="0.25">
      <c r="O30" s="3"/>
      <c r="P30" s="3"/>
      <c r="Q30" s="3"/>
      <c r="R30" s="3"/>
      <c r="S30" s="2" t="s">
        <v>8</v>
      </c>
      <c r="T30" s="2">
        <f>K42/1000</f>
        <v>0</v>
      </c>
      <c r="U30" s="44">
        <f>K43</f>
        <v>0</v>
      </c>
    </row>
    <row r="31" spans="1:21" ht="15.75" x14ac:dyDescent="0.25">
      <c r="A31" s="8" t="s">
        <v>33</v>
      </c>
      <c r="B31" s="38">
        <v>0</v>
      </c>
      <c r="C31" s="38">
        <v>3342</v>
      </c>
      <c r="D31" s="38">
        <v>0</v>
      </c>
      <c r="E31" s="38">
        <v>0</v>
      </c>
      <c r="F31" s="38">
        <v>328</v>
      </c>
      <c r="G31" s="38">
        <v>0</v>
      </c>
      <c r="H31" s="38">
        <v>0</v>
      </c>
      <c r="I31" s="38"/>
      <c r="J31" s="38"/>
      <c r="K31" s="38"/>
      <c r="L31" s="38"/>
      <c r="M31" s="39"/>
      <c r="N31" s="38">
        <v>2395</v>
      </c>
      <c r="O31" s="38">
        <v>6065</v>
      </c>
      <c r="P31" s="18">
        <f>O31/O$39</f>
        <v>1.1078576608402913E-2</v>
      </c>
      <c r="Q31" s="19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58">
        <v>444</v>
      </c>
      <c r="C32" s="38">
        <v>8622</v>
      </c>
      <c r="D32" s="38">
        <v>0</v>
      </c>
      <c r="E32" s="65">
        <v>101998</v>
      </c>
      <c r="F32" s="38">
        <v>0</v>
      </c>
      <c r="G32" s="38">
        <v>0</v>
      </c>
      <c r="H32" s="38">
        <v>0</v>
      </c>
      <c r="I32" s="38"/>
      <c r="J32" s="38"/>
      <c r="K32" s="38"/>
      <c r="L32" s="38"/>
      <c r="M32" s="39"/>
      <c r="N32" s="38">
        <v>31025</v>
      </c>
      <c r="O32" s="65">
        <f>SUM(B32:N32)</f>
        <v>142089</v>
      </c>
      <c r="P32" s="18">
        <f>O32/O$39</f>
        <v>0.25954556829536052</v>
      </c>
      <c r="Q32" s="19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7" ht="15.75" x14ac:dyDescent="0.25">
      <c r="A33" s="8" t="s">
        <v>38</v>
      </c>
      <c r="B33" s="58">
        <v>7575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9"/>
      <c r="N33" s="38">
        <v>19655</v>
      </c>
      <c r="O33" s="65">
        <f>SUM(B33:N33)</f>
        <v>27230</v>
      </c>
      <c r="P33" s="18">
        <f>O33/O$39</f>
        <v>4.9739429686201375E-2</v>
      </c>
      <c r="Q33" s="19" t="s">
        <v>39</v>
      </c>
      <c r="R33" s="3"/>
      <c r="S33" s="3" t="s">
        <v>35</v>
      </c>
      <c r="T33" s="13">
        <f>C42/1000</f>
        <v>194.56800000000001</v>
      </c>
      <c r="U33" s="15">
        <f>C43</f>
        <v>0.34493856007936102</v>
      </c>
    </row>
    <row r="34" spans="1:47" ht="15.75" x14ac:dyDescent="0.25">
      <c r="A34" s="8" t="s">
        <v>40</v>
      </c>
      <c r="B34" s="38">
        <v>0</v>
      </c>
      <c r="C34" s="38">
        <v>181248</v>
      </c>
      <c r="D34" s="38">
        <v>0</v>
      </c>
      <c r="E34" s="38">
        <v>0</v>
      </c>
      <c r="F34" s="38">
        <v>15529</v>
      </c>
      <c r="G34" s="38">
        <v>0</v>
      </c>
      <c r="H34" s="38">
        <v>0</v>
      </c>
      <c r="I34" s="38"/>
      <c r="J34" s="38"/>
      <c r="K34" s="38"/>
      <c r="L34" s="38"/>
      <c r="M34" s="39"/>
      <c r="N34" s="38">
        <v>0</v>
      </c>
      <c r="O34" s="38">
        <v>196777</v>
      </c>
      <c r="P34" s="18">
        <f>O34/O$39</f>
        <v>0.35944090177604288</v>
      </c>
      <c r="Q34" s="19" t="s">
        <v>41</v>
      </c>
      <c r="R34" s="3"/>
      <c r="S34" s="3"/>
      <c r="T34" s="13">
        <f>SUM(T24:T33)</f>
        <v>564.06566999999995</v>
      </c>
      <c r="U34" s="14">
        <f>SUM(U24:U33)</f>
        <v>1</v>
      </c>
    </row>
    <row r="35" spans="1:47" ht="16" x14ac:dyDescent="0.2">
      <c r="A35" s="8" t="s">
        <v>42</v>
      </c>
      <c r="B35" s="58">
        <v>3479</v>
      </c>
      <c r="C35" s="38">
        <v>220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9"/>
      <c r="N35" s="38">
        <v>29923</v>
      </c>
      <c r="O35" s="65">
        <f t="shared" ref="O35:O36" si="0">SUM(B35:N35)</f>
        <v>33622</v>
      </c>
      <c r="P35" s="18">
        <f>O35/O$39</f>
        <v>6.1415317844636892E-2</v>
      </c>
      <c r="Q35" s="19" t="s">
        <v>43</v>
      </c>
      <c r="R35" s="19"/>
    </row>
    <row r="36" spans="1:47" ht="16" x14ac:dyDescent="0.2">
      <c r="A36" s="8" t="s">
        <v>44</v>
      </c>
      <c r="B36" s="58">
        <v>203</v>
      </c>
      <c r="C36" s="38">
        <v>198</v>
      </c>
      <c r="D36" s="38">
        <v>0</v>
      </c>
      <c r="E36" s="38">
        <v>0</v>
      </c>
      <c r="F36" s="38">
        <v>0</v>
      </c>
      <c r="G36" s="38">
        <v>14126</v>
      </c>
      <c r="H36" s="38">
        <v>0</v>
      </c>
      <c r="I36" s="38"/>
      <c r="J36" s="38"/>
      <c r="K36" s="38"/>
      <c r="L36" s="38"/>
      <c r="M36" s="39"/>
      <c r="N36" s="38">
        <v>94205</v>
      </c>
      <c r="O36" s="65">
        <f t="shared" si="0"/>
        <v>108732</v>
      </c>
      <c r="P36" s="19"/>
      <c r="Q36" s="19"/>
      <c r="R36" s="3"/>
      <c r="S36" s="7"/>
      <c r="T36" s="7"/>
      <c r="U36" s="7"/>
    </row>
    <row r="37" spans="1:47" ht="15.75" x14ac:dyDescent="0.25">
      <c r="A37" s="8" t="s">
        <v>45</v>
      </c>
      <c r="B37" s="58">
        <v>18286</v>
      </c>
      <c r="C37" s="38">
        <v>13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9"/>
      <c r="N37" s="38">
        <v>6435</v>
      </c>
      <c r="O37" s="65">
        <f>SUM(B37:N37)</f>
        <v>24734</v>
      </c>
      <c r="P37" s="19"/>
      <c r="Q37" s="19"/>
      <c r="R37" s="3"/>
      <c r="S37" s="7"/>
      <c r="T37" s="7" t="s">
        <v>27</v>
      </c>
      <c r="U37" s="7" t="s">
        <v>28</v>
      </c>
    </row>
    <row r="38" spans="1:47" ht="16" x14ac:dyDescent="0.2">
      <c r="A38" s="8" t="s">
        <v>46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9"/>
      <c r="N38" s="38">
        <v>8204</v>
      </c>
      <c r="O38" s="38">
        <v>8204</v>
      </c>
      <c r="P38" s="19">
        <f>SUM(P31:P35)</f>
        <v>0.74121979421064454</v>
      </c>
      <c r="Q38" s="19"/>
      <c r="R38" s="3"/>
      <c r="S38" s="7" t="s">
        <v>47</v>
      </c>
      <c r="T38" s="20">
        <f>O45/1000</f>
        <v>20.809360000000002</v>
      </c>
      <c r="U38" s="7"/>
    </row>
    <row r="39" spans="1:47" ht="16" x14ac:dyDescent="0.2">
      <c r="A39" s="8" t="s">
        <v>16</v>
      </c>
      <c r="B39" s="58">
        <f>SUM(B31:B38)</f>
        <v>29987</v>
      </c>
      <c r="C39" s="38">
        <v>193643</v>
      </c>
      <c r="D39" s="38">
        <v>0</v>
      </c>
      <c r="E39" s="65">
        <f>SUM(E31:E38)</f>
        <v>101998</v>
      </c>
      <c r="F39" s="38">
        <v>15857</v>
      </c>
      <c r="G39" s="38">
        <v>14126</v>
      </c>
      <c r="H39" s="38">
        <v>0</v>
      </c>
      <c r="I39" s="38"/>
      <c r="J39" s="38"/>
      <c r="K39" s="38"/>
      <c r="L39" s="38"/>
      <c r="M39" s="39"/>
      <c r="N39" s="38">
        <v>191842</v>
      </c>
      <c r="O39" s="65">
        <f>SUM(O31:O38)</f>
        <v>547453</v>
      </c>
      <c r="P39" s="3"/>
      <c r="Q39" s="3"/>
      <c r="R39" s="3"/>
      <c r="S39" s="7" t="s">
        <v>48</v>
      </c>
      <c r="T39" s="21">
        <f>O41/1000</f>
        <v>141.66999999999999</v>
      </c>
      <c r="U39" s="14">
        <f>P41</f>
        <v>0.25878020578935546</v>
      </c>
    </row>
    <row r="40" spans="1:47" x14ac:dyDescent="0.2">
      <c r="C40" s="16"/>
      <c r="O40" s="16"/>
      <c r="S40" s="7" t="s">
        <v>49</v>
      </c>
      <c r="T40" s="21">
        <f>O35/1000</f>
        <v>33.622</v>
      </c>
      <c r="U40" s="15">
        <f>P35</f>
        <v>6.1415317844636892E-2</v>
      </c>
    </row>
    <row r="41" spans="1:47" ht="16" x14ac:dyDescent="0.2">
      <c r="A41" s="22" t="s">
        <v>50</v>
      </c>
      <c r="B41" s="23">
        <f>B38+B37+B36</f>
        <v>18489</v>
      </c>
      <c r="C41" s="23">
        <f t="shared" ref="C41:O41" si="1">C38+C37+C36</f>
        <v>211</v>
      </c>
      <c r="D41" s="23">
        <f t="shared" si="1"/>
        <v>0</v>
      </c>
      <c r="E41" s="23">
        <f t="shared" si="1"/>
        <v>0</v>
      </c>
      <c r="F41" s="23">
        <f t="shared" si="1"/>
        <v>0</v>
      </c>
      <c r="G41" s="23">
        <f t="shared" si="1"/>
        <v>14126</v>
      </c>
      <c r="H41" s="23">
        <f t="shared" si="1"/>
        <v>0</v>
      </c>
      <c r="I41" s="23">
        <f t="shared" si="1"/>
        <v>0</v>
      </c>
      <c r="J41" s="23">
        <f t="shared" si="1"/>
        <v>0</v>
      </c>
      <c r="K41" s="23">
        <f t="shared" si="1"/>
        <v>0</v>
      </c>
      <c r="L41" s="23">
        <f t="shared" si="1"/>
        <v>0</v>
      </c>
      <c r="M41" s="23">
        <f t="shared" si="1"/>
        <v>0</v>
      </c>
      <c r="N41" s="23">
        <f t="shared" si="1"/>
        <v>108844</v>
      </c>
      <c r="O41" s="23">
        <f t="shared" si="1"/>
        <v>141670</v>
      </c>
      <c r="P41" s="18">
        <f>O41/O$39</f>
        <v>0.25878020578935546</v>
      </c>
      <c r="Q41" s="18" t="s">
        <v>51</v>
      </c>
      <c r="R41" s="7"/>
      <c r="S41" s="7" t="s">
        <v>52</v>
      </c>
      <c r="T41" s="21">
        <f>O33/1000</f>
        <v>27.23</v>
      </c>
      <c r="U41" s="14">
        <f>P33</f>
        <v>4.9739429686201375E-2</v>
      </c>
    </row>
    <row r="42" spans="1:47" ht="16" x14ac:dyDescent="0.2">
      <c r="A42" s="24" t="s">
        <v>53</v>
      </c>
      <c r="B42" s="23"/>
      <c r="C42" s="25">
        <f>C39+C23+C10</f>
        <v>194568</v>
      </c>
      <c r="D42" s="25">
        <f t="shared" ref="D42:M42" si="2">D39+D23+D10</f>
        <v>0</v>
      </c>
      <c r="E42" s="25">
        <f t="shared" si="2"/>
        <v>101998</v>
      </c>
      <c r="F42" s="25">
        <f t="shared" si="2"/>
        <v>16727</v>
      </c>
      <c r="G42" s="25">
        <f t="shared" si="2"/>
        <v>43224</v>
      </c>
      <c r="H42" s="25">
        <f t="shared" si="2"/>
        <v>0</v>
      </c>
      <c r="I42" s="25">
        <f t="shared" si="2"/>
        <v>0</v>
      </c>
      <c r="J42" s="25">
        <f t="shared" si="2"/>
        <v>0</v>
      </c>
      <c r="K42" s="25">
        <f t="shared" si="2"/>
        <v>0</v>
      </c>
      <c r="L42" s="25">
        <f t="shared" si="2"/>
        <v>0</v>
      </c>
      <c r="M42" s="25">
        <f t="shared" si="2"/>
        <v>0</v>
      </c>
      <c r="N42" s="25">
        <f>N39+N23-B6+N45</f>
        <v>207548.66999999998</v>
      </c>
      <c r="O42" s="26">
        <f>SUM(C42:N42)</f>
        <v>564065.66999999993</v>
      </c>
      <c r="P42" s="7"/>
      <c r="Q42" s="7"/>
      <c r="R42" s="7"/>
      <c r="S42" s="7" t="s">
        <v>34</v>
      </c>
      <c r="T42" s="21">
        <f>O31/1000</f>
        <v>6.0650000000000004</v>
      </c>
      <c r="U42" s="14">
        <f>P31</f>
        <v>1.1078576608402913E-2</v>
      </c>
    </row>
    <row r="43" spans="1:47" ht="16" x14ac:dyDescent="0.2">
      <c r="A43" s="24" t="s">
        <v>54</v>
      </c>
      <c r="B43" s="23"/>
      <c r="C43" s="18">
        <f t="shared" ref="C43:N43" si="3">C42/$O42</f>
        <v>0.34493856007936102</v>
      </c>
      <c r="D43" s="18">
        <f t="shared" si="3"/>
        <v>0</v>
      </c>
      <c r="E43" s="18">
        <f t="shared" si="3"/>
        <v>0.18082646298967284</v>
      </c>
      <c r="F43" s="18">
        <f t="shared" si="3"/>
        <v>2.9654348579660952E-2</v>
      </c>
      <c r="G43" s="18">
        <f t="shared" si="3"/>
        <v>7.6629375441338243E-2</v>
      </c>
      <c r="H43" s="18">
        <f t="shared" si="3"/>
        <v>0</v>
      </c>
      <c r="I43" s="18">
        <f t="shared" si="3"/>
        <v>0</v>
      </c>
      <c r="J43" s="18">
        <f t="shared" si="3"/>
        <v>0</v>
      </c>
      <c r="K43" s="18">
        <f t="shared" si="3"/>
        <v>0</v>
      </c>
      <c r="L43" s="18">
        <f t="shared" si="3"/>
        <v>0</v>
      </c>
      <c r="M43" s="18">
        <f t="shared" si="3"/>
        <v>0</v>
      </c>
      <c r="N43" s="18">
        <f t="shared" si="3"/>
        <v>0.36795125290996705</v>
      </c>
      <c r="O43" s="18">
        <f>SUM(C43:N43)</f>
        <v>1.0000000000000002</v>
      </c>
      <c r="P43" s="7"/>
      <c r="Q43" s="7"/>
      <c r="R43" s="7"/>
      <c r="S43" s="7" t="s">
        <v>55</v>
      </c>
      <c r="T43" s="21">
        <f>O32/1000</f>
        <v>142.089</v>
      </c>
      <c r="U43" s="15">
        <f>P32</f>
        <v>0.25954556829536052</v>
      </c>
    </row>
    <row r="44" spans="1:4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1">
        <f>O34/1000</f>
        <v>196.77699999999999</v>
      </c>
      <c r="U44" s="15">
        <f>P34</f>
        <v>0.35944090177604288</v>
      </c>
    </row>
    <row r="45" spans="1:47" ht="16" x14ac:dyDescent="0.2">
      <c r="A45" s="6" t="s">
        <v>57</v>
      </c>
      <c r="B45" s="6">
        <f>B23-B39</f>
        <v>5462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7">
        <f>N39*0.08</f>
        <v>15347.36</v>
      </c>
      <c r="O45" s="26">
        <f>B45+N45</f>
        <v>20809.36</v>
      </c>
      <c r="P45" s="7"/>
      <c r="Q45" s="7"/>
      <c r="R45" s="7"/>
      <c r="S45" s="7" t="s">
        <v>58</v>
      </c>
      <c r="T45" s="21">
        <f>SUM(T39:T44)</f>
        <v>547.45299999999997</v>
      </c>
      <c r="U45" s="14">
        <f>SUM(U39:U44)</f>
        <v>1</v>
      </c>
    </row>
    <row r="46" spans="1:47" ht="16" x14ac:dyDescent="0.2">
      <c r="A46" s="6"/>
      <c r="B46" s="68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x14ac:dyDescent="0.2">
      <c r="A47" s="4"/>
      <c r="B47" s="4"/>
      <c r="C47" s="9"/>
      <c r="D47" s="9"/>
      <c r="E47" s="9"/>
      <c r="F47" s="9"/>
      <c r="G47" s="9"/>
      <c r="H47" s="9"/>
      <c r="I47" s="9"/>
      <c r="J47" s="9"/>
      <c r="K47" s="9"/>
      <c r="L47" s="9"/>
      <c r="M47" s="17"/>
      <c r="N47" s="9"/>
      <c r="O47" s="9"/>
      <c r="P47" s="17"/>
      <c r="Q47" s="4"/>
      <c r="R47" s="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7"/>
      <c r="AG47" s="4"/>
      <c r="AH47" s="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x14ac:dyDescent="0.2"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17"/>
      <c r="AG48" s="17"/>
      <c r="AH48" s="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7"/>
      <c r="Q49" s="17"/>
      <c r="R49" s="17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7"/>
      <c r="AG49" s="17"/>
      <c r="AH49" s="4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ht="16" x14ac:dyDescent="0.2">
      <c r="A50" s="4"/>
      <c r="B50" s="38"/>
      <c r="C50" s="38"/>
      <c r="D50" s="38"/>
      <c r="E50" s="65"/>
      <c r="F50" s="38"/>
      <c r="G50" s="38"/>
      <c r="I50" s="38"/>
      <c r="J50" s="38"/>
      <c r="K50" s="38"/>
      <c r="L50" s="69"/>
      <c r="M50" s="38"/>
      <c r="N50" s="38"/>
      <c r="O50" s="38"/>
      <c r="P50" s="38"/>
      <c r="Q50" s="38"/>
      <c r="R50" s="38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7"/>
      <c r="AG50" s="17"/>
      <c r="AH50" s="4"/>
      <c r="AI50" s="10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x14ac:dyDescent="0.2">
      <c r="A51" s="1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7"/>
      <c r="AG51" s="17"/>
      <c r="AH51" s="4"/>
      <c r="AI51" s="10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x14ac:dyDescent="0.2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 x14ac:dyDescent="0.2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17"/>
      <c r="N55" s="9"/>
      <c r="O55" s="9"/>
      <c r="P55" s="17"/>
      <c r="Q55" s="17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x14ac:dyDescent="0.2">
      <c r="A56" s="5"/>
      <c r="B56" s="70"/>
      <c r="C56" s="6"/>
      <c r="D56" s="6"/>
      <c r="E56" s="9"/>
      <c r="F56" s="10"/>
      <c r="G56" s="9"/>
      <c r="H56" s="9"/>
      <c r="I56" s="9"/>
      <c r="J56" s="9"/>
      <c r="K56" s="9"/>
      <c r="L56" s="9"/>
      <c r="M56" s="17"/>
      <c r="N56" s="9"/>
      <c r="O56" s="9"/>
      <c r="P56" s="17"/>
      <c r="Q56" s="17"/>
      <c r="R56" s="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6" x14ac:dyDescent="0.2">
      <c r="A57" s="5"/>
      <c r="B57" s="70"/>
      <c r="C57" s="6"/>
      <c r="D57" s="31"/>
      <c r="E57" s="9"/>
      <c r="F57" s="10"/>
      <c r="G57" s="9"/>
      <c r="H57" s="9"/>
      <c r="I57" s="9"/>
      <c r="J57" s="9"/>
      <c r="K57" s="9"/>
      <c r="L57" s="9"/>
      <c r="M57" s="17"/>
      <c r="N57" s="9"/>
      <c r="O57" s="9"/>
      <c r="P57" s="17"/>
      <c r="Q57" s="17"/>
      <c r="R57" s="4"/>
      <c r="S57" s="6"/>
      <c r="T57" s="30"/>
    </row>
    <row r="58" spans="1:47" ht="16" x14ac:dyDescent="0.2">
      <c r="A58" s="5"/>
      <c r="B58" s="70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6" x14ac:dyDescent="0.2">
      <c r="A59" s="5"/>
      <c r="B59" s="70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6" x14ac:dyDescent="0.2">
      <c r="A60" s="5"/>
      <c r="B60" s="70"/>
      <c r="C60" s="6"/>
      <c r="D60" s="16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6" x14ac:dyDescent="0.2">
      <c r="A61" s="5"/>
      <c r="B61" s="70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31"/>
      <c r="T61" s="32"/>
    </row>
    <row r="62" spans="1:47" ht="16" x14ac:dyDescent="0.2">
      <c r="C62" s="16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4"/>
      <c r="Q62" s="7"/>
      <c r="R62" s="7"/>
      <c r="S62" s="7"/>
      <c r="T62" s="6"/>
    </row>
    <row r="63" spans="1:47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2" enableFormatConditionsCalculation="0"/>
  <dimension ref="A1:AU70"/>
  <sheetViews>
    <sheetView topLeftCell="A12" workbookViewId="0">
      <selection activeCell="C24" sqref="C24"/>
    </sheetView>
  </sheetViews>
  <sheetFormatPr baseColWidth="10" defaultColWidth="8.83203125" defaultRowHeight="15" x14ac:dyDescent="0.2"/>
  <cols>
    <col min="1" max="1" width="21.6640625" style="2" customWidth="1"/>
    <col min="2" max="21" width="10.1640625" style="2" customWidth="1"/>
    <col min="22" max="16384" width="8.83203125" style="2"/>
  </cols>
  <sheetData>
    <row r="1" spans="1:35" ht="19" x14ac:dyDescent="0.25">
      <c r="A1" s="1" t="s">
        <v>0</v>
      </c>
      <c r="O1" s="3"/>
      <c r="P1" s="3"/>
      <c r="Q1" s="3"/>
      <c r="R1" s="3"/>
      <c r="S1" s="3"/>
      <c r="T1" s="3"/>
    </row>
    <row r="2" spans="1:35" ht="16" x14ac:dyDescent="0.2">
      <c r="A2" s="8" t="s">
        <v>59</v>
      </c>
      <c r="Q2" s="39"/>
      <c r="R2" s="8"/>
      <c r="AH2" s="39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66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9</v>
      </c>
      <c r="M3" s="6"/>
      <c r="N3" s="6" t="s">
        <v>10</v>
      </c>
      <c r="O3" s="7" t="s">
        <v>11</v>
      </c>
      <c r="Q3" s="39"/>
      <c r="R3" s="39"/>
      <c r="AH3" s="39"/>
      <c r="AI3" s="39"/>
    </row>
    <row r="4" spans="1:35" ht="15.75" x14ac:dyDescent="0.25">
      <c r="A4" s="8" t="s">
        <v>68</v>
      </c>
      <c r="B4" s="75">
        <f>0.95*39</f>
        <v>37.049999999999997</v>
      </c>
      <c r="Q4" s="39"/>
      <c r="R4" s="39"/>
      <c r="AH4" s="39"/>
      <c r="AI4" s="39"/>
    </row>
    <row r="5" spans="1:35" ht="15.75" x14ac:dyDescent="0.25">
      <c r="A5" s="39"/>
      <c r="Q5" s="39"/>
      <c r="R5" s="39"/>
      <c r="AH5" s="39"/>
      <c r="AI5" s="39"/>
    </row>
    <row r="6" spans="1:35" ht="16" x14ac:dyDescent="0.2">
      <c r="A6" s="8" t="s">
        <v>12</v>
      </c>
      <c r="B6" s="65">
        <v>0</v>
      </c>
      <c r="C6" s="65">
        <v>0</v>
      </c>
      <c r="D6" s="38">
        <v>0</v>
      </c>
      <c r="E6" s="38">
        <v>0</v>
      </c>
      <c r="F6" s="65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/>
      <c r="O6" s="65">
        <v>0</v>
      </c>
      <c r="Q6" s="39"/>
      <c r="R6" s="39"/>
      <c r="AH6" s="39"/>
      <c r="AI6" s="39"/>
    </row>
    <row r="7" spans="1:35" ht="16" x14ac:dyDescent="0.2">
      <c r="A7" s="8" t="s">
        <v>13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/>
      <c r="O7" s="38">
        <v>0</v>
      </c>
      <c r="P7" s="38"/>
      <c r="Q7" s="39"/>
      <c r="R7" s="39"/>
      <c r="AH7" s="39"/>
      <c r="AI7" s="39"/>
    </row>
    <row r="8" spans="1:35" ht="15.75" x14ac:dyDescent="0.25">
      <c r="A8" s="8" t="s">
        <v>14</v>
      </c>
      <c r="B8" s="38">
        <v>910125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/>
      <c r="O8" s="38">
        <v>0</v>
      </c>
      <c r="P8" s="38"/>
      <c r="Q8" s="39"/>
      <c r="R8" s="39"/>
      <c r="AH8" s="39"/>
      <c r="AI8" s="39"/>
    </row>
    <row r="9" spans="1:35" ht="15.75" x14ac:dyDescent="0.25">
      <c r="A9" s="8" t="s">
        <v>15</v>
      </c>
      <c r="B9" s="63">
        <v>31744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/>
      <c r="O9" s="38">
        <v>0</v>
      </c>
      <c r="P9" s="38"/>
      <c r="Q9" s="39"/>
      <c r="R9" s="39"/>
      <c r="S9" s="8"/>
      <c r="T9" s="43"/>
      <c r="U9" s="43"/>
      <c r="V9" s="43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43"/>
      <c r="AH9" s="39"/>
      <c r="AI9" s="39"/>
    </row>
    <row r="10" spans="1:35" ht="16" x14ac:dyDescent="0.2">
      <c r="A10" s="8" t="s">
        <v>16</v>
      </c>
      <c r="B10" s="64">
        <f>SUM(B4:B9)</f>
        <v>941906.05</v>
      </c>
      <c r="C10" s="65">
        <f>SUM(C6:C9)</f>
        <v>0</v>
      </c>
      <c r="D10" s="38">
        <v>0</v>
      </c>
      <c r="E10" s="38">
        <v>0</v>
      </c>
      <c r="F10" s="65">
        <f>SUM(F6:F9)</f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/>
      <c r="O10" s="65">
        <f>SUM(O6:O9)</f>
        <v>0</v>
      </c>
      <c r="P10" s="38"/>
      <c r="Q10" s="39"/>
      <c r="R10" s="39"/>
      <c r="S10" s="8"/>
      <c r="T10" s="43"/>
      <c r="U10" s="43"/>
      <c r="V10" s="43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43"/>
      <c r="AH10" s="39"/>
      <c r="AI10" s="39"/>
    </row>
    <row r="11" spans="1:35" ht="15.75" x14ac:dyDescent="0.25">
      <c r="O11" s="3"/>
      <c r="P11" s="3"/>
      <c r="Q11" s="3"/>
      <c r="R11" s="3"/>
      <c r="S11" s="3"/>
      <c r="T11" s="3"/>
    </row>
    <row r="12" spans="1:35" ht="15.75" x14ac:dyDescent="0.25">
      <c r="O12" s="3"/>
      <c r="P12" s="3"/>
      <c r="Q12" s="3"/>
      <c r="R12" s="3"/>
      <c r="S12" s="3"/>
      <c r="T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N13" s="11"/>
      <c r="O13" s="3"/>
      <c r="P13" s="3"/>
      <c r="Q13" s="3"/>
      <c r="R13" s="3"/>
      <c r="S13" s="3"/>
      <c r="T13" s="3"/>
    </row>
    <row r="14" spans="1:35" ht="16" x14ac:dyDescent="0.2">
      <c r="A14" s="4" t="s">
        <v>59</v>
      </c>
      <c r="O14" s="3"/>
      <c r="P14" s="3"/>
      <c r="Q14" s="3"/>
      <c r="R14" s="3"/>
      <c r="S14" s="3"/>
      <c r="T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66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/>
      <c r="N15" s="6" t="s">
        <v>10</v>
      </c>
      <c r="O15" s="16" t="s">
        <v>11</v>
      </c>
      <c r="P15" s="3"/>
      <c r="Q15" s="3"/>
      <c r="R15" s="3"/>
      <c r="S15" s="3"/>
      <c r="T15" s="3"/>
    </row>
    <row r="16" spans="1:35" ht="15.75" x14ac:dyDescent="0.25">
      <c r="O16" s="3"/>
      <c r="P16" s="3"/>
      <c r="Q16" s="3"/>
      <c r="R16" s="3"/>
      <c r="S16" s="3"/>
      <c r="T16" s="3"/>
    </row>
    <row r="17" spans="1:21" ht="16" x14ac:dyDescent="0.2">
      <c r="A17" s="8" t="s">
        <v>20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/>
      <c r="O17" s="38">
        <v>0</v>
      </c>
      <c r="P17" s="3"/>
      <c r="Q17" s="3"/>
      <c r="R17" s="3"/>
      <c r="S17" s="3"/>
      <c r="T17" s="3"/>
    </row>
    <row r="18" spans="1:21" ht="16" x14ac:dyDescent="0.2">
      <c r="A18" s="8" t="s">
        <v>21</v>
      </c>
      <c r="B18" s="59">
        <v>5000</v>
      </c>
      <c r="C18" s="59">
        <v>67</v>
      </c>
      <c r="D18" s="59">
        <v>0</v>
      </c>
      <c r="E18" s="38">
        <v>0</v>
      </c>
      <c r="F18" s="58">
        <v>1886</v>
      </c>
      <c r="G18" s="58">
        <v>3624</v>
      </c>
      <c r="H18" s="38">
        <v>0</v>
      </c>
      <c r="I18" s="38"/>
      <c r="J18" s="38"/>
      <c r="K18" s="38"/>
      <c r="L18" s="38"/>
      <c r="M18" s="38"/>
      <c r="N18" s="38"/>
      <c r="O18" s="59">
        <f>SUM(C18:N18)</f>
        <v>5577</v>
      </c>
      <c r="P18" s="3"/>
      <c r="Q18" s="3"/>
      <c r="R18" s="3"/>
      <c r="S18" s="3"/>
      <c r="T18" s="3"/>
    </row>
    <row r="19" spans="1:21" ht="15.75" x14ac:dyDescent="0.25">
      <c r="A19" s="8" t="s">
        <v>22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38"/>
      <c r="N19" s="58"/>
      <c r="O19" s="38">
        <v>0</v>
      </c>
      <c r="P19" s="3"/>
      <c r="Q19" s="3"/>
      <c r="R19" s="3"/>
      <c r="S19" s="3"/>
      <c r="T19" s="3"/>
    </row>
    <row r="20" spans="1:21" ht="16" x14ac:dyDescent="0.2">
      <c r="A20" s="8" t="s">
        <v>23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38"/>
      <c r="N20" s="38"/>
      <c r="O20" s="38">
        <v>0</v>
      </c>
      <c r="P20" s="3"/>
      <c r="Q20" s="3"/>
      <c r="R20" s="3"/>
      <c r="S20" s="3"/>
      <c r="T20" s="3"/>
    </row>
    <row r="21" spans="1:21" ht="16" x14ac:dyDescent="0.2">
      <c r="A21" s="8" t="s">
        <v>24</v>
      </c>
      <c r="B21" s="59">
        <v>27012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/>
      <c r="O21" s="38">
        <v>0</v>
      </c>
      <c r="P21" s="3"/>
      <c r="Q21" s="3"/>
      <c r="R21" s="3"/>
      <c r="S21" s="3" t="s">
        <v>26</v>
      </c>
      <c r="T21" s="12">
        <f>O42/1000</f>
        <v>3115.064649024087</v>
      </c>
      <c r="U21" s="3"/>
    </row>
    <row r="22" spans="1:21" ht="16" x14ac:dyDescent="0.2">
      <c r="A22" s="8" t="s">
        <v>25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61"/>
      <c r="K22" s="61"/>
      <c r="L22" s="61"/>
      <c r="M22" s="38"/>
      <c r="N22" s="38"/>
      <c r="O22" s="38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59">
        <f>SUM(B17:B22)</f>
        <v>32012</v>
      </c>
      <c r="C23" s="59">
        <f>SUM(C17:C22)</f>
        <v>67</v>
      </c>
      <c r="D23" s="59">
        <v>0</v>
      </c>
      <c r="E23" s="38">
        <v>0</v>
      </c>
      <c r="F23" s="58">
        <f>SUM(F17:F22)</f>
        <v>1886</v>
      </c>
      <c r="G23" s="58">
        <v>3624</v>
      </c>
      <c r="H23" s="38">
        <v>0</v>
      </c>
      <c r="I23" s="38"/>
      <c r="J23" s="61"/>
      <c r="K23" s="61"/>
      <c r="L23" s="61"/>
      <c r="M23" s="38"/>
      <c r="N23" s="38"/>
      <c r="O23" s="59">
        <f>SUM(O18:O22)</f>
        <v>5577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J24" s="62"/>
      <c r="K24" s="62"/>
      <c r="L24" s="62"/>
      <c r="O24" s="3"/>
      <c r="P24" s="3"/>
      <c r="Q24" s="3"/>
      <c r="R24" s="3"/>
      <c r="S24" s="3" t="s">
        <v>10</v>
      </c>
      <c r="T24" s="13">
        <f>N42/1000</f>
        <v>211.60464902408685</v>
      </c>
      <c r="U24" s="14">
        <f>N43</f>
        <v>6.7929456645588429E-2</v>
      </c>
    </row>
    <row r="25" spans="1:21" ht="16" x14ac:dyDescent="0.2">
      <c r="B25" s="56"/>
      <c r="O25" s="3"/>
      <c r="P25" s="3"/>
      <c r="Q25" s="3"/>
      <c r="R25" s="3"/>
      <c r="S25" s="3" t="s">
        <v>66</v>
      </c>
      <c r="T25" s="13">
        <f>G42/1000</f>
        <v>196.524</v>
      </c>
      <c r="U25" s="15">
        <f>G43</f>
        <v>6.3088257273109447E-2</v>
      </c>
    </row>
    <row r="26" spans="1:21" ht="15.75" x14ac:dyDescent="0.25">
      <c r="O26" s="3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O27" s="3"/>
      <c r="P27" s="3"/>
      <c r="Q27" s="3"/>
      <c r="R27" s="3"/>
      <c r="S27" s="3" t="s">
        <v>31</v>
      </c>
      <c r="T27" s="13">
        <f>F42/1000</f>
        <v>8.7569999999999997</v>
      </c>
      <c r="U27" s="14">
        <f>F43</f>
        <v>2.8111776115925763E-3</v>
      </c>
    </row>
    <row r="28" spans="1:21" ht="16" x14ac:dyDescent="0.2">
      <c r="A28" s="4" t="s">
        <v>59</v>
      </c>
      <c r="G28" s="16"/>
      <c r="N28" s="16"/>
      <c r="O28" s="3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66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4">
        <f>D43</f>
        <v>0</v>
      </c>
    </row>
    <row r="30" spans="1:21" ht="15.75" x14ac:dyDescent="0.25">
      <c r="B30" s="16"/>
      <c r="O30" s="3"/>
      <c r="P30" s="3"/>
      <c r="Q30" s="3"/>
      <c r="R30" s="3"/>
      <c r="S30" s="2" t="s">
        <v>8</v>
      </c>
      <c r="T30" s="2">
        <f>K42/1000</f>
        <v>0</v>
      </c>
      <c r="U30" s="44">
        <f>K43</f>
        <v>0</v>
      </c>
    </row>
    <row r="31" spans="1:21" ht="15.75" x14ac:dyDescent="0.25">
      <c r="A31" s="8" t="s">
        <v>33</v>
      </c>
      <c r="B31" s="38">
        <v>0</v>
      </c>
      <c r="C31" s="38">
        <v>87</v>
      </c>
      <c r="D31" s="38">
        <v>0</v>
      </c>
      <c r="E31" s="38">
        <v>0</v>
      </c>
      <c r="F31" s="38">
        <v>8</v>
      </c>
      <c r="G31" s="38">
        <v>0</v>
      </c>
      <c r="H31" s="38">
        <v>0</v>
      </c>
      <c r="I31" s="38"/>
      <c r="J31" s="38"/>
      <c r="K31" s="38"/>
      <c r="L31" s="38"/>
      <c r="M31" s="39"/>
      <c r="N31" s="38">
        <v>705</v>
      </c>
      <c r="O31" s="38">
        <v>800</v>
      </c>
      <c r="P31" s="18">
        <f>O31/O$39</f>
        <v>2.563339124007869E-4</v>
      </c>
      <c r="Q31" s="19" t="s">
        <v>34</v>
      </c>
      <c r="R31" s="3"/>
      <c r="S31" s="3" t="s">
        <v>5</v>
      </c>
      <c r="T31" s="13">
        <f>I42/1000</f>
        <v>2585</v>
      </c>
      <c r="U31" s="14">
        <f>I43</f>
        <v>0.82983831517264017</v>
      </c>
    </row>
    <row r="32" spans="1:21" ht="15.75" x14ac:dyDescent="0.25">
      <c r="A32" s="8" t="s">
        <v>36</v>
      </c>
      <c r="B32" s="64">
        <f>(B39-B37-B36)*2077/(2077+4661+2105)</f>
        <v>2459.6114440800634</v>
      </c>
      <c r="C32" s="72">
        <v>27136</v>
      </c>
      <c r="D32" s="38">
        <v>0</v>
      </c>
      <c r="E32" s="38">
        <v>0</v>
      </c>
      <c r="F32" s="72">
        <v>0</v>
      </c>
      <c r="G32" s="73">
        <v>180600</v>
      </c>
      <c r="H32" s="38">
        <v>0</v>
      </c>
      <c r="I32" s="73">
        <v>2585000</v>
      </c>
      <c r="J32" s="38"/>
      <c r="K32" s="38"/>
      <c r="L32" s="38"/>
      <c r="M32" s="38"/>
      <c r="N32" s="73">
        <f>404269-290055+10000</f>
        <v>124214</v>
      </c>
      <c r="O32" s="64">
        <f>SUM(B32:N32)</f>
        <v>2919409.6114440802</v>
      </c>
      <c r="P32" s="18">
        <f>O32/O$39</f>
        <v>0.93542960950240284</v>
      </c>
      <c r="Q32" s="19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7" ht="15.75" x14ac:dyDescent="0.25">
      <c r="A33" s="8" t="s">
        <v>38</v>
      </c>
      <c r="B33" s="64">
        <f>(B39-B37-B36)*4661/(2077+4661+2105)</f>
        <v>5519.6191337781293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/>
      <c r="N33" s="38">
        <v>10231</v>
      </c>
      <c r="O33" s="64">
        <f>SUM(B33:N33)</f>
        <v>15750.619133778129</v>
      </c>
      <c r="P33" s="18">
        <f>O33/O$39</f>
        <v>5.0467722816200516E-3</v>
      </c>
      <c r="Q33" s="19" t="s">
        <v>39</v>
      </c>
      <c r="R33" s="3"/>
      <c r="S33" s="3" t="s">
        <v>35</v>
      </c>
      <c r="T33" s="13">
        <f>C42/1000</f>
        <v>113.179</v>
      </c>
      <c r="U33" s="15">
        <f>C43</f>
        <v>3.6332793297069337E-2</v>
      </c>
    </row>
    <row r="34" spans="1:47" ht="15.75" x14ac:dyDescent="0.25">
      <c r="A34" s="8" t="s">
        <v>40</v>
      </c>
      <c r="B34" s="38">
        <v>0</v>
      </c>
      <c r="C34" s="38">
        <v>83876</v>
      </c>
      <c r="D34" s="38">
        <v>0</v>
      </c>
      <c r="E34" s="38">
        <v>0</v>
      </c>
      <c r="F34" s="38">
        <v>6863</v>
      </c>
      <c r="G34" s="38">
        <v>0</v>
      </c>
      <c r="H34" s="38">
        <v>0</v>
      </c>
      <c r="I34" s="38"/>
      <c r="J34" s="38"/>
      <c r="K34" s="38"/>
      <c r="L34" s="38"/>
      <c r="M34" s="38"/>
      <c r="N34" s="38">
        <v>2</v>
      </c>
      <c r="O34" s="38">
        <v>90741</v>
      </c>
      <c r="P34" s="18">
        <f>O34/O$39</f>
        <v>2.9074994431449758E-2</v>
      </c>
      <c r="Q34" s="19" t="s">
        <v>41</v>
      </c>
      <c r="R34" s="3"/>
      <c r="S34" s="3"/>
      <c r="T34" s="13">
        <f>SUM(T24:T33)</f>
        <v>3115.064649024087</v>
      </c>
      <c r="U34" s="14">
        <f>SUM(U24:U33)</f>
        <v>0.99999999999999989</v>
      </c>
    </row>
    <row r="35" spans="1:47" ht="16" x14ac:dyDescent="0.2">
      <c r="A35" s="8" t="s">
        <v>42</v>
      </c>
      <c r="B35" s="64">
        <f>(B39-B37-B36)*2105/(2077+4661+2105)</f>
        <v>2492.7694221418069</v>
      </c>
      <c r="C35" s="64">
        <v>1600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/>
      <c r="N35" s="64">
        <f>O35-C35-B35</f>
        <v>15152.230577858194</v>
      </c>
      <c r="O35" s="38">
        <v>19245</v>
      </c>
      <c r="P35" s="18">
        <f>O35/O$39</f>
        <v>6.1664326801914304E-3</v>
      </c>
      <c r="Q35" s="19" t="s">
        <v>43</v>
      </c>
      <c r="R35" s="19"/>
    </row>
    <row r="36" spans="1:47" ht="16" x14ac:dyDescent="0.2">
      <c r="A36" s="8" t="s">
        <v>44</v>
      </c>
      <c r="B36" s="59">
        <f>O36-N36-G36-C36</f>
        <v>3144</v>
      </c>
      <c r="C36" s="38">
        <v>413</v>
      </c>
      <c r="D36" s="38">
        <v>0</v>
      </c>
      <c r="E36" s="38">
        <v>0</v>
      </c>
      <c r="F36" s="38">
        <v>0</v>
      </c>
      <c r="G36" s="64">
        <v>12300</v>
      </c>
      <c r="H36" s="38">
        <v>0</v>
      </c>
      <c r="I36" s="38"/>
      <c r="J36" s="38"/>
      <c r="K36" s="38"/>
      <c r="L36" s="38"/>
      <c r="M36" s="38"/>
      <c r="N36" s="38">
        <v>37908</v>
      </c>
      <c r="O36" s="38">
        <v>53765</v>
      </c>
      <c r="P36" s="19"/>
      <c r="Q36" s="19"/>
      <c r="R36" s="3"/>
      <c r="S36" s="7"/>
      <c r="T36" s="7"/>
      <c r="U36" s="7"/>
    </row>
    <row r="37" spans="1:47" ht="15.75" x14ac:dyDescent="0.25">
      <c r="A37" s="8" t="s">
        <v>45</v>
      </c>
      <c r="B37" s="59">
        <v>13500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/>
      <c r="N37" s="38">
        <v>3371</v>
      </c>
      <c r="O37" s="64">
        <f>SUM(B37:N37)</f>
        <v>16871</v>
      </c>
      <c r="P37" s="19"/>
      <c r="Q37" s="19"/>
      <c r="R37" s="3"/>
      <c r="S37" s="7"/>
      <c r="T37" s="7" t="s">
        <v>27</v>
      </c>
      <c r="U37" s="7" t="s">
        <v>28</v>
      </c>
    </row>
    <row r="38" spans="1:47" ht="16" x14ac:dyDescent="0.2">
      <c r="A38" s="8" t="s">
        <v>46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/>
      <c r="N38" s="38">
        <v>4347</v>
      </c>
      <c r="O38" s="38">
        <v>4347</v>
      </c>
      <c r="P38" s="19">
        <f>SUM(P31:P35)</f>
        <v>0.97597414280806494</v>
      </c>
      <c r="Q38" s="19"/>
      <c r="R38" s="3"/>
      <c r="S38" s="7" t="s">
        <v>47</v>
      </c>
      <c r="T38" s="20">
        <f>O45/1000</f>
        <v>20.570418446228658</v>
      </c>
      <c r="U38" s="7"/>
    </row>
    <row r="39" spans="1:47" ht="16" x14ac:dyDescent="0.2">
      <c r="A39" s="8" t="s">
        <v>16</v>
      </c>
      <c r="B39" s="38">
        <v>27116</v>
      </c>
      <c r="C39" s="64">
        <f>SUM(C31:C38)</f>
        <v>113112</v>
      </c>
      <c r="D39" s="38">
        <v>0</v>
      </c>
      <c r="E39" s="38">
        <v>0</v>
      </c>
      <c r="F39" s="64">
        <f>SUM(F31:F38)</f>
        <v>6871</v>
      </c>
      <c r="G39" s="64">
        <f>SUM(G31:G38)</f>
        <v>192900</v>
      </c>
      <c r="H39" s="38">
        <v>0</v>
      </c>
      <c r="I39" s="73">
        <f>SUM(I32:I38)</f>
        <v>2585000</v>
      </c>
      <c r="J39" s="38"/>
      <c r="K39" s="38"/>
      <c r="L39" s="38"/>
      <c r="M39" s="38"/>
      <c r="N39" s="64">
        <f>SUM(N31:N38)</f>
        <v>195930.23057785819</v>
      </c>
      <c r="O39" s="64">
        <f>SUM(O31:O38)</f>
        <v>3120929.2305778582</v>
      </c>
      <c r="P39" s="3"/>
      <c r="Q39" s="3"/>
      <c r="R39" s="3"/>
      <c r="S39" s="7" t="s">
        <v>48</v>
      </c>
      <c r="T39" s="21">
        <f>O41/1000</f>
        <v>74.983000000000004</v>
      </c>
      <c r="U39" s="14">
        <f>P41</f>
        <v>2.4025857191935257E-2</v>
      </c>
    </row>
    <row r="40" spans="1:47" x14ac:dyDescent="0.2">
      <c r="N40" s="16"/>
      <c r="O40" s="16"/>
      <c r="S40" s="7" t="s">
        <v>49</v>
      </c>
      <c r="T40" s="21">
        <f>O35/1000</f>
        <v>19.245000000000001</v>
      </c>
      <c r="U40" s="15">
        <f>P35</f>
        <v>6.1664326801914304E-3</v>
      </c>
    </row>
    <row r="41" spans="1:47" ht="16" x14ac:dyDescent="0.2">
      <c r="A41" s="22" t="s">
        <v>50</v>
      </c>
      <c r="B41" s="23">
        <f>B38+B37+B36</f>
        <v>16644</v>
      </c>
      <c r="C41" s="23">
        <f t="shared" ref="C41:O41" si="0">C38+C37+C36</f>
        <v>413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12300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0</v>
      </c>
      <c r="N41" s="23">
        <f t="shared" si="0"/>
        <v>45626</v>
      </c>
      <c r="O41" s="23">
        <f t="shared" si="0"/>
        <v>74983</v>
      </c>
      <c r="P41" s="18">
        <f>O41/O$39</f>
        <v>2.4025857191935257E-2</v>
      </c>
      <c r="Q41" s="18" t="s">
        <v>51</v>
      </c>
      <c r="R41" s="7"/>
      <c r="S41" s="7" t="s">
        <v>52</v>
      </c>
      <c r="T41" s="21">
        <f>O33/1000</f>
        <v>15.750619133778129</v>
      </c>
      <c r="U41" s="14">
        <f>P33</f>
        <v>5.0467722816200516E-3</v>
      </c>
    </row>
    <row r="42" spans="1:47" ht="16" x14ac:dyDescent="0.2">
      <c r="A42" s="24" t="s">
        <v>53</v>
      </c>
      <c r="B42" s="23"/>
      <c r="C42" s="25">
        <f>C39+C23+C10</f>
        <v>113179</v>
      </c>
      <c r="D42" s="25">
        <f t="shared" ref="D42:M42" si="1">D39+D23+D10</f>
        <v>0</v>
      </c>
      <c r="E42" s="25">
        <f t="shared" si="1"/>
        <v>0</v>
      </c>
      <c r="F42" s="25">
        <f t="shared" si="1"/>
        <v>8757</v>
      </c>
      <c r="G42" s="25">
        <f t="shared" si="1"/>
        <v>196524</v>
      </c>
      <c r="H42" s="25">
        <f t="shared" si="1"/>
        <v>0</v>
      </c>
      <c r="I42" s="25">
        <f t="shared" si="1"/>
        <v>2585000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 t="shared" si="1"/>
        <v>0</v>
      </c>
      <c r="N42" s="25">
        <f>N39+N23-B6+N45</f>
        <v>211604.64902408686</v>
      </c>
      <c r="O42" s="26">
        <f>SUM(C42:N42)</f>
        <v>3115064.649024087</v>
      </c>
      <c r="P42" s="7"/>
      <c r="Q42" s="7"/>
      <c r="R42" s="7"/>
      <c r="S42" s="7" t="s">
        <v>34</v>
      </c>
      <c r="T42" s="21">
        <f>O31/1000</f>
        <v>0.8</v>
      </c>
      <c r="U42" s="14">
        <f>P31</f>
        <v>2.563339124007869E-4</v>
      </c>
    </row>
    <row r="43" spans="1:47" ht="16" x14ac:dyDescent="0.2">
      <c r="A43" s="24" t="s">
        <v>54</v>
      </c>
      <c r="B43" s="23"/>
      <c r="C43" s="18">
        <f t="shared" ref="C43:N43" si="2">C42/$O42</f>
        <v>3.6332793297069337E-2</v>
      </c>
      <c r="D43" s="18">
        <f t="shared" si="2"/>
        <v>0</v>
      </c>
      <c r="E43" s="18">
        <f t="shared" si="2"/>
        <v>0</v>
      </c>
      <c r="F43" s="18">
        <f t="shared" si="2"/>
        <v>2.8111776115925763E-3</v>
      </c>
      <c r="G43" s="18">
        <f t="shared" si="2"/>
        <v>6.3088257273109447E-2</v>
      </c>
      <c r="H43" s="18">
        <f t="shared" si="2"/>
        <v>0</v>
      </c>
      <c r="I43" s="18">
        <f t="shared" si="2"/>
        <v>0.82983831517264017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</v>
      </c>
      <c r="N43" s="18">
        <f t="shared" si="2"/>
        <v>6.7929456645588429E-2</v>
      </c>
      <c r="O43" s="18">
        <f>SUM(C43:N43)</f>
        <v>1</v>
      </c>
      <c r="P43" s="7"/>
      <c r="Q43" s="7"/>
      <c r="R43" s="7"/>
      <c r="S43" s="7" t="s">
        <v>55</v>
      </c>
      <c r="T43" s="21">
        <f>O32/1000</f>
        <v>2919.4096114440804</v>
      </c>
      <c r="U43" s="15">
        <f>P32</f>
        <v>0.93542960950240284</v>
      </c>
    </row>
    <row r="44" spans="1:4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1">
        <f>O34/1000</f>
        <v>90.741</v>
      </c>
      <c r="U44" s="15">
        <f>P34</f>
        <v>2.9074994431449758E-2</v>
      </c>
    </row>
    <row r="45" spans="1:47" ht="16" x14ac:dyDescent="0.2">
      <c r="A45" s="6" t="s">
        <v>57</v>
      </c>
      <c r="B45" s="6">
        <f>B23-B39</f>
        <v>4896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7">
        <f>N39*0.08</f>
        <v>15674.418446228656</v>
      </c>
      <c r="O45" s="26">
        <f>B45+N45</f>
        <v>20570.418446228658</v>
      </c>
      <c r="P45" s="7"/>
      <c r="Q45" s="7"/>
      <c r="R45" s="7"/>
      <c r="S45" s="7" t="s">
        <v>58</v>
      </c>
      <c r="T45" s="21">
        <f>SUM(T39:T44)</f>
        <v>3120.9292305778586</v>
      </c>
      <c r="U45" s="14">
        <f>SUM(U39:U44)</f>
        <v>1</v>
      </c>
    </row>
    <row r="46" spans="1:47" ht="16" x14ac:dyDescent="0.2">
      <c r="A46" s="6"/>
      <c r="B46" s="68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x14ac:dyDescent="0.2">
      <c r="A47" s="4"/>
      <c r="B47" s="4"/>
      <c r="C47" s="9"/>
      <c r="D47" s="9"/>
      <c r="E47" s="9"/>
      <c r="F47" s="9"/>
      <c r="G47" s="9"/>
      <c r="H47" s="9"/>
      <c r="I47" s="9"/>
      <c r="J47" s="9"/>
      <c r="K47" s="9"/>
      <c r="L47" s="9"/>
      <c r="M47" s="17"/>
      <c r="N47" s="9"/>
      <c r="O47" s="9"/>
      <c r="P47" s="17"/>
      <c r="Q47" s="4"/>
      <c r="R47" s="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7"/>
      <c r="AG47" s="4"/>
      <c r="AH47" s="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x14ac:dyDescent="0.2"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17"/>
      <c r="AG48" s="17"/>
      <c r="AH48" s="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7"/>
      <c r="Q49" s="17"/>
      <c r="R49" s="17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7"/>
      <c r="AG49" s="17"/>
      <c r="AH49" s="4"/>
      <c r="AI49" s="10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ht="16" x14ac:dyDescent="0.2">
      <c r="A50" s="4"/>
      <c r="B50" s="38"/>
      <c r="C50" s="38"/>
      <c r="D50" s="38"/>
      <c r="E50" s="65"/>
      <c r="F50" s="38"/>
      <c r="G50" s="38"/>
      <c r="I50" s="38"/>
      <c r="J50" s="38"/>
      <c r="K50" s="38"/>
      <c r="L50" s="69"/>
      <c r="M50" s="38"/>
      <c r="N50" s="38"/>
      <c r="O50" s="38"/>
      <c r="P50" s="38"/>
      <c r="Q50" s="38"/>
      <c r="R50" s="38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7"/>
      <c r="AG50" s="17"/>
      <c r="AH50" s="4"/>
      <c r="AI50" s="10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x14ac:dyDescent="0.2">
      <c r="A51" s="4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7"/>
      <c r="AG51" s="17"/>
      <c r="AH51" s="4"/>
      <c r="AI51" s="10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x14ac:dyDescent="0.2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17"/>
      <c r="AG52" s="17"/>
      <c r="AH52" s="4"/>
      <c r="AI52" s="10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x14ac:dyDescent="0.2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17"/>
      <c r="AG53" s="17"/>
      <c r="AH53" s="4"/>
      <c r="AI53" s="10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17"/>
      <c r="AG54" s="17"/>
      <c r="AH54" s="4"/>
      <c r="AI54" s="10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17"/>
      <c r="N55" s="9"/>
      <c r="O55" s="9"/>
      <c r="P55" s="17"/>
      <c r="Q55" s="17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17"/>
      <c r="AG55" s="17"/>
      <c r="AH55" s="4"/>
      <c r="AI55" s="10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x14ac:dyDescent="0.2">
      <c r="A56" s="5"/>
      <c r="B56" s="70"/>
      <c r="C56" s="6"/>
      <c r="D56" s="6"/>
      <c r="E56" s="9"/>
      <c r="F56" s="10"/>
      <c r="G56" s="9"/>
      <c r="H56" s="9"/>
      <c r="I56" s="9"/>
      <c r="J56" s="9"/>
      <c r="K56" s="9"/>
      <c r="L56" s="9"/>
      <c r="M56" s="17"/>
      <c r="N56" s="9"/>
      <c r="O56" s="9"/>
      <c r="P56" s="17"/>
      <c r="Q56" s="17"/>
      <c r="R56" s="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17"/>
      <c r="AG56" s="17"/>
      <c r="AH56" s="4"/>
      <c r="AI56" s="10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ht="16" x14ac:dyDescent="0.2">
      <c r="A57" s="5"/>
      <c r="B57" s="70"/>
      <c r="C57" s="6"/>
      <c r="D57" s="31"/>
      <c r="E57" s="9"/>
      <c r="F57" s="10"/>
      <c r="G57" s="9"/>
      <c r="H57" s="9"/>
      <c r="I57" s="9"/>
      <c r="J57" s="9"/>
      <c r="K57" s="9"/>
      <c r="L57" s="9"/>
      <c r="M57" s="17"/>
      <c r="N57" s="9"/>
      <c r="O57" s="9"/>
      <c r="P57" s="17"/>
      <c r="Q57" s="17"/>
      <c r="R57" s="4"/>
      <c r="S57" s="6"/>
      <c r="T57" s="30"/>
    </row>
    <row r="58" spans="1:47" ht="16" x14ac:dyDescent="0.2">
      <c r="A58" s="5"/>
      <c r="B58" s="70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6" x14ac:dyDescent="0.2">
      <c r="A59" s="5"/>
      <c r="B59" s="70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6" x14ac:dyDescent="0.2">
      <c r="A60" s="5"/>
      <c r="B60" s="70"/>
      <c r="C60" s="6"/>
      <c r="D60" s="16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6" x14ac:dyDescent="0.2">
      <c r="A61" s="5"/>
      <c r="B61" s="70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31"/>
      <c r="T61" s="32"/>
    </row>
    <row r="62" spans="1:47" ht="16" x14ac:dyDescent="0.2">
      <c r="C62" s="16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4"/>
      <c r="Q62" s="7"/>
      <c r="R62" s="7"/>
      <c r="S62" s="7"/>
      <c r="T62" s="6"/>
    </row>
    <row r="63" spans="1:47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0" enableFormatConditionsCalculation="0"/>
  <dimension ref="A1:AU144"/>
  <sheetViews>
    <sheetView workbookViewId="0">
      <selection activeCell="B50" sqref="B50"/>
    </sheetView>
  </sheetViews>
  <sheetFormatPr baseColWidth="10" defaultColWidth="8.83203125" defaultRowHeight="15" x14ac:dyDescent="0.2"/>
  <cols>
    <col min="1" max="1" width="21.6640625" style="2" customWidth="1"/>
    <col min="2" max="21" width="10.1640625" style="2" customWidth="1"/>
    <col min="22" max="16384" width="8.83203125" style="2"/>
  </cols>
  <sheetData>
    <row r="1" spans="1:35" ht="19" x14ac:dyDescent="0.25">
      <c r="A1" s="1" t="s">
        <v>0</v>
      </c>
      <c r="O1" s="3"/>
      <c r="P1" s="3"/>
      <c r="Q1" s="3"/>
      <c r="R1" s="3"/>
      <c r="S1" s="3"/>
      <c r="T1" s="3"/>
    </row>
    <row r="2" spans="1:35" ht="15.75" x14ac:dyDescent="0.25">
      <c r="A2" s="8" t="s">
        <v>60</v>
      </c>
      <c r="Q2" s="39"/>
      <c r="R2" s="8"/>
      <c r="AH2" s="39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66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9</v>
      </c>
      <c r="M3" s="6"/>
      <c r="N3" s="6" t="s">
        <v>10</v>
      </c>
      <c r="O3" s="7" t="s">
        <v>11</v>
      </c>
      <c r="Q3" s="39"/>
      <c r="R3" s="39"/>
      <c r="AH3" s="39"/>
      <c r="AI3" s="39"/>
    </row>
    <row r="4" spans="1:35" ht="15.75" x14ac:dyDescent="0.25">
      <c r="A4" s="8" t="s">
        <v>68</v>
      </c>
      <c r="B4" s="75">
        <f>0.95*216</f>
        <v>205.2</v>
      </c>
      <c r="Q4" s="39"/>
      <c r="R4" s="39"/>
      <c r="AH4" s="39"/>
      <c r="AI4" s="39"/>
    </row>
    <row r="5" spans="1:35" ht="15.75" x14ac:dyDescent="0.25">
      <c r="A5" s="39"/>
      <c r="Q5" s="39"/>
      <c r="R5" s="39"/>
      <c r="AH5" s="39"/>
      <c r="AI5" s="39"/>
    </row>
    <row r="6" spans="1:35" ht="16" x14ac:dyDescent="0.2">
      <c r="A6" s="8" t="s">
        <v>12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/>
      <c r="O6" s="38">
        <v>0</v>
      </c>
      <c r="Q6" s="39"/>
      <c r="R6" s="39"/>
      <c r="AH6" s="39"/>
      <c r="AI6" s="39"/>
    </row>
    <row r="7" spans="1:35" ht="16" x14ac:dyDescent="0.2">
      <c r="A7" s="8" t="s">
        <v>13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/>
      <c r="O7" s="38">
        <v>0</v>
      </c>
      <c r="P7" s="38"/>
      <c r="Q7" s="39"/>
      <c r="R7" s="39"/>
      <c r="AH7" s="39"/>
      <c r="AI7" s="39"/>
    </row>
    <row r="8" spans="1:35" ht="15.75" x14ac:dyDescent="0.25">
      <c r="A8" s="8" t="s">
        <v>14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/>
      <c r="O8" s="38">
        <v>0</v>
      </c>
      <c r="P8" s="38"/>
      <c r="Q8" s="39"/>
      <c r="R8" s="39"/>
      <c r="AH8" s="39"/>
      <c r="AI8" s="39"/>
    </row>
    <row r="9" spans="1:35" ht="15.75" x14ac:dyDescent="0.25">
      <c r="A9" s="8" t="s">
        <v>15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/>
      <c r="O9" s="38">
        <v>0</v>
      </c>
      <c r="P9" s="38"/>
      <c r="Q9" s="39"/>
      <c r="R9" s="39"/>
      <c r="S9" s="8"/>
      <c r="T9" s="43"/>
      <c r="U9" s="43"/>
      <c r="V9" s="38"/>
      <c r="W9" s="38"/>
      <c r="X9" s="38"/>
      <c r="Y9" s="43"/>
      <c r="Z9" s="38"/>
      <c r="AA9" s="38"/>
      <c r="AB9" s="38"/>
      <c r="AC9" s="38"/>
      <c r="AD9" s="38"/>
      <c r="AE9" s="38"/>
      <c r="AF9" s="38"/>
      <c r="AG9" s="43"/>
      <c r="AH9" s="39"/>
      <c r="AI9" s="39"/>
    </row>
    <row r="10" spans="1:35" ht="16" x14ac:dyDescent="0.2">
      <c r="A10" s="8" t="s">
        <v>16</v>
      </c>
      <c r="B10" s="58">
        <f>SUM(B4:B9)</f>
        <v>205.2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/>
      <c r="O10" s="38">
        <v>0</v>
      </c>
      <c r="P10" s="38"/>
      <c r="Q10" s="39"/>
      <c r="R10" s="39"/>
      <c r="S10" s="8"/>
      <c r="T10" s="43"/>
      <c r="U10" s="43"/>
      <c r="V10" s="38"/>
      <c r="W10" s="38"/>
      <c r="X10" s="38"/>
      <c r="Y10" s="43"/>
      <c r="Z10" s="38"/>
      <c r="AA10" s="38"/>
      <c r="AB10" s="38"/>
      <c r="AC10" s="38"/>
      <c r="AD10" s="38"/>
      <c r="AE10" s="38"/>
      <c r="AF10" s="38"/>
      <c r="AG10" s="43"/>
      <c r="AH10" s="39"/>
      <c r="AI10" s="39"/>
    </row>
    <row r="11" spans="1:35" ht="15.75" x14ac:dyDescent="0.25">
      <c r="O11" s="3"/>
      <c r="P11" s="3"/>
      <c r="Q11" s="3"/>
      <c r="R11" s="3"/>
      <c r="S11" s="3"/>
      <c r="T11" s="3"/>
    </row>
    <row r="12" spans="1:35" ht="15.75" x14ac:dyDescent="0.25">
      <c r="O12" s="3"/>
      <c r="P12" s="3"/>
      <c r="Q12" s="3"/>
      <c r="R12" s="3"/>
      <c r="S12" s="3"/>
      <c r="T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N13" s="11"/>
      <c r="O13" s="3"/>
      <c r="P13" s="3"/>
      <c r="Q13" s="3"/>
      <c r="R13" s="3"/>
      <c r="S13" s="3"/>
      <c r="T13" s="3"/>
    </row>
    <row r="14" spans="1:35" ht="15.75" x14ac:dyDescent="0.25">
      <c r="A14" s="4" t="s">
        <v>60</v>
      </c>
      <c r="O14" s="3"/>
      <c r="P14" s="3"/>
      <c r="Q14" s="3"/>
      <c r="R14" s="3"/>
      <c r="S14" s="3"/>
      <c r="T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66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/>
      <c r="N15" s="6" t="s">
        <v>10</v>
      </c>
      <c r="O15" s="16" t="s">
        <v>11</v>
      </c>
      <c r="P15" s="3"/>
      <c r="Q15" s="3"/>
      <c r="R15" s="3"/>
      <c r="S15" s="3"/>
      <c r="T15" s="3"/>
    </row>
    <row r="16" spans="1:35" ht="15.75" x14ac:dyDescent="0.25">
      <c r="O16" s="3"/>
      <c r="P16" s="3"/>
      <c r="Q16" s="3"/>
      <c r="R16" s="3"/>
      <c r="S16" s="3"/>
      <c r="T16" s="3"/>
    </row>
    <row r="17" spans="1:21" ht="16" x14ac:dyDescent="0.2">
      <c r="A17" s="8" t="s">
        <v>20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/>
      <c r="O17" s="38">
        <v>0</v>
      </c>
      <c r="P17" s="3"/>
      <c r="Q17" s="3"/>
      <c r="R17" s="3"/>
      <c r="S17" s="3"/>
      <c r="T17" s="3"/>
    </row>
    <row r="18" spans="1:21" ht="16" x14ac:dyDescent="0.2">
      <c r="A18" s="8" t="s">
        <v>21</v>
      </c>
      <c r="B18" s="59">
        <v>62000</v>
      </c>
      <c r="C18" s="59">
        <v>1100</v>
      </c>
      <c r="D18" s="38">
        <v>0</v>
      </c>
      <c r="E18" s="38">
        <v>0</v>
      </c>
      <c r="F18" s="38">
        <v>0</v>
      </c>
      <c r="G18" s="59">
        <v>72000</v>
      </c>
      <c r="H18" s="38">
        <v>0</v>
      </c>
      <c r="I18" s="38"/>
      <c r="J18" s="38"/>
      <c r="K18" s="38"/>
      <c r="L18" s="38"/>
      <c r="M18" s="38"/>
      <c r="N18" s="38"/>
      <c r="O18" s="59">
        <f>SUM(C18:N18)</f>
        <v>73100</v>
      </c>
      <c r="P18" s="3"/>
      <c r="Q18" s="3"/>
      <c r="R18" s="3"/>
      <c r="S18" s="3"/>
      <c r="T18" s="3"/>
    </row>
    <row r="19" spans="1:21" ht="15.75" x14ac:dyDescent="0.25">
      <c r="A19" s="8" t="s">
        <v>22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38"/>
      <c r="N19" s="58"/>
      <c r="O19" s="38">
        <v>0</v>
      </c>
      <c r="P19" s="3"/>
      <c r="Q19" s="3"/>
      <c r="R19" s="3"/>
      <c r="S19" s="3"/>
      <c r="T19" s="3"/>
    </row>
    <row r="20" spans="1:21" ht="16" x14ac:dyDescent="0.2">
      <c r="A20" s="8" t="s">
        <v>23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38"/>
      <c r="N20" s="38"/>
      <c r="O20" s="38">
        <v>0</v>
      </c>
      <c r="P20" s="3"/>
      <c r="Q20" s="3"/>
      <c r="R20" s="3"/>
      <c r="S20" s="3"/>
      <c r="T20" s="3"/>
    </row>
    <row r="21" spans="1:21" ht="16" x14ac:dyDescent="0.2">
      <c r="A21" s="8" t="s">
        <v>24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/>
      <c r="O21" s="38">
        <v>0</v>
      </c>
      <c r="P21" s="3"/>
      <c r="Q21" s="3"/>
      <c r="R21" s="3"/>
      <c r="S21" s="3" t="s">
        <v>26</v>
      </c>
      <c r="T21" s="12">
        <f>O42/1000</f>
        <v>317.23446481037593</v>
      </c>
      <c r="U21" s="3"/>
    </row>
    <row r="22" spans="1:21" ht="16" x14ac:dyDescent="0.2">
      <c r="A22" s="8" t="s">
        <v>25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/>
      <c r="O22" s="38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59">
        <f>SUM(B17:B22)</f>
        <v>62000</v>
      </c>
      <c r="C23" s="59">
        <f>SUM(C17:C22)</f>
        <v>1100</v>
      </c>
      <c r="D23" s="38">
        <v>0</v>
      </c>
      <c r="E23" s="38">
        <v>0</v>
      </c>
      <c r="F23" s="38">
        <v>0</v>
      </c>
      <c r="G23" s="59">
        <f>SUM(G17:G22)</f>
        <v>72000</v>
      </c>
      <c r="H23" s="38">
        <v>0</v>
      </c>
      <c r="I23" s="38"/>
      <c r="J23" s="38"/>
      <c r="K23" s="38"/>
      <c r="L23" s="38"/>
      <c r="M23" s="38"/>
      <c r="N23" s="38"/>
      <c r="O23" s="59">
        <f>SUM(O17:O22)</f>
        <v>73100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O24" s="3"/>
      <c r="P24" s="3"/>
      <c r="Q24" s="3"/>
      <c r="R24" s="3"/>
      <c r="S24" s="3" t="s">
        <v>10</v>
      </c>
      <c r="T24" s="13">
        <f>N42/1000</f>
        <v>115.55277494007552</v>
      </c>
      <c r="U24" s="14">
        <f>N43</f>
        <v>0.36425038184027753</v>
      </c>
    </row>
    <row r="25" spans="1:21" ht="16" x14ac:dyDescent="0.2">
      <c r="B25" s="56"/>
      <c r="O25" s="3"/>
      <c r="P25" s="3"/>
      <c r="Q25" s="3"/>
      <c r="R25" s="3"/>
      <c r="S25" s="3" t="s">
        <v>66</v>
      </c>
      <c r="T25" s="13">
        <f>G42/1000</f>
        <v>82.084000000000003</v>
      </c>
      <c r="U25" s="15">
        <f>G43</f>
        <v>0.258748683088595</v>
      </c>
    </row>
    <row r="26" spans="1:21" ht="15.75" x14ac:dyDescent="0.25">
      <c r="O26" s="3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O27" s="3"/>
      <c r="P27" s="3"/>
      <c r="Q27" s="3"/>
      <c r="R27" s="3"/>
      <c r="S27" s="3" t="s">
        <v>31</v>
      </c>
      <c r="T27" s="13">
        <f>F42/1000</f>
        <v>8.48</v>
      </c>
      <c r="U27" s="14">
        <f>F43</f>
        <v>2.6731017404016441E-2</v>
      </c>
    </row>
    <row r="28" spans="1:21" ht="15.75" x14ac:dyDescent="0.25">
      <c r="A28" s="4" t="s">
        <v>60</v>
      </c>
      <c r="B28" s="16">
        <f>O35-N35</f>
        <v>6020</v>
      </c>
      <c r="N28" s="16"/>
      <c r="O28" s="3"/>
      <c r="P28" s="3"/>
      <c r="Q28" s="3"/>
      <c r="R28" s="3"/>
      <c r="S28" s="3" t="s">
        <v>4</v>
      </c>
      <c r="T28" s="12">
        <f>E42/1000</f>
        <v>0</v>
      </c>
      <c r="U28" s="14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66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4">
        <f>D43</f>
        <v>0</v>
      </c>
    </row>
    <row r="30" spans="1:21" ht="15.75" x14ac:dyDescent="0.25">
      <c r="B30" s="16"/>
      <c r="H30" s="16">
        <f>N32+C32</f>
        <v>10605</v>
      </c>
      <c r="O30" s="55"/>
      <c r="P30" s="3"/>
      <c r="Q30" s="3"/>
      <c r="R30" s="3"/>
      <c r="S30" s="2" t="s">
        <v>8</v>
      </c>
      <c r="T30" s="2">
        <f>K42/1000</f>
        <v>0</v>
      </c>
      <c r="U30" s="44">
        <f>K43</f>
        <v>0</v>
      </c>
    </row>
    <row r="31" spans="1:21" ht="15.75" x14ac:dyDescent="0.25">
      <c r="A31" s="8" t="s">
        <v>33</v>
      </c>
      <c r="B31" s="38">
        <v>0</v>
      </c>
      <c r="C31" s="38">
        <v>6028</v>
      </c>
      <c r="D31" s="38">
        <v>0</v>
      </c>
      <c r="E31" s="38">
        <v>0</v>
      </c>
      <c r="F31" s="38">
        <v>558</v>
      </c>
      <c r="G31" s="38">
        <v>0</v>
      </c>
      <c r="H31" s="38">
        <v>0</v>
      </c>
      <c r="I31" s="38"/>
      <c r="J31" s="38"/>
      <c r="K31" s="38"/>
      <c r="L31" s="38"/>
      <c r="M31" s="39"/>
      <c r="N31" s="38">
        <v>6007</v>
      </c>
      <c r="O31" s="38">
        <v>12593</v>
      </c>
      <c r="P31" s="18">
        <f>O31/O$39</f>
        <v>4.4238430138198989E-2</v>
      </c>
      <c r="Q31" s="19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38">
        <v>1037</v>
      </c>
      <c r="C32" s="64">
        <f>(O32-B32)*1326/(4765+1326)</f>
        <v>2308.6898703004431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/>
      <c r="J32" s="38"/>
      <c r="K32" s="38"/>
      <c r="L32" s="38"/>
      <c r="M32" s="39"/>
      <c r="N32" s="64">
        <f>(O32-B32)*4765/(4765+1326)</f>
        <v>8296.3101296995574</v>
      </c>
      <c r="O32" s="64">
        <f>O39-O38-O37-O36-O35-O34-O33-O31</f>
        <v>11642</v>
      </c>
      <c r="P32" s="18">
        <f>O32/O$39</f>
        <v>4.0897625956397413E-2</v>
      </c>
      <c r="Q32" s="19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7" ht="15.75" x14ac:dyDescent="0.25">
      <c r="A33" s="8" t="s">
        <v>38</v>
      </c>
      <c r="B33" s="64">
        <f>B39-B37-B36-B35-B32</f>
        <v>4830</v>
      </c>
      <c r="C33" s="38">
        <v>175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9"/>
      <c r="N33" s="38">
        <v>7937</v>
      </c>
      <c r="O33" s="64">
        <f>SUM(B33:N33)</f>
        <v>12942</v>
      </c>
      <c r="P33" s="18">
        <f>O33/O$39</f>
        <v>4.5464445552971591E-2</v>
      </c>
      <c r="Q33" s="19" t="s">
        <v>39</v>
      </c>
      <c r="R33" s="3"/>
      <c r="S33" s="3" t="s">
        <v>35</v>
      </c>
      <c r="T33" s="13">
        <f>C42/1000</f>
        <v>111.11768987030044</v>
      </c>
      <c r="U33" s="15">
        <f>C43</f>
        <v>0.35026991766711113</v>
      </c>
    </row>
    <row r="34" spans="1:47" ht="15.75" x14ac:dyDescent="0.25">
      <c r="A34" s="8" t="s">
        <v>40</v>
      </c>
      <c r="B34" s="38">
        <v>0</v>
      </c>
      <c r="C34" s="38">
        <v>100220</v>
      </c>
      <c r="D34" s="38">
        <v>0</v>
      </c>
      <c r="E34" s="38">
        <v>0</v>
      </c>
      <c r="F34" s="38">
        <v>7922</v>
      </c>
      <c r="G34" s="38">
        <v>0</v>
      </c>
      <c r="H34" s="38">
        <v>0</v>
      </c>
      <c r="I34" s="38"/>
      <c r="J34" s="38"/>
      <c r="K34" s="38"/>
      <c r="L34" s="38"/>
      <c r="M34" s="39"/>
      <c r="N34" s="38">
        <v>0</v>
      </c>
      <c r="O34" s="38">
        <v>108142</v>
      </c>
      <c r="P34" s="18">
        <f>O34/O$39</f>
        <v>0.37989615754825018</v>
      </c>
      <c r="Q34" s="19" t="s">
        <v>41</v>
      </c>
      <c r="R34" s="3"/>
      <c r="S34" s="3"/>
      <c r="T34" s="13">
        <f>SUM(T24:T33)</f>
        <v>317.23446481037593</v>
      </c>
      <c r="U34" s="14">
        <f>SUM(U24:U33)</f>
        <v>1</v>
      </c>
    </row>
    <row r="35" spans="1:47" ht="16" x14ac:dyDescent="0.2">
      <c r="A35" s="8" t="s">
        <v>42</v>
      </c>
      <c r="B35" s="64">
        <f>O35-N35-C35</f>
        <v>5020</v>
      </c>
      <c r="C35" s="64">
        <v>1000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9"/>
      <c r="N35" s="38">
        <v>19832</v>
      </c>
      <c r="O35" s="38">
        <v>25852</v>
      </c>
      <c r="P35" s="18">
        <f>O35/O$39</f>
        <v>9.0816477085104444E-2</v>
      </c>
      <c r="Q35" s="19" t="s">
        <v>43</v>
      </c>
      <c r="R35" s="19"/>
    </row>
    <row r="36" spans="1:47" ht="16" x14ac:dyDescent="0.2">
      <c r="A36" s="8" t="s">
        <v>44</v>
      </c>
      <c r="B36" s="59">
        <v>13600</v>
      </c>
      <c r="C36" s="38">
        <v>286</v>
      </c>
      <c r="D36" s="38">
        <v>0</v>
      </c>
      <c r="E36" s="38">
        <v>0</v>
      </c>
      <c r="F36" s="38">
        <v>0</v>
      </c>
      <c r="G36" s="38">
        <v>10084</v>
      </c>
      <c r="H36" s="38">
        <v>0</v>
      </c>
      <c r="I36" s="38"/>
      <c r="J36" s="38"/>
      <c r="K36" s="38"/>
      <c r="L36" s="38"/>
      <c r="M36" s="39"/>
      <c r="N36" s="38">
        <v>56509</v>
      </c>
      <c r="O36" s="64">
        <f>SUM(B36:N36)</f>
        <v>80479</v>
      </c>
      <c r="P36" s="19"/>
      <c r="Q36" s="19"/>
      <c r="R36" s="3"/>
      <c r="S36" s="7"/>
      <c r="T36" s="7"/>
      <c r="U36" s="7"/>
    </row>
    <row r="37" spans="1:47" ht="15.75" x14ac:dyDescent="0.25">
      <c r="A37" s="8" t="s">
        <v>45</v>
      </c>
      <c r="B37" s="59">
        <v>24600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9"/>
      <c r="N37" s="38">
        <v>3688</v>
      </c>
      <c r="O37" s="64">
        <f>SUM(B37:N37)</f>
        <v>28288</v>
      </c>
      <c r="P37" s="19"/>
      <c r="Q37" s="19"/>
      <c r="R37" s="3"/>
      <c r="S37" s="7"/>
      <c r="T37" s="7" t="s">
        <v>27</v>
      </c>
      <c r="U37" s="7" t="s">
        <v>28</v>
      </c>
    </row>
    <row r="38" spans="1:47" ht="16" x14ac:dyDescent="0.2">
      <c r="A38" s="8" t="s">
        <v>46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9"/>
      <c r="N38" s="38">
        <v>4724</v>
      </c>
      <c r="O38" s="38">
        <v>4724</v>
      </c>
      <c r="P38" s="19">
        <f>SUM(P31:P35)</f>
        <v>0.60131313628092264</v>
      </c>
      <c r="Q38" s="19"/>
      <c r="R38" s="3"/>
      <c r="S38" s="7" t="s">
        <v>47</v>
      </c>
      <c r="T38" s="20">
        <f>O45/1000</f>
        <v>21.472464810375964</v>
      </c>
      <c r="U38" s="7"/>
    </row>
    <row r="39" spans="1:47" ht="16" x14ac:dyDescent="0.2">
      <c r="A39" s="8" t="s">
        <v>16</v>
      </c>
      <c r="B39" s="38">
        <v>49087</v>
      </c>
      <c r="C39" s="64">
        <f>SUM(C31:C38)</f>
        <v>110017.68987030044</v>
      </c>
      <c r="D39" s="38">
        <v>0</v>
      </c>
      <c r="E39" s="38">
        <v>0</v>
      </c>
      <c r="F39" s="38">
        <v>8480</v>
      </c>
      <c r="G39" s="38">
        <v>10084</v>
      </c>
      <c r="H39" s="38">
        <v>0</v>
      </c>
      <c r="I39" s="38"/>
      <c r="J39" s="38"/>
      <c r="K39" s="38"/>
      <c r="L39" s="38"/>
      <c r="M39" s="39"/>
      <c r="N39" s="64">
        <f>SUM(N31:N38)</f>
        <v>106993.31012969956</v>
      </c>
      <c r="O39" s="38">
        <v>284662</v>
      </c>
      <c r="P39" s="3"/>
      <c r="Q39" s="3"/>
      <c r="R39" s="3"/>
      <c r="S39" s="7" t="s">
        <v>48</v>
      </c>
      <c r="T39" s="21">
        <f>O41/1000</f>
        <v>113.491</v>
      </c>
      <c r="U39" s="14">
        <f>P41</f>
        <v>0.39868686371907736</v>
      </c>
    </row>
    <row r="40" spans="1:47" x14ac:dyDescent="0.2">
      <c r="B40" s="16"/>
      <c r="C40" s="16"/>
      <c r="O40" s="16"/>
      <c r="S40" s="7" t="s">
        <v>49</v>
      </c>
      <c r="T40" s="21">
        <f>O35/1000</f>
        <v>25.852</v>
      </c>
      <c r="U40" s="15">
        <f>P35</f>
        <v>9.0816477085104444E-2</v>
      </c>
    </row>
    <row r="41" spans="1:47" ht="16" x14ac:dyDescent="0.2">
      <c r="A41" s="22" t="s">
        <v>50</v>
      </c>
      <c r="B41" s="23">
        <f>B38+B37+B36</f>
        <v>38200</v>
      </c>
      <c r="C41" s="23">
        <f t="shared" ref="C41:O41" si="0">C38+C37+C36</f>
        <v>286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10084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0</v>
      </c>
      <c r="N41" s="23">
        <f t="shared" si="0"/>
        <v>64921</v>
      </c>
      <c r="O41" s="23">
        <f t="shared" si="0"/>
        <v>113491</v>
      </c>
      <c r="P41" s="18">
        <f>O41/O$39</f>
        <v>0.39868686371907736</v>
      </c>
      <c r="Q41" s="18" t="s">
        <v>51</v>
      </c>
      <c r="R41" s="7"/>
      <c r="S41" s="7" t="s">
        <v>52</v>
      </c>
      <c r="T41" s="21">
        <f>O33/1000</f>
        <v>12.942</v>
      </c>
      <c r="U41" s="14">
        <f>P33</f>
        <v>4.5464445552971591E-2</v>
      </c>
    </row>
    <row r="42" spans="1:47" ht="16" x14ac:dyDescent="0.2">
      <c r="A42" s="24" t="s">
        <v>53</v>
      </c>
      <c r="B42" s="23"/>
      <c r="C42" s="25">
        <f>C39+C23+C10</f>
        <v>111117.68987030044</v>
      </c>
      <c r="D42" s="25">
        <f t="shared" ref="D42:M42" si="1">D39+D23+D10</f>
        <v>0</v>
      </c>
      <c r="E42" s="25">
        <f t="shared" si="1"/>
        <v>0</v>
      </c>
      <c r="F42" s="25">
        <f t="shared" si="1"/>
        <v>8480</v>
      </c>
      <c r="G42" s="25">
        <f t="shared" si="1"/>
        <v>82084</v>
      </c>
      <c r="H42" s="25">
        <f t="shared" si="1"/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 t="shared" si="1"/>
        <v>0</v>
      </c>
      <c r="N42" s="25">
        <f>N39+N23-B6+N45</f>
        <v>115552.77494007553</v>
      </c>
      <c r="O42" s="26">
        <f>SUM(C42:N42)</f>
        <v>317234.46481037594</v>
      </c>
      <c r="P42" s="7"/>
      <c r="Q42" s="7"/>
      <c r="R42" s="7"/>
      <c r="S42" s="7" t="s">
        <v>34</v>
      </c>
      <c r="T42" s="21">
        <f>O31/1000</f>
        <v>12.593</v>
      </c>
      <c r="U42" s="14">
        <f>P31</f>
        <v>4.4238430138198989E-2</v>
      </c>
    </row>
    <row r="43" spans="1:47" ht="16" x14ac:dyDescent="0.2">
      <c r="A43" s="24" t="s">
        <v>54</v>
      </c>
      <c r="B43" s="23"/>
      <c r="C43" s="18">
        <f t="shared" ref="C43:N43" si="2">C42/$O42</f>
        <v>0.35026991766711113</v>
      </c>
      <c r="D43" s="18">
        <f t="shared" si="2"/>
        <v>0</v>
      </c>
      <c r="E43" s="18">
        <f t="shared" si="2"/>
        <v>0</v>
      </c>
      <c r="F43" s="18">
        <f t="shared" si="2"/>
        <v>2.6731017404016441E-2</v>
      </c>
      <c r="G43" s="18">
        <f t="shared" si="2"/>
        <v>0.258748683088595</v>
      </c>
      <c r="H43" s="18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</v>
      </c>
      <c r="N43" s="18">
        <f t="shared" si="2"/>
        <v>0.36425038184027753</v>
      </c>
      <c r="O43" s="18">
        <f>SUM(C43:N43)</f>
        <v>1.0000000000000002</v>
      </c>
      <c r="P43" s="7"/>
      <c r="Q43" s="7"/>
      <c r="R43" s="7"/>
      <c r="S43" s="7" t="s">
        <v>55</v>
      </c>
      <c r="T43" s="21">
        <f>O32/1000</f>
        <v>11.641999999999999</v>
      </c>
      <c r="U43" s="15">
        <f>P32</f>
        <v>4.0897625956397413E-2</v>
      </c>
    </row>
    <row r="44" spans="1:4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1">
        <f>O34/1000</f>
        <v>108.142</v>
      </c>
      <c r="U44" s="15">
        <f>P34</f>
        <v>0.37989615754825018</v>
      </c>
    </row>
    <row r="45" spans="1:47" ht="16" x14ac:dyDescent="0.2">
      <c r="A45" s="6" t="s">
        <v>57</v>
      </c>
      <c r="B45" s="6">
        <f>B23-B39</f>
        <v>12913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7">
        <f>N39*0.08</f>
        <v>8559.4648103759646</v>
      </c>
      <c r="O45" s="26">
        <f>B45+N45</f>
        <v>21472.464810375965</v>
      </c>
      <c r="P45" s="7"/>
      <c r="Q45" s="7"/>
      <c r="R45" s="7"/>
      <c r="S45" s="7" t="s">
        <v>58</v>
      </c>
      <c r="T45" s="21">
        <f>SUM(T39:T44)</f>
        <v>284.66199999999998</v>
      </c>
      <c r="U45" s="14">
        <f>SUM(U39:U44)</f>
        <v>1</v>
      </c>
    </row>
    <row r="46" spans="1:47" ht="16" x14ac:dyDescent="0.2">
      <c r="A46" s="6"/>
      <c r="B46" s="68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x14ac:dyDescent="0.2">
      <c r="A47" s="4"/>
      <c r="B47" s="4"/>
      <c r="C47" s="9"/>
      <c r="D47" s="10"/>
      <c r="E47" s="9"/>
      <c r="F47" s="9"/>
      <c r="G47" s="10"/>
      <c r="H47" s="9"/>
      <c r="I47" s="9"/>
      <c r="J47" s="9"/>
      <c r="K47" s="9"/>
      <c r="L47" s="9"/>
      <c r="M47" s="17"/>
      <c r="N47" s="9"/>
      <c r="O47" s="10"/>
      <c r="P47" s="17"/>
      <c r="Q47" s="4"/>
      <c r="R47" s="4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7"/>
      <c r="AG47" s="4"/>
      <c r="AH47" s="4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</row>
    <row r="48" spans="1:47" x14ac:dyDescent="0.2">
      <c r="A48" s="17"/>
      <c r="B48" s="4"/>
      <c r="C48" s="9"/>
      <c r="D48" s="10"/>
      <c r="E48" s="9"/>
      <c r="F48" s="9"/>
      <c r="G48" s="10"/>
      <c r="H48" s="9"/>
      <c r="I48" s="9"/>
      <c r="J48" s="9"/>
      <c r="K48" s="9"/>
      <c r="L48" s="9"/>
      <c r="M48" s="17"/>
      <c r="N48" s="9"/>
      <c r="O48" s="10"/>
      <c r="P48" s="17"/>
      <c r="Q48" s="17"/>
      <c r="R48" s="4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17"/>
      <c r="AG48" s="17"/>
      <c r="AH48" s="4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</row>
    <row r="49" spans="1:47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7"/>
      <c r="Q49" s="17"/>
      <c r="R49" s="17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7"/>
      <c r="AG49" s="17"/>
      <c r="AH49" s="4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</row>
    <row r="50" spans="1:47" ht="16" x14ac:dyDescent="0.2">
      <c r="A50" s="4"/>
      <c r="B50" s="38"/>
      <c r="C50" s="38"/>
      <c r="D50" s="38"/>
      <c r="E50" s="65"/>
      <c r="F50" s="38"/>
      <c r="G50" s="38"/>
      <c r="I50" s="38"/>
      <c r="J50" s="38"/>
      <c r="K50" s="38"/>
      <c r="L50" s="69"/>
      <c r="M50" s="38"/>
      <c r="N50" s="38"/>
      <c r="O50" s="38"/>
      <c r="P50" s="38"/>
      <c r="Q50" s="38"/>
      <c r="R50" s="38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17"/>
      <c r="AG50" s="17"/>
      <c r="AH50" s="4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</row>
    <row r="51" spans="1:47" x14ac:dyDescent="0.2">
      <c r="A51" s="1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17"/>
      <c r="AG51" s="17"/>
      <c r="AH51" s="4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</row>
    <row r="52" spans="1:47" x14ac:dyDescent="0.2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17"/>
      <c r="AG52" s="17"/>
      <c r="AH52" s="4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</row>
    <row r="53" spans="1:47" x14ac:dyDescent="0.2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17"/>
      <c r="AG53" s="17"/>
      <c r="AH53" s="4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</row>
    <row r="54" spans="1:47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17"/>
      <c r="AG54" s="17"/>
      <c r="AH54" s="4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</row>
    <row r="55" spans="1:47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17"/>
      <c r="N55" s="9"/>
      <c r="O55" s="9"/>
      <c r="P55" s="17"/>
      <c r="Q55" s="17"/>
      <c r="R55" s="4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17"/>
      <c r="AG55" s="17"/>
      <c r="AH55" s="4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</row>
    <row r="56" spans="1:47" x14ac:dyDescent="0.2">
      <c r="A56" s="5"/>
      <c r="B56" s="70"/>
      <c r="C56" s="6"/>
      <c r="D56" s="6"/>
      <c r="E56" s="9"/>
      <c r="F56" s="10"/>
      <c r="G56" s="9"/>
      <c r="H56" s="9"/>
      <c r="I56" s="9"/>
      <c r="J56" s="9"/>
      <c r="K56" s="9"/>
      <c r="L56" s="9"/>
      <c r="M56" s="17"/>
      <c r="N56" s="9"/>
      <c r="O56" s="9"/>
      <c r="P56" s="17"/>
      <c r="Q56" s="17"/>
      <c r="R56" s="4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17"/>
      <c r="AG56" s="17"/>
      <c r="AH56" s="4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</row>
    <row r="57" spans="1:47" ht="16" x14ac:dyDescent="0.2">
      <c r="A57" s="5"/>
      <c r="B57" s="70"/>
      <c r="C57" s="6"/>
      <c r="D57" s="31"/>
      <c r="E57" s="9"/>
      <c r="F57" s="10"/>
      <c r="G57" s="9"/>
      <c r="H57" s="9"/>
      <c r="I57" s="9"/>
      <c r="J57" s="9"/>
      <c r="K57" s="9"/>
      <c r="L57" s="9"/>
      <c r="M57" s="17"/>
      <c r="N57" s="9"/>
      <c r="O57" s="9"/>
      <c r="P57" s="17"/>
      <c r="Q57" s="17"/>
      <c r="R57" s="4"/>
      <c r="S57" s="6"/>
      <c r="T57" s="30"/>
    </row>
    <row r="58" spans="1:47" ht="16" x14ac:dyDescent="0.2">
      <c r="A58" s="5"/>
      <c r="B58" s="70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6" x14ac:dyDescent="0.2">
      <c r="A59" s="5"/>
      <c r="B59" s="70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6" x14ac:dyDescent="0.2">
      <c r="A60" s="5"/>
      <c r="B60" s="70"/>
      <c r="C60" s="6"/>
      <c r="D60" s="16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6" x14ac:dyDescent="0.2">
      <c r="A61" s="5"/>
      <c r="B61" s="70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31"/>
      <c r="T61" s="32"/>
    </row>
    <row r="62" spans="1:47" ht="16" x14ac:dyDescent="0.2">
      <c r="C62" s="16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4"/>
      <c r="Q62" s="7"/>
      <c r="R62" s="7"/>
      <c r="S62" s="7"/>
      <c r="T62" s="6"/>
    </row>
    <row r="63" spans="1:47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  <row r="135" spans="1:47" x14ac:dyDescent="0.2">
      <c r="A135" s="4"/>
      <c r="B135" s="4"/>
      <c r="C135" s="9"/>
      <c r="D135" s="10"/>
      <c r="E135" s="9"/>
      <c r="F135" s="9"/>
      <c r="G135" s="10"/>
      <c r="H135" s="9"/>
      <c r="I135" s="9"/>
      <c r="J135" s="9"/>
      <c r="K135" s="9"/>
      <c r="L135" s="9"/>
      <c r="M135" s="17"/>
      <c r="N135" s="9"/>
      <c r="O135" s="10"/>
      <c r="P135" s="17"/>
      <c r="Q135" s="4"/>
      <c r="R135" s="4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17"/>
      <c r="AG135" s="4"/>
      <c r="AH135" s="4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>
        <v>0</v>
      </c>
    </row>
    <row r="136" spans="1:47" x14ac:dyDescent="0.2">
      <c r="A136" s="17"/>
      <c r="B136" s="4"/>
      <c r="C136" s="9"/>
      <c r="D136" s="10"/>
      <c r="E136" s="9"/>
      <c r="F136" s="9"/>
      <c r="G136" s="10"/>
      <c r="H136" s="9"/>
      <c r="I136" s="9"/>
      <c r="J136" s="9"/>
      <c r="K136" s="9"/>
      <c r="L136" s="9"/>
      <c r="M136" s="17"/>
      <c r="N136" s="9"/>
      <c r="O136" s="10"/>
      <c r="P136" s="17"/>
      <c r="Q136" s="17"/>
      <c r="R136" s="4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17"/>
      <c r="AG136" s="17"/>
      <c r="AH136" s="4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>
        <v>0</v>
      </c>
    </row>
    <row r="137" spans="1:47" x14ac:dyDescent="0.2">
      <c r="A137" s="17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17"/>
      <c r="N137" s="9"/>
      <c r="O137" s="9"/>
      <c r="P137" s="17"/>
      <c r="Q137" s="17"/>
      <c r="R137" s="4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17"/>
      <c r="AG137" s="17"/>
      <c r="AH137" s="4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>
        <v>0</v>
      </c>
    </row>
    <row r="138" spans="1:47" x14ac:dyDescent="0.2">
      <c r="A138" s="17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17"/>
      <c r="N138" s="9"/>
      <c r="O138" s="9"/>
      <c r="P138" s="17"/>
      <c r="Q138" s="17"/>
      <c r="R138" s="4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17"/>
      <c r="AG138" s="17"/>
      <c r="AH138" s="4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>
        <v>0</v>
      </c>
    </row>
    <row r="139" spans="1:47" x14ac:dyDescent="0.2">
      <c r="A139" s="17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17"/>
      <c r="N139" s="9"/>
      <c r="O139" s="9"/>
      <c r="P139" s="17"/>
      <c r="Q139" s="17"/>
      <c r="R139" s="4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17"/>
      <c r="AG139" s="17"/>
      <c r="AH139" s="4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>
        <v>0</v>
      </c>
    </row>
    <row r="140" spans="1:47" x14ac:dyDescent="0.2">
      <c r="A140" s="17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17"/>
      <c r="N140" s="9"/>
      <c r="O140" s="9"/>
      <c r="P140" s="17"/>
      <c r="Q140" s="17"/>
      <c r="R140" s="4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17"/>
      <c r="AG140" s="17"/>
      <c r="AH140" s="4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</row>
    <row r="141" spans="1:47" x14ac:dyDescent="0.2">
      <c r="A141" s="17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7"/>
      <c r="N141" s="9"/>
      <c r="O141" s="9"/>
      <c r="P141" s="17"/>
      <c r="Q141" s="17"/>
      <c r="R141" s="4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17"/>
      <c r="AG141" s="17"/>
      <c r="AH141" s="4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</row>
    <row r="142" spans="1:47" x14ac:dyDescent="0.2">
      <c r="A142" s="17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7"/>
      <c r="N142" s="9"/>
      <c r="O142" s="9"/>
      <c r="P142" s="17"/>
      <c r="Q142" s="17"/>
      <c r="R142" s="4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17"/>
      <c r="AG142" s="17"/>
      <c r="AH142" s="4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</row>
    <row r="143" spans="1:47" x14ac:dyDescent="0.2">
      <c r="A143" s="17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7"/>
      <c r="N143" s="9"/>
      <c r="O143" s="9"/>
      <c r="P143" s="17"/>
      <c r="Q143" s="17"/>
      <c r="R143" s="4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17"/>
      <c r="AG143" s="17"/>
      <c r="AH143" s="4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</row>
    <row r="144" spans="1:47" x14ac:dyDescent="0.2">
      <c r="A144" s="17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7"/>
      <c r="N144" s="9"/>
      <c r="O144" s="9"/>
      <c r="P144" s="17"/>
      <c r="Q144" s="17"/>
      <c r="R144" s="4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17"/>
      <c r="AG144" s="17"/>
      <c r="AH144" s="4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1" enableFormatConditionsCalculation="0"/>
  <dimension ref="A1:AU70"/>
  <sheetViews>
    <sheetView workbookViewId="0">
      <selection activeCell="B50" sqref="B50"/>
    </sheetView>
  </sheetViews>
  <sheetFormatPr baseColWidth="10" defaultColWidth="8.83203125" defaultRowHeight="15" x14ac:dyDescent="0.2"/>
  <cols>
    <col min="1" max="1" width="21.6640625" style="2" customWidth="1"/>
    <col min="2" max="21" width="10.1640625" style="2" customWidth="1"/>
    <col min="22" max="16384" width="8.83203125" style="2"/>
  </cols>
  <sheetData>
    <row r="1" spans="1:35" ht="19" x14ac:dyDescent="0.25">
      <c r="A1" s="1" t="s">
        <v>0</v>
      </c>
      <c r="O1" s="3"/>
      <c r="P1" s="3"/>
      <c r="Q1" s="3"/>
      <c r="R1" s="3"/>
      <c r="S1" s="3"/>
      <c r="T1" s="3"/>
    </row>
    <row r="2" spans="1:35" ht="15.75" x14ac:dyDescent="0.25">
      <c r="A2" s="8" t="s">
        <v>61</v>
      </c>
      <c r="Q2" s="39"/>
      <c r="R2" s="8"/>
      <c r="AH2" s="39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66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9</v>
      </c>
      <c r="M3" s="6"/>
      <c r="N3" s="6" t="s">
        <v>10</v>
      </c>
      <c r="O3" s="7" t="s">
        <v>11</v>
      </c>
      <c r="Q3" s="39"/>
      <c r="R3" s="39"/>
      <c r="AH3" s="39"/>
      <c r="AI3" s="39"/>
    </row>
    <row r="4" spans="1:35" ht="15.75" x14ac:dyDescent="0.25">
      <c r="A4" s="8" t="s">
        <v>68</v>
      </c>
      <c r="B4" s="75">
        <f>0.95*763</f>
        <v>724.85</v>
      </c>
      <c r="Q4" s="39"/>
      <c r="R4" s="39"/>
      <c r="AH4" s="39"/>
      <c r="AI4" s="39"/>
    </row>
    <row r="5" spans="1:35" ht="15.75" x14ac:dyDescent="0.25">
      <c r="A5" s="39"/>
      <c r="Q5" s="39"/>
      <c r="R5" s="39"/>
      <c r="AH5" s="39"/>
      <c r="AI5" s="39"/>
    </row>
    <row r="6" spans="1:35" ht="16" x14ac:dyDescent="0.2">
      <c r="A6" s="8" t="s">
        <v>12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/>
      <c r="O6" s="38">
        <v>0</v>
      </c>
      <c r="Q6" s="39"/>
      <c r="R6" s="39"/>
      <c r="AH6" s="39"/>
      <c r="AI6" s="39"/>
    </row>
    <row r="7" spans="1:35" ht="16" x14ac:dyDescent="0.2">
      <c r="A7" s="8" t="s">
        <v>13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/>
      <c r="O7" s="38">
        <v>0</v>
      </c>
      <c r="P7" s="38"/>
      <c r="Q7" s="39"/>
      <c r="R7" s="39"/>
      <c r="AH7" s="39"/>
      <c r="AI7" s="39"/>
    </row>
    <row r="8" spans="1:35" ht="15.75" x14ac:dyDescent="0.25">
      <c r="A8" s="8" t="s">
        <v>14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/>
      <c r="O8" s="38">
        <v>0</v>
      </c>
      <c r="P8" s="38"/>
      <c r="Q8" s="39"/>
      <c r="R8" s="39"/>
      <c r="AH8" s="39"/>
      <c r="AI8" s="39"/>
    </row>
    <row r="9" spans="1:35" ht="15.75" x14ac:dyDescent="0.25">
      <c r="A9" s="8" t="s">
        <v>15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/>
      <c r="O9" s="38">
        <v>0</v>
      </c>
      <c r="P9" s="38"/>
      <c r="Q9" s="39"/>
      <c r="R9" s="39"/>
      <c r="S9" s="8"/>
      <c r="T9" s="43"/>
      <c r="U9" s="38"/>
      <c r="V9" s="38"/>
      <c r="W9" s="38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39"/>
      <c r="AI9" s="39"/>
    </row>
    <row r="10" spans="1:35" ht="16" x14ac:dyDescent="0.2">
      <c r="A10" s="8" t="s">
        <v>16</v>
      </c>
      <c r="B10" s="58">
        <f>SUM(B4:B9)</f>
        <v>724.85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/>
      <c r="O10" s="38">
        <v>0</v>
      </c>
      <c r="P10" s="38"/>
      <c r="Q10" s="39"/>
      <c r="R10" s="39"/>
      <c r="S10" s="8"/>
      <c r="T10" s="43"/>
      <c r="U10" s="38"/>
      <c r="V10" s="38"/>
      <c r="W10" s="38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39"/>
      <c r="AI10" s="39"/>
    </row>
    <row r="11" spans="1:35" ht="15.75" x14ac:dyDescent="0.25">
      <c r="O11" s="3"/>
      <c r="P11" s="3"/>
      <c r="Q11" s="3"/>
      <c r="R11" s="3"/>
      <c r="S11" s="3"/>
      <c r="T11" s="3"/>
    </row>
    <row r="12" spans="1:35" ht="15.75" x14ac:dyDescent="0.25">
      <c r="O12" s="3"/>
      <c r="P12" s="3"/>
      <c r="Q12" s="3"/>
      <c r="R12" s="3"/>
      <c r="S12" s="3"/>
      <c r="T12" s="3"/>
    </row>
    <row r="13" spans="1:35" ht="19" x14ac:dyDescent="0.25">
      <c r="A13" s="1" t="s">
        <v>17</v>
      </c>
      <c r="B13" s="11"/>
      <c r="C13" s="11"/>
      <c r="D13" s="11"/>
      <c r="E13" s="11"/>
      <c r="F13" s="11"/>
      <c r="G13" s="11"/>
      <c r="H13" s="11"/>
      <c r="N13" s="11"/>
      <c r="O13" s="3"/>
      <c r="P13" s="3"/>
      <c r="Q13" s="3"/>
      <c r="R13" s="3"/>
      <c r="S13" s="3"/>
      <c r="T13" s="3"/>
    </row>
    <row r="14" spans="1:35" ht="15.75" x14ac:dyDescent="0.25">
      <c r="A14" s="8" t="s">
        <v>61</v>
      </c>
      <c r="O14" s="3"/>
      <c r="P14" s="3"/>
      <c r="Q14" s="3"/>
      <c r="R14" s="3"/>
      <c r="S14" s="3"/>
      <c r="T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66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/>
      <c r="N15" s="6" t="s">
        <v>10</v>
      </c>
      <c r="O15" s="16" t="s">
        <v>11</v>
      </c>
      <c r="P15" s="3"/>
      <c r="Q15" s="3"/>
      <c r="R15" s="3"/>
      <c r="S15" s="3"/>
      <c r="T15" s="3"/>
    </row>
    <row r="16" spans="1:35" ht="15.75" x14ac:dyDescent="0.25">
      <c r="O16" s="3"/>
      <c r="P16" s="3"/>
      <c r="Q16" s="3"/>
      <c r="R16" s="3"/>
      <c r="S16" s="3"/>
      <c r="T16" s="3"/>
    </row>
    <row r="17" spans="1:21" ht="16" x14ac:dyDescent="0.2">
      <c r="A17" s="8" t="s">
        <v>20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/>
      <c r="O17" s="38">
        <v>0</v>
      </c>
      <c r="P17" s="3"/>
      <c r="Q17" s="3"/>
      <c r="R17" s="3"/>
      <c r="S17" s="3"/>
      <c r="T17" s="3"/>
    </row>
    <row r="18" spans="1:21" ht="16" x14ac:dyDescent="0.2">
      <c r="A18" s="8" t="s">
        <v>21</v>
      </c>
      <c r="B18" s="75">
        <f>22569+9971</f>
        <v>32540</v>
      </c>
      <c r="C18" s="38">
        <v>0</v>
      </c>
      <c r="D18" s="38">
        <v>0</v>
      </c>
      <c r="E18" s="38">
        <v>0</v>
      </c>
      <c r="F18" s="75">
        <v>605</v>
      </c>
      <c r="G18" s="63">
        <f>24918+9971/0.9</f>
        <v>35996.888888888891</v>
      </c>
      <c r="H18" s="71">
        <v>0</v>
      </c>
      <c r="I18" s="43"/>
      <c r="J18" s="43"/>
      <c r="K18" s="43"/>
      <c r="L18" s="43"/>
      <c r="M18" s="43"/>
      <c r="N18" s="59">
        <v>1229</v>
      </c>
      <c r="O18" s="64">
        <f>SUM(C18:N18)</f>
        <v>37830.888888888891</v>
      </c>
      <c r="P18" s="3"/>
      <c r="Q18" s="3"/>
      <c r="R18" s="3"/>
      <c r="S18" s="3"/>
      <c r="T18" s="3"/>
    </row>
    <row r="19" spans="1:21" ht="15.75" x14ac:dyDescent="0.25">
      <c r="A19" s="8" t="s">
        <v>22</v>
      </c>
      <c r="B19" s="43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38"/>
      <c r="N19" s="58"/>
      <c r="O19" s="71">
        <v>0</v>
      </c>
      <c r="P19" s="3"/>
      <c r="Q19" s="3"/>
      <c r="R19" s="3"/>
      <c r="S19" s="3"/>
      <c r="T19" s="3"/>
    </row>
    <row r="20" spans="1:21" ht="16" x14ac:dyDescent="0.2">
      <c r="A20" s="8" t="s">
        <v>23</v>
      </c>
      <c r="B20" s="43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38"/>
      <c r="N20" s="38"/>
      <c r="O20" s="71">
        <v>0</v>
      </c>
      <c r="P20" s="3"/>
      <c r="Q20" s="3"/>
      <c r="R20" s="3"/>
      <c r="S20" s="3"/>
      <c r="T20" s="3"/>
    </row>
    <row r="21" spans="1:21" ht="16" x14ac:dyDescent="0.2">
      <c r="A21" s="8" t="s">
        <v>24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/>
      <c r="O21" s="71">
        <v>0</v>
      </c>
      <c r="P21" s="3"/>
      <c r="Q21" s="3"/>
      <c r="R21" s="3"/>
      <c r="S21" s="3" t="s">
        <v>26</v>
      </c>
      <c r="T21" s="12">
        <f>O42/1000</f>
        <v>558.90052888888886</v>
      </c>
      <c r="U21" s="3"/>
    </row>
    <row r="22" spans="1:21" ht="16" x14ac:dyDescent="0.2">
      <c r="A22" s="8" t="s">
        <v>25</v>
      </c>
      <c r="B22" s="43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/>
      <c r="O22" s="71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75">
        <f>SUM(B17:B22)</f>
        <v>32540</v>
      </c>
      <c r="C23" s="38">
        <v>0</v>
      </c>
      <c r="D23" s="38">
        <v>0</v>
      </c>
      <c r="E23" s="38">
        <v>0</v>
      </c>
      <c r="F23" s="75">
        <f>SUM(F17:F22)</f>
        <v>605</v>
      </c>
      <c r="G23" s="63">
        <f>SUM(G17:G22)</f>
        <v>35996.888888888891</v>
      </c>
      <c r="H23" s="71">
        <v>0</v>
      </c>
      <c r="I23" s="71"/>
      <c r="J23" s="43"/>
      <c r="K23" s="43"/>
      <c r="L23" s="43"/>
      <c r="M23" s="43"/>
      <c r="N23" s="75">
        <f>SUM(N17:N20)</f>
        <v>1229</v>
      </c>
      <c r="O23" s="64">
        <f>SUM(O18:O22)</f>
        <v>37830.888888888891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O24" s="3"/>
      <c r="P24" s="3"/>
      <c r="Q24" s="3"/>
      <c r="R24" s="3"/>
      <c r="S24" s="3" t="s">
        <v>10</v>
      </c>
      <c r="T24" s="13">
        <f>N42/1000</f>
        <v>145.09364000000002</v>
      </c>
      <c r="U24" s="14">
        <f>N43</f>
        <v>0.25960547986678517</v>
      </c>
    </row>
    <row r="25" spans="1:21" ht="16" x14ac:dyDescent="0.2">
      <c r="B25" s="56"/>
      <c r="O25" s="3"/>
      <c r="P25" s="3"/>
      <c r="Q25" s="3"/>
      <c r="R25" s="3"/>
      <c r="S25" s="3" t="s">
        <v>66</v>
      </c>
      <c r="T25" s="13">
        <f>G42/1000</f>
        <v>215.90788888888886</v>
      </c>
      <c r="U25" s="15">
        <f>G43</f>
        <v>0.38630825653022777</v>
      </c>
    </row>
    <row r="26" spans="1:21" ht="15.75" x14ac:dyDescent="0.25">
      <c r="O26" s="3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11"/>
      <c r="C27" s="11"/>
      <c r="D27" s="11"/>
      <c r="E27" s="11"/>
      <c r="F27" s="11"/>
      <c r="G27" s="11"/>
      <c r="N27" s="39"/>
      <c r="O27" s="3"/>
      <c r="P27" s="3"/>
      <c r="Q27" s="3"/>
      <c r="R27" s="3"/>
      <c r="S27" s="3" t="s">
        <v>31</v>
      </c>
      <c r="T27" s="13">
        <f>F42/1000</f>
        <v>14.936</v>
      </c>
      <c r="U27" s="14">
        <f>F43</f>
        <v>2.6723896700712055E-2</v>
      </c>
    </row>
    <row r="28" spans="1:21" ht="15.75" x14ac:dyDescent="0.25">
      <c r="A28" s="8" t="s">
        <v>61</v>
      </c>
      <c r="E28" s="16"/>
      <c r="O28" s="3"/>
      <c r="P28" s="3"/>
      <c r="Q28" s="3"/>
      <c r="R28" s="3"/>
      <c r="S28" s="3" t="s">
        <v>4</v>
      </c>
      <c r="T28" s="12">
        <f>E42/1000</f>
        <v>12.172000000000001</v>
      </c>
      <c r="U28" s="14">
        <f>E43</f>
        <v>2.1778472860274983E-2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66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4">
        <f>D43</f>
        <v>0</v>
      </c>
    </row>
    <row r="30" spans="1:21" ht="15.75" x14ac:dyDescent="0.25">
      <c r="B30" s="16"/>
      <c r="N30" s="16"/>
      <c r="O30" s="55"/>
      <c r="P30" s="3"/>
      <c r="Q30" s="3"/>
      <c r="R30" s="3"/>
      <c r="S30" s="2" t="s">
        <v>8</v>
      </c>
      <c r="T30" s="2">
        <f>K42/1000</f>
        <v>0</v>
      </c>
      <c r="U30" s="44">
        <f>K43</f>
        <v>0</v>
      </c>
    </row>
    <row r="31" spans="1:21" ht="15.75" x14ac:dyDescent="0.25">
      <c r="A31" s="8" t="s">
        <v>33</v>
      </c>
      <c r="B31" s="38">
        <v>0</v>
      </c>
      <c r="C31" s="38">
        <v>14411</v>
      </c>
      <c r="D31" s="38">
        <v>0</v>
      </c>
      <c r="E31" s="38">
        <v>0</v>
      </c>
      <c r="F31" s="38">
        <v>1443</v>
      </c>
      <c r="G31" s="38">
        <v>0</v>
      </c>
      <c r="H31" s="38">
        <v>0</v>
      </c>
      <c r="I31" s="38"/>
      <c r="J31" s="38"/>
      <c r="K31" s="38"/>
      <c r="L31" s="38"/>
      <c r="M31" s="38">
        <f>O31-N31-H31-G31-F31-E31-D31-C31-B31</f>
        <v>0</v>
      </c>
      <c r="N31" s="38">
        <v>14236</v>
      </c>
      <c r="O31" s="38">
        <v>30090</v>
      </c>
      <c r="P31" s="18">
        <f>O31/O$39</f>
        <v>5.5819285758012545E-2</v>
      </c>
      <c r="Q31" s="19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38">
        <v>0</v>
      </c>
      <c r="C32" s="38">
        <v>4944</v>
      </c>
      <c r="D32" s="38">
        <v>0</v>
      </c>
      <c r="E32" s="64">
        <f>O32-N32-G32-C32</f>
        <v>12172</v>
      </c>
      <c r="F32" s="38">
        <v>0</v>
      </c>
      <c r="G32" s="64">
        <f>126911</f>
        <v>126911</v>
      </c>
      <c r="H32" s="38">
        <v>0</v>
      </c>
      <c r="I32" s="38"/>
      <c r="J32" s="38"/>
      <c r="K32" s="38"/>
      <c r="L32" s="38"/>
      <c r="M32" s="38">
        <f t="shared" ref="M32:M39" si="0">O32-N32-H32-G32-F32-E32-D32-C32-B32</f>
        <v>0</v>
      </c>
      <c r="N32" s="64">
        <f>N39-N38-N37-N36-N35-N34-N33-N31</f>
        <v>24990</v>
      </c>
      <c r="O32" s="38">
        <v>169017</v>
      </c>
      <c r="P32" s="18">
        <f>O32/O$39</f>
        <v>0.31353965506686626</v>
      </c>
      <c r="Q32" s="19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7" ht="15.75" x14ac:dyDescent="0.25">
      <c r="A33" s="8" t="s">
        <v>38</v>
      </c>
      <c r="B33" s="64">
        <f>(B39-B37-B36)*13084/(6310+13084)</f>
        <v>10021.126946478293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8">
        <f t="shared" si="0"/>
        <v>0</v>
      </c>
      <c r="N33" s="64">
        <f>O33-B33</f>
        <v>9448.8730535217073</v>
      </c>
      <c r="O33" s="38">
        <v>19470</v>
      </c>
      <c r="P33" s="18">
        <f>O33/O$39</f>
        <v>3.6118361372831649E-2</v>
      </c>
      <c r="Q33" s="19" t="s">
        <v>39</v>
      </c>
      <c r="R33" s="3"/>
      <c r="S33" s="3" t="s">
        <v>35</v>
      </c>
      <c r="T33" s="13">
        <f>C42/1000</f>
        <v>170.791</v>
      </c>
      <c r="U33" s="15">
        <f>C43</f>
        <v>0.30558389404200004</v>
      </c>
    </row>
    <row r="34" spans="1:47" ht="15.75" x14ac:dyDescent="0.25">
      <c r="A34" s="8" t="s">
        <v>40</v>
      </c>
      <c r="B34" s="38">
        <v>0</v>
      </c>
      <c r="C34" s="38">
        <v>147343</v>
      </c>
      <c r="D34" s="38">
        <v>0</v>
      </c>
      <c r="E34" s="38">
        <v>0</v>
      </c>
      <c r="F34" s="66">
        <f>O34-N34-C34</f>
        <v>12888</v>
      </c>
      <c r="G34" s="38">
        <v>0</v>
      </c>
      <c r="H34" s="38">
        <v>0</v>
      </c>
      <c r="I34" s="38"/>
      <c r="J34" s="38"/>
      <c r="K34" s="38"/>
      <c r="L34" s="38"/>
      <c r="M34" s="38">
        <f t="shared" si="0"/>
        <v>0</v>
      </c>
      <c r="N34" s="64">
        <v>60</v>
      </c>
      <c r="O34" s="38">
        <v>160291</v>
      </c>
      <c r="P34" s="18">
        <f>O34/O$39</f>
        <v>0.29735224770480523</v>
      </c>
      <c r="Q34" s="19" t="s">
        <v>41</v>
      </c>
      <c r="R34" s="3"/>
      <c r="S34" s="3"/>
      <c r="T34" s="13">
        <f>SUM(T24:T33)</f>
        <v>558.90052888888886</v>
      </c>
      <c r="U34" s="14">
        <f>SUM(U24:U33)</f>
        <v>1</v>
      </c>
    </row>
    <row r="35" spans="1:47" ht="16" x14ac:dyDescent="0.2">
      <c r="A35" s="8" t="s">
        <v>42</v>
      </c>
      <c r="B35" s="64">
        <f>(B39-B37-B36)*6310/(6310+13084)</f>
        <v>4832.8730535217073</v>
      </c>
      <c r="C35" s="38">
        <v>3839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8">
        <f t="shared" si="0"/>
        <v>0</v>
      </c>
      <c r="N35" s="64">
        <f>O35-C35-B35</f>
        <v>20604.126946478293</v>
      </c>
      <c r="O35" s="38">
        <v>29276</v>
      </c>
      <c r="P35" s="18">
        <f>O35/O$39</f>
        <v>5.4309252570673823E-2</v>
      </c>
      <c r="Q35" s="19" t="s">
        <v>43</v>
      </c>
      <c r="R35" s="19"/>
    </row>
    <row r="36" spans="1:47" ht="16" x14ac:dyDescent="0.2">
      <c r="A36" s="8" t="s">
        <v>44</v>
      </c>
      <c r="B36" s="64">
        <f>O36-N36-G36-C36</f>
        <v>1794</v>
      </c>
      <c r="C36" s="38">
        <v>254</v>
      </c>
      <c r="D36" s="38">
        <v>0</v>
      </c>
      <c r="E36" s="38">
        <v>0</v>
      </c>
      <c r="F36" s="38">
        <v>0</v>
      </c>
      <c r="G36" s="64">
        <v>53000</v>
      </c>
      <c r="H36" s="38">
        <v>0</v>
      </c>
      <c r="I36" s="38"/>
      <c r="J36" s="38"/>
      <c r="K36" s="38"/>
      <c r="L36" s="38"/>
      <c r="M36" s="38">
        <f t="shared" si="0"/>
        <v>0</v>
      </c>
      <c r="N36" s="38">
        <v>49717</v>
      </c>
      <c r="O36" s="38">
        <v>104765</v>
      </c>
      <c r="P36" s="19"/>
      <c r="Q36" s="19"/>
      <c r="R36" s="3"/>
      <c r="S36" s="7"/>
      <c r="T36" s="7"/>
      <c r="U36" s="7"/>
    </row>
    <row r="37" spans="1:47" ht="15.75" x14ac:dyDescent="0.25">
      <c r="A37" s="8" t="s">
        <v>45</v>
      </c>
      <c r="B37" s="59">
        <v>12000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>
        <f t="shared" si="0"/>
        <v>0</v>
      </c>
      <c r="N37" s="64">
        <f>O37-B37</f>
        <v>4787</v>
      </c>
      <c r="O37" s="38">
        <v>16787</v>
      </c>
      <c r="P37" s="19"/>
      <c r="Q37" s="19"/>
      <c r="R37" s="3"/>
      <c r="S37" s="7"/>
      <c r="T37" s="7" t="s">
        <v>27</v>
      </c>
      <c r="U37" s="7" t="s">
        <v>28</v>
      </c>
    </row>
    <row r="38" spans="1:47" ht="16" x14ac:dyDescent="0.2">
      <c r="A38" s="8" t="s">
        <v>46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8">
        <f t="shared" si="0"/>
        <v>0</v>
      </c>
      <c r="N38" s="38">
        <v>9365</v>
      </c>
      <c r="O38" s="38">
        <v>9365</v>
      </c>
      <c r="P38" s="19">
        <f>SUM(P31:P35)</f>
        <v>0.75713880247318954</v>
      </c>
      <c r="Q38" s="19"/>
      <c r="R38" s="3"/>
      <c r="S38" s="7" t="s">
        <v>47</v>
      </c>
      <c r="T38" s="20">
        <f>O45/1000</f>
        <v>14.548639999999999</v>
      </c>
      <c r="U38" s="7"/>
    </row>
    <row r="39" spans="1:47" ht="16" x14ac:dyDescent="0.2">
      <c r="A39" s="8" t="s">
        <v>16</v>
      </c>
      <c r="B39" s="38">
        <v>28648</v>
      </c>
      <c r="C39" s="38">
        <v>170791</v>
      </c>
      <c r="D39" s="38">
        <v>0</v>
      </c>
      <c r="E39" s="64">
        <f>SUM(E31:E38)</f>
        <v>12172</v>
      </c>
      <c r="F39" s="64">
        <f>SUM(F31:F38)</f>
        <v>14331</v>
      </c>
      <c r="G39" s="64">
        <f>SUM(G31:G38)</f>
        <v>179911</v>
      </c>
      <c r="H39" s="38">
        <v>0</v>
      </c>
      <c r="I39" s="38"/>
      <c r="J39" s="38"/>
      <c r="K39" s="38"/>
      <c r="L39" s="38"/>
      <c r="M39" s="38">
        <f t="shared" si="0"/>
        <v>0</v>
      </c>
      <c r="N39" s="38">
        <v>133208</v>
      </c>
      <c r="O39" s="38">
        <v>539061</v>
      </c>
      <c r="P39" s="3"/>
      <c r="Q39" s="3"/>
      <c r="R39" s="3"/>
      <c r="S39" s="7" t="s">
        <v>48</v>
      </c>
      <c r="T39" s="21">
        <f>O41/1000</f>
        <v>130.917</v>
      </c>
      <c r="U39" s="14">
        <f>P41</f>
        <v>0.24286119752681051</v>
      </c>
    </row>
    <row r="40" spans="1:47" x14ac:dyDescent="0.2">
      <c r="B40" s="16"/>
      <c r="E40" s="16"/>
      <c r="N40" s="16">
        <f>N39-N38-N37-N36-N35-N34-N33-N32-N31</f>
        <v>0</v>
      </c>
      <c r="O40" s="16"/>
      <c r="S40" s="7" t="s">
        <v>49</v>
      </c>
      <c r="T40" s="21">
        <f>O35/1000</f>
        <v>29.276</v>
      </c>
      <c r="U40" s="15">
        <f>P35</f>
        <v>5.4309252570673823E-2</v>
      </c>
    </row>
    <row r="41" spans="1:47" ht="16" x14ac:dyDescent="0.2">
      <c r="A41" s="22" t="s">
        <v>50</v>
      </c>
      <c r="B41" s="23">
        <f>B38+B37+B36</f>
        <v>13794</v>
      </c>
      <c r="C41" s="23">
        <f t="shared" ref="C41:O41" si="1">C38+C37+C36</f>
        <v>254</v>
      </c>
      <c r="D41" s="23">
        <f t="shared" si="1"/>
        <v>0</v>
      </c>
      <c r="E41" s="23">
        <f t="shared" si="1"/>
        <v>0</v>
      </c>
      <c r="F41" s="23">
        <f t="shared" si="1"/>
        <v>0</v>
      </c>
      <c r="G41" s="23">
        <f t="shared" si="1"/>
        <v>53000</v>
      </c>
      <c r="H41" s="23">
        <f t="shared" si="1"/>
        <v>0</v>
      </c>
      <c r="I41" s="23">
        <f t="shared" si="1"/>
        <v>0</v>
      </c>
      <c r="J41" s="23">
        <f t="shared" si="1"/>
        <v>0</v>
      </c>
      <c r="K41" s="23">
        <f t="shared" si="1"/>
        <v>0</v>
      </c>
      <c r="L41" s="23">
        <f t="shared" si="1"/>
        <v>0</v>
      </c>
      <c r="M41" s="23">
        <f t="shared" si="1"/>
        <v>0</v>
      </c>
      <c r="N41" s="23">
        <f t="shared" si="1"/>
        <v>63869</v>
      </c>
      <c r="O41" s="23">
        <f t="shared" si="1"/>
        <v>130917</v>
      </c>
      <c r="P41" s="18">
        <f>O41/O$39</f>
        <v>0.24286119752681051</v>
      </c>
      <c r="Q41" s="18" t="s">
        <v>51</v>
      </c>
      <c r="R41" s="7"/>
      <c r="S41" s="7" t="s">
        <v>52</v>
      </c>
      <c r="T41" s="21">
        <f>O33/1000</f>
        <v>19.47</v>
      </c>
      <c r="U41" s="14">
        <f>P33</f>
        <v>3.6118361372831649E-2</v>
      </c>
    </row>
    <row r="42" spans="1:47" ht="16" x14ac:dyDescent="0.2">
      <c r="A42" s="24" t="s">
        <v>53</v>
      </c>
      <c r="B42" s="23"/>
      <c r="C42" s="25">
        <f>C39+C23+C10</f>
        <v>170791</v>
      </c>
      <c r="D42" s="25">
        <f t="shared" ref="D42:M42" si="2">D39+D23+D10</f>
        <v>0</v>
      </c>
      <c r="E42" s="25">
        <f t="shared" si="2"/>
        <v>12172</v>
      </c>
      <c r="F42" s="25">
        <f t="shared" si="2"/>
        <v>14936</v>
      </c>
      <c r="G42" s="25">
        <f t="shared" si="2"/>
        <v>215907.88888888888</v>
      </c>
      <c r="H42" s="25">
        <f t="shared" si="2"/>
        <v>0</v>
      </c>
      <c r="I42" s="25">
        <f t="shared" si="2"/>
        <v>0</v>
      </c>
      <c r="J42" s="25">
        <f t="shared" si="2"/>
        <v>0</v>
      </c>
      <c r="K42" s="25">
        <f t="shared" si="2"/>
        <v>0</v>
      </c>
      <c r="L42" s="25">
        <f t="shared" si="2"/>
        <v>0</v>
      </c>
      <c r="M42" s="25">
        <f t="shared" si="2"/>
        <v>0</v>
      </c>
      <c r="N42" s="25">
        <f>N39+N23-B6+N45</f>
        <v>145093.64000000001</v>
      </c>
      <c r="O42" s="26">
        <f>SUM(C42:N42)</f>
        <v>558900.52888888889</v>
      </c>
      <c r="P42" s="7"/>
      <c r="Q42" s="7"/>
      <c r="R42" s="7"/>
      <c r="S42" s="7" t="s">
        <v>34</v>
      </c>
      <c r="T42" s="21">
        <f>O31/1000</f>
        <v>30.09</v>
      </c>
      <c r="U42" s="14">
        <f>P31</f>
        <v>5.5819285758012545E-2</v>
      </c>
    </row>
    <row r="43" spans="1:47" ht="16" x14ac:dyDescent="0.2">
      <c r="A43" s="24" t="s">
        <v>54</v>
      </c>
      <c r="B43" s="23"/>
      <c r="C43" s="18">
        <f t="shared" ref="C43:N43" si="3">C42/$O42</f>
        <v>0.30558389404200004</v>
      </c>
      <c r="D43" s="18">
        <f t="shared" si="3"/>
        <v>0</v>
      </c>
      <c r="E43" s="18">
        <f t="shared" si="3"/>
        <v>2.1778472860274983E-2</v>
      </c>
      <c r="F43" s="18">
        <f t="shared" si="3"/>
        <v>2.6723896700712055E-2</v>
      </c>
      <c r="G43" s="18">
        <f t="shared" si="3"/>
        <v>0.38630825653022777</v>
      </c>
      <c r="H43" s="18">
        <f t="shared" si="3"/>
        <v>0</v>
      </c>
      <c r="I43" s="18">
        <f t="shared" si="3"/>
        <v>0</v>
      </c>
      <c r="J43" s="18">
        <f t="shared" si="3"/>
        <v>0</v>
      </c>
      <c r="K43" s="18">
        <f t="shared" si="3"/>
        <v>0</v>
      </c>
      <c r="L43" s="18">
        <f t="shared" si="3"/>
        <v>0</v>
      </c>
      <c r="M43" s="18">
        <f t="shared" si="3"/>
        <v>0</v>
      </c>
      <c r="N43" s="18">
        <f t="shared" si="3"/>
        <v>0.25960547986678517</v>
      </c>
      <c r="O43" s="18">
        <f>SUM(C43:N43)</f>
        <v>1</v>
      </c>
      <c r="P43" s="7"/>
      <c r="Q43" s="7"/>
      <c r="R43" s="7"/>
      <c r="S43" s="7" t="s">
        <v>55</v>
      </c>
      <c r="T43" s="21">
        <f>O32/1000</f>
        <v>169.017</v>
      </c>
      <c r="U43" s="15">
        <f>P32</f>
        <v>0.31353965506686626</v>
      </c>
    </row>
    <row r="44" spans="1:4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1">
        <f>O34/1000</f>
        <v>160.291</v>
      </c>
      <c r="U44" s="15">
        <f>P34</f>
        <v>0.29735224770480523</v>
      </c>
    </row>
    <row r="45" spans="1:47" ht="16" x14ac:dyDescent="0.2">
      <c r="A45" s="6" t="s">
        <v>57</v>
      </c>
      <c r="B45" s="6">
        <f>B23-B39</f>
        <v>3892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7">
        <f>N39*0.08</f>
        <v>10656.64</v>
      </c>
      <c r="O45" s="26">
        <f>B45+N45</f>
        <v>14548.64</v>
      </c>
      <c r="P45" s="7"/>
      <c r="Q45" s="7"/>
      <c r="R45" s="7"/>
      <c r="S45" s="7" t="s">
        <v>58</v>
      </c>
      <c r="T45" s="21">
        <f>SUM(T39:T44)</f>
        <v>539.06099999999992</v>
      </c>
      <c r="U45" s="14">
        <f>SUM(U39:U44)</f>
        <v>1</v>
      </c>
    </row>
    <row r="46" spans="1:47" ht="16" x14ac:dyDescent="0.2">
      <c r="A46" s="6"/>
      <c r="B46" s="68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ht="16" x14ac:dyDescent="0.2">
      <c r="A47" s="8"/>
      <c r="B47" s="8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9"/>
      <c r="N47" s="37"/>
      <c r="O47" s="37"/>
      <c r="P47" s="39"/>
      <c r="Q47" s="8"/>
      <c r="R47" s="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9"/>
      <c r="AG47" s="8"/>
      <c r="AH47" s="8"/>
      <c r="AI47" s="37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</row>
    <row r="48" spans="1:47" ht="16" x14ac:dyDescent="0.2">
      <c r="A48" s="39"/>
      <c r="B48" s="8"/>
      <c r="C48" s="37"/>
      <c r="D48" s="37"/>
      <c r="E48" s="37"/>
      <c r="F48" s="40"/>
      <c r="G48" s="40"/>
      <c r="H48" s="40"/>
      <c r="I48" s="37"/>
      <c r="J48" s="37"/>
      <c r="K48" s="37"/>
      <c r="L48" s="37"/>
      <c r="M48" s="39"/>
      <c r="N48" s="37"/>
      <c r="O48" s="37"/>
      <c r="P48" s="39"/>
      <c r="Q48" s="39"/>
      <c r="R48" s="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9"/>
      <c r="AG48" s="39"/>
      <c r="AH48" s="8"/>
      <c r="AI48" s="37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</row>
    <row r="49" spans="1:47" ht="16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7"/>
      <c r="Q49" s="17"/>
      <c r="R49" s="17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9"/>
      <c r="AG49" s="39"/>
      <c r="AH49" s="8"/>
      <c r="AI49" s="37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</row>
    <row r="50" spans="1:47" ht="16" x14ac:dyDescent="0.2">
      <c r="A50" s="4"/>
      <c r="B50" s="38"/>
      <c r="C50" s="38"/>
      <c r="D50" s="38"/>
      <c r="E50" s="65"/>
      <c r="F50" s="38"/>
      <c r="G50" s="38"/>
      <c r="I50" s="38"/>
      <c r="J50" s="38"/>
      <c r="K50" s="38"/>
      <c r="L50" s="69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9"/>
      <c r="AG50" s="39"/>
      <c r="AH50" s="8"/>
      <c r="AI50" s="37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</row>
    <row r="51" spans="1:47" ht="16" x14ac:dyDescent="0.2">
      <c r="P51" s="17"/>
      <c r="Q51" s="17"/>
      <c r="R51" s="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9"/>
      <c r="AG51" s="39"/>
      <c r="AH51" s="8"/>
      <c r="AI51" s="37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</row>
    <row r="52" spans="1:47" ht="16" x14ac:dyDescent="0.2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9"/>
      <c r="AG52" s="39"/>
      <c r="AH52" s="8"/>
      <c r="AI52" s="37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</row>
    <row r="53" spans="1:47" ht="16" x14ac:dyDescent="0.2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9"/>
      <c r="AG53" s="39"/>
      <c r="AH53" s="8"/>
      <c r="AI53" s="37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</row>
    <row r="54" spans="1:47" ht="16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9"/>
      <c r="AG54" s="39"/>
      <c r="AH54" s="8"/>
      <c r="AI54" s="37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</row>
    <row r="55" spans="1:47" ht="16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17"/>
      <c r="N55" s="9"/>
      <c r="O55" s="9"/>
      <c r="P55" s="17"/>
      <c r="Q55" s="17"/>
      <c r="R55" s="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9"/>
      <c r="AG55" s="39"/>
      <c r="AH55" s="8"/>
      <c r="AI55" s="37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</row>
    <row r="56" spans="1:47" ht="16" x14ac:dyDescent="0.2">
      <c r="A56" s="5"/>
      <c r="B56" s="70"/>
      <c r="C56" s="6"/>
      <c r="D56" s="6"/>
      <c r="E56" s="9"/>
      <c r="F56" s="10"/>
      <c r="G56" s="9"/>
      <c r="H56" s="9"/>
      <c r="I56" s="9"/>
      <c r="J56" s="9"/>
      <c r="K56" s="9"/>
      <c r="L56" s="9"/>
      <c r="M56" s="17"/>
      <c r="N56" s="9"/>
      <c r="O56" s="9"/>
      <c r="P56" s="17"/>
      <c r="Q56" s="17"/>
      <c r="R56" s="4"/>
      <c r="S56" s="6"/>
      <c r="T56" s="30"/>
    </row>
    <row r="57" spans="1:47" ht="16" x14ac:dyDescent="0.2">
      <c r="A57" s="5"/>
      <c r="B57" s="70"/>
      <c r="C57" s="6"/>
      <c r="D57" s="31"/>
      <c r="E57" s="9"/>
      <c r="F57" s="10"/>
      <c r="G57" s="9"/>
      <c r="H57" s="9"/>
      <c r="I57" s="9"/>
      <c r="J57" s="9"/>
      <c r="K57" s="9"/>
      <c r="L57" s="9"/>
      <c r="M57" s="17"/>
      <c r="N57" s="9"/>
      <c r="O57" s="9"/>
      <c r="P57" s="17"/>
      <c r="Q57" s="17"/>
      <c r="R57" s="4"/>
      <c r="S57" s="6"/>
      <c r="T57" s="30"/>
    </row>
    <row r="58" spans="1:47" ht="16" x14ac:dyDescent="0.2">
      <c r="A58" s="5"/>
      <c r="B58" s="70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6" x14ac:dyDescent="0.2">
      <c r="A59" s="5"/>
      <c r="B59" s="70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6" x14ac:dyDescent="0.2">
      <c r="A60" s="5"/>
      <c r="B60" s="70"/>
      <c r="C60" s="6"/>
      <c r="D60" s="16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6" x14ac:dyDescent="0.2">
      <c r="A61" s="5"/>
      <c r="B61" s="70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31"/>
      <c r="T61" s="32"/>
    </row>
    <row r="62" spans="1:47" ht="16" x14ac:dyDescent="0.2">
      <c r="C62" s="16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4"/>
      <c r="Q62" s="7"/>
      <c r="R62" s="7"/>
      <c r="S62" s="7"/>
      <c r="T62" s="6"/>
    </row>
    <row r="63" spans="1:47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9" enableFormatConditionsCalculation="0"/>
  <dimension ref="A1:AU70"/>
  <sheetViews>
    <sheetView workbookViewId="0">
      <selection activeCell="B50" sqref="B50"/>
    </sheetView>
  </sheetViews>
  <sheetFormatPr baseColWidth="10" defaultColWidth="8.83203125" defaultRowHeight="15" x14ac:dyDescent="0.2"/>
  <cols>
    <col min="1" max="1" width="21.6640625" style="2" customWidth="1"/>
    <col min="2" max="21" width="10.1640625" style="2" customWidth="1"/>
    <col min="22" max="16384" width="8.83203125" style="2"/>
  </cols>
  <sheetData>
    <row r="1" spans="1:35" ht="19" x14ac:dyDescent="0.25">
      <c r="A1" s="1" t="s">
        <v>0</v>
      </c>
      <c r="O1" s="3"/>
      <c r="P1" s="3"/>
      <c r="Q1" s="3"/>
      <c r="R1" s="3"/>
      <c r="S1" s="3"/>
      <c r="T1" s="3"/>
    </row>
    <row r="2" spans="1:35" ht="15.75" x14ac:dyDescent="0.25">
      <c r="A2" s="8" t="s">
        <v>62</v>
      </c>
      <c r="Q2" s="39"/>
      <c r="R2" s="8"/>
      <c r="AH2" s="39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66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9</v>
      </c>
      <c r="M3" s="6"/>
      <c r="N3" s="6" t="s">
        <v>10</v>
      </c>
      <c r="O3" s="7" t="s">
        <v>11</v>
      </c>
      <c r="Q3" s="39"/>
      <c r="R3" s="39"/>
      <c r="AH3" s="39"/>
      <c r="AI3" s="39"/>
    </row>
    <row r="4" spans="1:35" ht="15.75" x14ac:dyDescent="0.25">
      <c r="A4" s="8" t="s">
        <v>68</v>
      </c>
      <c r="B4" s="75">
        <f>0.95*168</f>
        <v>159.6</v>
      </c>
      <c r="Q4" s="39"/>
      <c r="R4" s="39"/>
      <c r="AH4" s="39"/>
      <c r="AI4" s="39"/>
    </row>
    <row r="5" spans="1:35" ht="15.75" x14ac:dyDescent="0.25">
      <c r="A5" s="39"/>
      <c r="Q5" s="39"/>
      <c r="R5" s="39"/>
      <c r="AH5" s="39"/>
      <c r="AI5" s="39"/>
    </row>
    <row r="6" spans="1:35" ht="16" x14ac:dyDescent="0.2">
      <c r="A6" s="8" t="s">
        <v>12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/>
      <c r="O6" s="38">
        <v>0</v>
      </c>
      <c r="Q6" s="39"/>
      <c r="R6" s="39"/>
      <c r="AH6" s="39"/>
      <c r="AI6" s="39"/>
    </row>
    <row r="7" spans="1:35" ht="16" x14ac:dyDescent="0.2">
      <c r="A7" s="8" t="s">
        <v>13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/>
      <c r="O7" s="38">
        <v>0</v>
      </c>
      <c r="P7" s="38"/>
      <c r="Q7" s="39"/>
      <c r="R7" s="39"/>
      <c r="AH7" s="39"/>
      <c r="AI7" s="39"/>
    </row>
    <row r="8" spans="1:35" ht="15.75" x14ac:dyDescent="0.25">
      <c r="A8" s="8" t="s">
        <v>14</v>
      </c>
      <c r="B8" s="38">
        <v>416663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/>
      <c r="O8" s="38">
        <v>0</v>
      </c>
      <c r="P8" s="38"/>
      <c r="Q8" s="39"/>
      <c r="R8" s="39"/>
      <c r="AH8" s="39"/>
      <c r="AI8" s="39"/>
    </row>
    <row r="9" spans="1:35" ht="15.75" x14ac:dyDescent="0.25">
      <c r="A9" s="8" t="s">
        <v>15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/>
      <c r="O9" s="38">
        <v>0</v>
      </c>
      <c r="P9" s="38"/>
      <c r="Q9" s="39"/>
      <c r="R9" s="39"/>
      <c r="S9" s="8"/>
      <c r="T9" s="43"/>
      <c r="U9" s="43"/>
      <c r="V9" s="38"/>
      <c r="W9" s="38"/>
      <c r="X9" s="38"/>
      <c r="Y9" s="43"/>
      <c r="Z9" s="38"/>
      <c r="AA9" s="38"/>
      <c r="AB9" s="38"/>
      <c r="AC9" s="38"/>
      <c r="AD9" s="38"/>
      <c r="AE9" s="38"/>
      <c r="AF9" s="38"/>
      <c r="AG9" s="43"/>
      <c r="AH9" s="39"/>
      <c r="AI9" s="39"/>
    </row>
    <row r="10" spans="1:35" ht="16" x14ac:dyDescent="0.2">
      <c r="A10" s="8" t="s">
        <v>16</v>
      </c>
      <c r="B10" s="65">
        <f>SUM(B4:B9)</f>
        <v>416822.6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/>
      <c r="M10" s="38"/>
      <c r="N10" s="38"/>
      <c r="O10" s="38">
        <v>0</v>
      </c>
      <c r="P10" s="38"/>
      <c r="Q10" s="39"/>
      <c r="R10" s="39"/>
      <c r="S10" s="8"/>
      <c r="T10" s="43"/>
      <c r="U10" s="43"/>
      <c r="V10" s="38"/>
      <c r="W10" s="38"/>
      <c r="X10" s="38"/>
      <c r="Y10" s="43"/>
      <c r="Z10" s="38"/>
      <c r="AA10" s="38"/>
      <c r="AB10" s="38"/>
      <c r="AC10" s="38"/>
      <c r="AD10" s="38"/>
      <c r="AE10" s="38"/>
      <c r="AF10" s="38"/>
      <c r="AG10" s="43"/>
      <c r="AH10" s="39"/>
      <c r="AI10" s="39"/>
    </row>
    <row r="11" spans="1:35" ht="15.75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</row>
    <row r="12" spans="1:35" ht="15.75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/>
      <c r="P12" s="3"/>
      <c r="Q12" s="3"/>
      <c r="R12" s="3"/>
      <c r="S12" s="3"/>
      <c r="T12" s="3"/>
    </row>
    <row r="13" spans="1:35" ht="19" x14ac:dyDescent="0.25">
      <c r="A13" s="1" t="s">
        <v>17</v>
      </c>
      <c r="B13" s="41"/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41"/>
      <c r="O13" s="3"/>
      <c r="P13" s="3"/>
      <c r="Q13" s="3"/>
      <c r="R13" s="3"/>
      <c r="S13" s="3"/>
      <c r="T13" s="3"/>
    </row>
    <row r="14" spans="1:35" ht="15.75" x14ac:dyDescent="0.25">
      <c r="A14" s="4" t="s">
        <v>62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  <c r="P14" s="3"/>
      <c r="Q14" s="3"/>
      <c r="R14" s="3"/>
      <c r="S14" s="3"/>
      <c r="T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66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/>
      <c r="N15" s="6" t="s">
        <v>10</v>
      </c>
      <c r="O15" s="16" t="s">
        <v>11</v>
      </c>
      <c r="P15" s="3"/>
      <c r="Q15" s="3"/>
      <c r="R15" s="3"/>
      <c r="S15" s="3"/>
      <c r="T15" s="3"/>
    </row>
    <row r="16" spans="1:35" ht="15.7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</row>
    <row r="17" spans="1:21" ht="16" x14ac:dyDescent="0.2">
      <c r="A17" s="8" t="s">
        <v>20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/>
      <c r="O17" s="38">
        <v>0</v>
      </c>
      <c r="P17" s="3"/>
      <c r="Q17" s="3"/>
      <c r="R17" s="3"/>
      <c r="S17" s="3"/>
      <c r="T17" s="3"/>
    </row>
    <row r="18" spans="1:21" ht="16" x14ac:dyDescent="0.2">
      <c r="A18" s="8" t="s">
        <v>21</v>
      </c>
      <c r="B18" s="59">
        <f>74900</f>
        <v>74900</v>
      </c>
      <c r="C18" s="59">
        <v>500</v>
      </c>
      <c r="D18" s="38">
        <v>0</v>
      </c>
      <c r="E18" s="38">
        <v>0</v>
      </c>
      <c r="F18" s="58">
        <v>1900</v>
      </c>
      <c r="G18" s="59">
        <v>69400</v>
      </c>
      <c r="H18" s="38">
        <v>0</v>
      </c>
      <c r="I18" s="38"/>
      <c r="J18" s="38"/>
      <c r="K18" s="38"/>
      <c r="L18" s="38"/>
      <c r="M18" s="38"/>
      <c r="N18" s="58">
        <v>195</v>
      </c>
      <c r="O18" s="59">
        <f>SUM(C18:N18)</f>
        <v>71995</v>
      </c>
      <c r="P18" s="3"/>
      <c r="Q18" s="3"/>
      <c r="R18" s="3"/>
      <c r="S18" s="3"/>
      <c r="T18" s="3"/>
    </row>
    <row r="19" spans="1:21" ht="15.75" x14ac:dyDescent="0.25">
      <c r="A19" s="8" t="s">
        <v>22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38"/>
      <c r="O19" s="69">
        <f>SUM(C19:N19)</f>
        <v>0</v>
      </c>
      <c r="P19" s="3"/>
      <c r="Q19" s="3"/>
      <c r="R19" s="3"/>
      <c r="S19" s="3"/>
      <c r="T19" s="3"/>
    </row>
    <row r="20" spans="1:21" ht="16" x14ac:dyDescent="0.2">
      <c r="A20" s="8" t="s">
        <v>23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38"/>
      <c r="N20" s="38"/>
      <c r="O20" s="38">
        <v>0</v>
      </c>
      <c r="P20" s="3"/>
      <c r="Q20" s="3"/>
      <c r="R20" s="3"/>
      <c r="S20" s="3"/>
      <c r="T20" s="3"/>
    </row>
    <row r="21" spans="1:21" ht="16" x14ac:dyDescent="0.2">
      <c r="A21" s="8" t="s">
        <v>24</v>
      </c>
      <c r="B21" s="58">
        <v>23000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/>
      <c r="O21" s="38">
        <v>0</v>
      </c>
      <c r="P21" s="3"/>
      <c r="Q21" s="3"/>
      <c r="R21" s="3"/>
      <c r="S21" s="3" t="s">
        <v>26</v>
      </c>
      <c r="T21" s="12">
        <f>O42/1000</f>
        <v>626.87459999999999</v>
      </c>
      <c r="U21" s="3"/>
    </row>
    <row r="22" spans="1:21" ht="16" x14ac:dyDescent="0.2">
      <c r="A22" s="8" t="s">
        <v>25</v>
      </c>
      <c r="B22" s="65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/>
      <c r="O22" s="38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59">
        <f>SUM(B17:B22)</f>
        <v>97900</v>
      </c>
      <c r="C23" s="59">
        <f>SUM(C17:C22)</f>
        <v>500</v>
      </c>
      <c r="D23" s="38">
        <v>0</v>
      </c>
      <c r="E23" s="38">
        <v>0</v>
      </c>
      <c r="F23" s="58">
        <f>SUM(F17:F22)</f>
        <v>1900</v>
      </c>
      <c r="G23" s="59">
        <f>SUM(G17:G22)</f>
        <v>69400</v>
      </c>
      <c r="H23" s="38">
        <v>0</v>
      </c>
      <c r="I23" s="38"/>
      <c r="J23" s="38"/>
      <c r="K23" s="38"/>
      <c r="L23" s="38"/>
      <c r="M23" s="38"/>
      <c r="N23" s="58">
        <f>SUM(N18:N22)</f>
        <v>195</v>
      </c>
      <c r="O23" s="59">
        <f>SUM(O18:O22)</f>
        <v>71995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/>
      <c r="P24" s="3"/>
      <c r="Q24" s="3"/>
      <c r="R24" s="3"/>
      <c r="S24" s="3" t="s">
        <v>10</v>
      </c>
      <c r="T24" s="13">
        <f>N42/1000</f>
        <v>214.6506</v>
      </c>
      <c r="U24" s="14">
        <f>N43</f>
        <v>0.34241393733292114</v>
      </c>
    </row>
    <row r="25" spans="1:21" ht="16" x14ac:dyDescent="0.2">
      <c r="B25" s="5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/>
      <c r="P25" s="3"/>
      <c r="Q25" s="3"/>
      <c r="R25" s="3"/>
      <c r="S25" s="3" t="s">
        <v>66</v>
      </c>
      <c r="T25" s="13">
        <f>G42/1000</f>
        <v>146.035</v>
      </c>
      <c r="U25" s="15">
        <f>G43</f>
        <v>0.23295727726087484</v>
      </c>
    </row>
    <row r="26" spans="1:21" ht="15.75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41"/>
      <c r="C27" s="41"/>
      <c r="D27" s="41"/>
      <c r="E27" s="41"/>
      <c r="F27" s="41"/>
      <c r="G27" s="41"/>
      <c r="H27" s="16"/>
      <c r="I27" s="16"/>
      <c r="J27" s="16"/>
      <c r="K27" s="16"/>
      <c r="L27" s="16"/>
      <c r="M27" s="16"/>
      <c r="N27" s="16"/>
      <c r="O27" s="3"/>
      <c r="P27" s="3"/>
      <c r="Q27" s="3"/>
      <c r="R27" s="3"/>
      <c r="S27" s="3" t="s">
        <v>31</v>
      </c>
      <c r="T27" s="13">
        <f>F42/1000</f>
        <v>19.273</v>
      </c>
      <c r="U27" s="14">
        <f>F43</f>
        <v>3.0744585918778652E-2</v>
      </c>
    </row>
    <row r="28" spans="1:21" ht="15.75" x14ac:dyDescent="0.25">
      <c r="A28" s="4" t="s">
        <v>62</v>
      </c>
      <c r="B28" s="16">
        <f>O36-N36</f>
        <v>83946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/>
      <c r="P28" s="3"/>
      <c r="Q28" s="3"/>
      <c r="R28" s="3"/>
      <c r="S28" s="3" t="s">
        <v>4</v>
      </c>
      <c r="T28" s="12">
        <f>E42/1000</f>
        <v>21.512</v>
      </c>
      <c r="U28" s="14">
        <f>E43</f>
        <v>3.4316273142985854E-2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66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4">
        <f>D43</f>
        <v>0</v>
      </c>
    </row>
    <row r="30" spans="1:21" ht="15.75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55"/>
      <c r="P30" s="3"/>
      <c r="Q30" s="3"/>
      <c r="R30" s="3"/>
      <c r="S30" s="2" t="s">
        <v>8</v>
      </c>
      <c r="T30" s="2">
        <f>K42/1000</f>
        <v>0</v>
      </c>
      <c r="U30" s="44">
        <f>K43</f>
        <v>0</v>
      </c>
    </row>
    <row r="31" spans="1:21" ht="15.75" x14ac:dyDescent="0.25">
      <c r="A31" s="8" t="s">
        <v>33</v>
      </c>
      <c r="B31" s="38">
        <v>0</v>
      </c>
      <c r="C31" s="38">
        <v>11140</v>
      </c>
      <c r="D31" s="38">
        <v>0</v>
      </c>
      <c r="E31" s="38">
        <v>0</v>
      </c>
      <c r="F31" s="38">
        <v>1071</v>
      </c>
      <c r="G31" s="38">
        <v>0</v>
      </c>
      <c r="H31" s="38">
        <v>0</v>
      </c>
      <c r="I31" s="38"/>
      <c r="J31" s="38"/>
      <c r="K31" s="38"/>
      <c r="L31" s="38"/>
      <c r="M31" s="39"/>
      <c r="N31" s="38">
        <v>13959</v>
      </c>
      <c r="O31" s="38">
        <v>26170</v>
      </c>
      <c r="P31" s="18">
        <f>O31/O$39</f>
        <v>4.1778883225067967E-2</v>
      </c>
      <c r="Q31" s="19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38">
        <v>2988</v>
      </c>
      <c r="C32" s="38">
        <v>4469</v>
      </c>
      <c r="D32" s="38">
        <v>0</v>
      </c>
      <c r="E32" s="64">
        <f>O32-N32-G32-C32-B32</f>
        <v>21512</v>
      </c>
      <c r="F32" s="38">
        <v>0</v>
      </c>
      <c r="G32" s="64">
        <f>G39-G36</f>
        <v>2235</v>
      </c>
      <c r="H32" s="38">
        <v>0</v>
      </c>
      <c r="I32" s="38"/>
      <c r="J32" s="38"/>
      <c r="K32" s="38"/>
      <c r="L32" s="38"/>
      <c r="M32" s="39"/>
      <c r="N32" s="64">
        <v>41839</v>
      </c>
      <c r="O32" s="38">
        <v>73043</v>
      </c>
      <c r="P32" s="18">
        <f>O32/O$39</f>
        <v>0.11660890207904623</v>
      </c>
      <c r="Q32" s="19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7" ht="15.75" x14ac:dyDescent="0.25">
      <c r="A33" s="8" t="s">
        <v>38</v>
      </c>
      <c r="B33" s="64">
        <f>(B39-B37-B36-B32)*22304/(22304+153)</f>
        <v>35568.012112036333</v>
      </c>
      <c r="C33" s="38">
        <v>48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9"/>
      <c r="N33" s="38">
        <v>21577</v>
      </c>
      <c r="O33" s="65">
        <f>SUM(B33:N33)</f>
        <v>57193.012112036333</v>
      </c>
      <c r="P33" s="18">
        <f>O33/O$39</f>
        <v>9.1305318086307374E-2</v>
      </c>
      <c r="Q33" s="19" t="s">
        <v>39</v>
      </c>
      <c r="R33" s="3"/>
      <c r="S33" s="3" t="s">
        <v>35</v>
      </c>
      <c r="T33" s="13">
        <f>C42/1000</f>
        <v>225.404</v>
      </c>
      <c r="U33" s="15">
        <f>C43</f>
        <v>0.35956792634443957</v>
      </c>
    </row>
    <row r="34" spans="1:47" ht="15.75" x14ac:dyDescent="0.25">
      <c r="A34" s="8" t="s">
        <v>40</v>
      </c>
      <c r="B34" s="38">
        <v>0</v>
      </c>
      <c r="C34" s="38">
        <v>204052</v>
      </c>
      <c r="D34" s="38">
        <v>0</v>
      </c>
      <c r="E34" s="38">
        <v>0</v>
      </c>
      <c r="F34" s="38">
        <v>16302</v>
      </c>
      <c r="G34" s="38">
        <v>0</v>
      </c>
      <c r="H34" s="38">
        <v>0</v>
      </c>
      <c r="I34" s="38"/>
      <c r="J34" s="38"/>
      <c r="K34" s="38"/>
      <c r="L34" s="38"/>
      <c r="M34" s="39"/>
      <c r="N34" s="38">
        <v>15</v>
      </c>
      <c r="O34" s="38">
        <v>220369</v>
      </c>
      <c r="P34" s="18">
        <f>O34/O$39</f>
        <v>0.35180629413163939</v>
      </c>
      <c r="Q34" s="19" t="s">
        <v>41</v>
      </c>
      <c r="R34" s="3"/>
      <c r="S34" s="3"/>
      <c r="T34" s="13">
        <f>SUM(T24:T33)</f>
        <v>626.8746000000001</v>
      </c>
      <c r="U34" s="14">
        <f>SUM(U24:U33)</f>
        <v>1</v>
      </c>
    </row>
    <row r="35" spans="1:47" ht="16" x14ac:dyDescent="0.2">
      <c r="A35" s="8" t="s">
        <v>42</v>
      </c>
      <c r="B35" s="64">
        <f>(B39-B37-B36-B32)*153/(22304+153)</f>
        <v>243.98788796366389</v>
      </c>
      <c r="C35" s="38">
        <v>4448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9"/>
      <c r="N35" s="38">
        <v>29323</v>
      </c>
      <c r="O35" s="65">
        <f>SUM(B35:N35)</f>
        <v>34014.987887963667</v>
      </c>
      <c r="P35" s="18">
        <f>O35/O$39</f>
        <v>5.4302950205324239E-2</v>
      </c>
      <c r="Q35" s="19" t="s">
        <v>43</v>
      </c>
      <c r="R35" s="19"/>
    </row>
    <row r="36" spans="1:47" ht="16" x14ac:dyDescent="0.2">
      <c r="A36" s="8" t="s">
        <v>44</v>
      </c>
      <c r="B36" s="59">
        <v>8800</v>
      </c>
      <c r="C36" s="38">
        <v>746</v>
      </c>
      <c r="D36" s="38">
        <v>0</v>
      </c>
      <c r="E36" s="38">
        <v>0</v>
      </c>
      <c r="F36" s="38">
        <v>0</v>
      </c>
      <c r="G36" s="64">
        <v>74400</v>
      </c>
      <c r="H36" s="38">
        <v>0</v>
      </c>
      <c r="I36" s="38"/>
      <c r="J36" s="38"/>
      <c r="K36" s="38"/>
      <c r="L36" s="38"/>
      <c r="M36" s="39"/>
      <c r="N36" s="38">
        <v>68754</v>
      </c>
      <c r="O36" s="38">
        <f>SUM(B36:N36)</f>
        <v>152700</v>
      </c>
      <c r="P36" s="19"/>
      <c r="Q36" s="19"/>
      <c r="R36" s="3"/>
      <c r="S36" s="7"/>
      <c r="T36" s="7"/>
      <c r="U36" s="7"/>
    </row>
    <row r="37" spans="1:47" ht="15.75" x14ac:dyDescent="0.25">
      <c r="A37" s="8" t="s">
        <v>45</v>
      </c>
      <c r="B37" s="59">
        <v>39800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9"/>
      <c r="N37" s="38">
        <v>8843</v>
      </c>
      <c r="O37" s="65">
        <f>SUM(B37:N37)</f>
        <v>48643</v>
      </c>
      <c r="P37" s="19"/>
      <c r="Q37" s="19"/>
      <c r="R37" s="3"/>
      <c r="S37" s="7"/>
      <c r="T37" s="7" t="s">
        <v>27</v>
      </c>
      <c r="U37" s="7" t="s">
        <v>28</v>
      </c>
    </row>
    <row r="38" spans="1:47" ht="16" x14ac:dyDescent="0.2">
      <c r="A38" s="8" t="s">
        <v>46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9"/>
      <c r="N38" s="38">
        <v>14260</v>
      </c>
      <c r="O38" s="38">
        <v>14260</v>
      </c>
      <c r="P38" s="19">
        <f>SUM(P31:P35)</f>
        <v>0.65580234772738522</v>
      </c>
      <c r="Q38" s="19"/>
      <c r="R38" s="3"/>
      <c r="S38" s="7" t="s">
        <v>47</v>
      </c>
      <c r="T38" s="20">
        <f>O45/1000</f>
        <v>26.3856</v>
      </c>
      <c r="U38" s="7"/>
    </row>
    <row r="39" spans="1:47" ht="16" x14ac:dyDescent="0.2">
      <c r="A39" s="8" t="s">
        <v>16</v>
      </c>
      <c r="B39" s="59">
        <v>87400</v>
      </c>
      <c r="C39" s="38">
        <v>224904</v>
      </c>
      <c r="D39" s="38">
        <v>0</v>
      </c>
      <c r="E39" s="64">
        <f>SUM(E31:E38)</f>
        <v>21512</v>
      </c>
      <c r="F39" s="38">
        <v>17373</v>
      </c>
      <c r="G39" s="38">
        <v>76635</v>
      </c>
      <c r="H39" s="38">
        <v>0</v>
      </c>
      <c r="I39" s="38"/>
      <c r="J39" s="38"/>
      <c r="K39" s="38"/>
      <c r="L39" s="38"/>
      <c r="M39" s="39"/>
      <c r="N39" s="64">
        <f>SUM(N31:N38)</f>
        <v>198570</v>
      </c>
      <c r="O39" s="65">
        <f>SUM(O31:O38)</f>
        <v>626393</v>
      </c>
      <c r="P39" s="3"/>
      <c r="Q39" s="3"/>
      <c r="R39" s="3"/>
      <c r="S39" s="7" t="s">
        <v>48</v>
      </c>
      <c r="T39" s="21">
        <f>O41/1000</f>
        <v>215.60300000000001</v>
      </c>
      <c r="U39" s="14">
        <f>P41</f>
        <v>0.34419765227261478</v>
      </c>
    </row>
    <row r="40" spans="1:47" x14ac:dyDescent="0.2">
      <c r="F40" s="16"/>
      <c r="O40" s="16"/>
      <c r="S40" s="7" t="s">
        <v>49</v>
      </c>
      <c r="T40" s="21">
        <f>O35/1000</f>
        <v>34.01498788796367</v>
      </c>
      <c r="U40" s="15">
        <f>P35</f>
        <v>5.4302950205324239E-2</v>
      </c>
    </row>
    <row r="41" spans="1:47" ht="16" x14ac:dyDescent="0.2">
      <c r="A41" s="22" t="s">
        <v>50</v>
      </c>
      <c r="B41" s="23">
        <f>B38+B37+B36</f>
        <v>48600</v>
      </c>
      <c r="C41" s="23">
        <f t="shared" ref="C41:O41" si="0">C38+C37+C36</f>
        <v>746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74400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0</v>
      </c>
      <c r="N41" s="23">
        <f t="shared" si="0"/>
        <v>91857</v>
      </c>
      <c r="O41" s="23">
        <f t="shared" si="0"/>
        <v>215603</v>
      </c>
      <c r="P41" s="18">
        <f>O41/O$39</f>
        <v>0.34419765227261478</v>
      </c>
      <c r="Q41" s="18" t="s">
        <v>51</v>
      </c>
      <c r="R41" s="7"/>
      <c r="S41" s="7" t="s">
        <v>52</v>
      </c>
      <c r="T41" s="21">
        <f>O33/1000</f>
        <v>57.193012112036335</v>
      </c>
      <c r="U41" s="14">
        <f>P33</f>
        <v>9.1305318086307374E-2</v>
      </c>
    </row>
    <row r="42" spans="1:47" ht="16" x14ac:dyDescent="0.2">
      <c r="A42" s="24" t="s">
        <v>53</v>
      </c>
      <c r="B42" s="23"/>
      <c r="C42" s="25">
        <f>C39+C23+C10</f>
        <v>225404</v>
      </c>
      <c r="D42" s="25">
        <f t="shared" ref="D42:M42" si="1">D39+D23+D10</f>
        <v>0</v>
      </c>
      <c r="E42" s="25">
        <f t="shared" si="1"/>
        <v>21512</v>
      </c>
      <c r="F42" s="25">
        <f t="shared" si="1"/>
        <v>19273</v>
      </c>
      <c r="G42" s="25">
        <f t="shared" si="1"/>
        <v>146035</v>
      </c>
      <c r="H42" s="25">
        <f t="shared" si="1"/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 t="shared" si="1"/>
        <v>0</v>
      </c>
      <c r="N42" s="25">
        <f>N39+N23-B6+N45</f>
        <v>214650.6</v>
      </c>
      <c r="O42" s="26">
        <f>SUM(C42:N42)</f>
        <v>626874.6</v>
      </c>
      <c r="P42" s="7"/>
      <c r="Q42" s="7"/>
      <c r="R42" s="7"/>
      <c r="S42" s="7" t="s">
        <v>34</v>
      </c>
      <c r="T42" s="21">
        <f>O31/1000</f>
        <v>26.17</v>
      </c>
      <c r="U42" s="14">
        <f>P31</f>
        <v>4.1778883225067967E-2</v>
      </c>
    </row>
    <row r="43" spans="1:47" ht="16" x14ac:dyDescent="0.2">
      <c r="A43" s="24" t="s">
        <v>54</v>
      </c>
      <c r="B43" s="23"/>
      <c r="C43" s="18">
        <f t="shared" ref="C43:N43" si="2">C42/$O42</f>
        <v>0.35956792634443957</v>
      </c>
      <c r="D43" s="18">
        <f t="shared" si="2"/>
        <v>0</v>
      </c>
      <c r="E43" s="18">
        <f t="shared" si="2"/>
        <v>3.4316273142985854E-2</v>
      </c>
      <c r="F43" s="18">
        <f t="shared" si="2"/>
        <v>3.0744585918778652E-2</v>
      </c>
      <c r="G43" s="18">
        <f t="shared" si="2"/>
        <v>0.23295727726087484</v>
      </c>
      <c r="H43" s="18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</v>
      </c>
      <c r="N43" s="18">
        <f t="shared" si="2"/>
        <v>0.34241393733292114</v>
      </c>
      <c r="O43" s="18">
        <f>SUM(C43:N43)</f>
        <v>1</v>
      </c>
      <c r="P43" s="7"/>
      <c r="Q43" s="7"/>
      <c r="R43" s="7"/>
      <c r="S43" s="7" t="s">
        <v>55</v>
      </c>
      <c r="T43" s="21">
        <f>O32/1000</f>
        <v>73.043000000000006</v>
      </c>
      <c r="U43" s="15">
        <f>P32</f>
        <v>0.11660890207904623</v>
      </c>
    </row>
    <row r="44" spans="1:4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1">
        <f>O34/1000</f>
        <v>220.369</v>
      </c>
      <c r="U44" s="15">
        <f>P34</f>
        <v>0.35180629413163939</v>
      </c>
    </row>
    <row r="45" spans="1:47" ht="16" x14ac:dyDescent="0.2">
      <c r="A45" s="6" t="s">
        <v>57</v>
      </c>
      <c r="B45" s="6">
        <f>B23-B39</f>
        <v>10500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7">
        <f>N39*0.08</f>
        <v>15885.6</v>
      </c>
      <c r="O45" s="26">
        <f>B45+N45</f>
        <v>26385.599999999999</v>
      </c>
      <c r="P45" s="7"/>
      <c r="Q45" s="7"/>
      <c r="R45" s="7"/>
      <c r="S45" s="7" t="s">
        <v>58</v>
      </c>
      <c r="T45" s="21">
        <f>SUM(T39:T44)</f>
        <v>626.39300000000003</v>
      </c>
      <c r="U45" s="14">
        <f>SUM(U39:U44)</f>
        <v>1</v>
      </c>
    </row>
    <row r="46" spans="1:47" ht="16" x14ac:dyDescent="0.2">
      <c r="A46" s="6"/>
      <c r="B46" s="68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x14ac:dyDescent="0.2">
      <c r="A47" s="4"/>
      <c r="B47" s="4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"/>
      <c r="R47" s="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4"/>
      <c r="AH47" s="4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x14ac:dyDescent="0.2">
      <c r="A48" s="17"/>
      <c r="B48" s="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 ht="16" x14ac:dyDescent="0.2">
      <c r="A50" s="4"/>
      <c r="B50" s="38"/>
      <c r="C50" s="38"/>
      <c r="D50" s="38"/>
      <c r="E50" s="65"/>
      <c r="F50" s="38"/>
      <c r="G50" s="38"/>
      <c r="I50" s="38"/>
      <c r="J50" s="38"/>
      <c r="K50" s="38"/>
      <c r="L50" s="69"/>
      <c r="M50" s="38"/>
      <c r="N50" s="38"/>
      <c r="O50" s="38"/>
      <c r="P50" s="38"/>
      <c r="Q50" s="38"/>
      <c r="R50" s="38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 x14ac:dyDescent="0.2">
      <c r="A51" s="1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 x14ac:dyDescent="0.2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 x14ac:dyDescent="0.2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17"/>
      <c r="N55" s="9"/>
      <c r="O55" s="9"/>
      <c r="P55" s="17"/>
      <c r="Q55" s="17"/>
      <c r="R55" s="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x14ac:dyDescent="0.2">
      <c r="A56" s="5"/>
      <c r="B56" s="70"/>
      <c r="C56" s="6"/>
      <c r="D56" s="6"/>
      <c r="E56" s="9"/>
      <c r="F56" s="10"/>
      <c r="G56" s="9"/>
      <c r="H56" s="9"/>
      <c r="I56" s="9"/>
      <c r="J56" s="9"/>
      <c r="K56" s="9"/>
      <c r="L56" s="9"/>
      <c r="M56" s="17"/>
      <c r="N56" s="9"/>
      <c r="O56" s="9"/>
      <c r="P56" s="17"/>
      <c r="Q56" s="17"/>
      <c r="R56" s="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6" x14ac:dyDescent="0.2">
      <c r="A57" s="5"/>
      <c r="B57" s="70"/>
      <c r="C57" s="6"/>
      <c r="D57" s="31"/>
      <c r="E57" s="9"/>
      <c r="F57" s="10"/>
      <c r="G57" s="9"/>
      <c r="H57" s="9"/>
      <c r="I57" s="9"/>
      <c r="J57" s="9"/>
      <c r="K57" s="9"/>
      <c r="L57" s="9"/>
      <c r="M57" s="17"/>
      <c r="N57" s="9"/>
      <c r="O57" s="9"/>
      <c r="P57" s="17"/>
      <c r="Q57" s="17"/>
      <c r="R57" s="4"/>
      <c r="S57" s="6"/>
      <c r="T57" s="30"/>
    </row>
    <row r="58" spans="1:47" ht="16" x14ac:dyDescent="0.2">
      <c r="A58" s="5"/>
      <c r="B58" s="70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6" x14ac:dyDescent="0.2">
      <c r="A59" s="5"/>
      <c r="B59" s="70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6" x14ac:dyDescent="0.2">
      <c r="A60" s="5"/>
      <c r="B60" s="70"/>
      <c r="C60" s="6"/>
      <c r="D60" s="16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6" x14ac:dyDescent="0.2">
      <c r="A61" s="5"/>
      <c r="B61" s="70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31"/>
      <c r="T61" s="32"/>
    </row>
    <row r="62" spans="1:47" ht="16" x14ac:dyDescent="0.2">
      <c r="C62" s="16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4"/>
      <c r="Q62" s="7"/>
      <c r="R62" s="7"/>
      <c r="S62" s="7"/>
      <c r="T62" s="6"/>
    </row>
    <row r="63" spans="1:47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8" enableFormatConditionsCalculation="0"/>
  <dimension ref="A1:AU70"/>
  <sheetViews>
    <sheetView workbookViewId="0">
      <selection activeCell="B50" sqref="B50"/>
    </sheetView>
  </sheetViews>
  <sheetFormatPr baseColWidth="10" defaultColWidth="8.83203125" defaultRowHeight="15" x14ac:dyDescent="0.2"/>
  <cols>
    <col min="1" max="1" width="21.6640625" style="2" customWidth="1"/>
    <col min="2" max="21" width="10.1640625" style="2" customWidth="1"/>
    <col min="22" max="16384" width="8.83203125" style="2"/>
  </cols>
  <sheetData>
    <row r="1" spans="1:35" ht="19" x14ac:dyDescent="0.25">
      <c r="A1" s="1" t="s">
        <v>0</v>
      </c>
      <c r="O1" s="3"/>
      <c r="P1" s="3"/>
      <c r="Q1" s="3"/>
      <c r="R1" s="3"/>
      <c r="S1" s="3"/>
      <c r="T1" s="3"/>
    </row>
    <row r="2" spans="1:35" ht="15.75" x14ac:dyDescent="0.25">
      <c r="A2" s="8" t="s">
        <v>63</v>
      </c>
      <c r="Q2" s="39"/>
      <c r="R2" s="8"/>
      <c r="AH2" s="39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66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9</v>
      </c>
      <c r="M3" s="6"/>
      <c r="N3" s="6" t="s">
        <v>10</v>
      </c>
      <c r="O3" s="7" t="s">
        <v>11</v>
      </c>
      <c r="Q3" s="39"/>
      <c r="R3" s="39"/>
      <c r="AH3" s="39"/>
      <c r="AI3" s="39"/>
    </row>
    <row r="4" spans="1:35" ht="15.75" x14ac:dyDescent="0.25">
      <c r="A4" s="8" t="s">
        <v>68</v>
      </c>
      <c r="B4" s="75">
        <f>0.95*4419</f>
        <v>4198.05</v>
      </c>
      <c r="Q4" s="39"/>
      <c r="R4" s="39"/>
      <c r="AH4" s="39"/>
      <c r="AI4" s="39"/>
    </row>
    <row r="5" spans="1:35" ht="15.75" x14ac:dyDescent="0.25">
      <c r="A5" s="39"/>
      <c r="B5" s="16"/>
      <c r="Q5" s="39"/>
      <c r="R5" s="39"/>
      <c r="AH5" s="39"/>
      <c r="AI5" s="39"/>
    </row>
    <row r="6" spans="1:35" ht="16" x14ac:dyDescent="0.2">
      <c r="A6" s="8" t="s">
        <v>12</v>
      </c>
      <c r="B6" s="38">
        <v>110312</v>
      </c>
      <c r="C6" s="65">
        <v>0</v>
      </c>
      <c r="D6" s="65">
        <v>0</v>
      </c>
      <c r="E6" s="38">
        <v>0</v>
      </c>
      <c r="F6" s="38">
        <v>0</v>
      </c>
      <c r="G6" s="65">
        <v>0</v>
      </c>
      <c r="H6" s="38">
        <v>0</v>
      </c>
      <c r="I6" s="38"/>
      <c r="J6" s="65"/>
      <c r="K6" s="38"/>
      <c r="L6" s="38"/>
      <c r="M6" s="38"/>
      <c r="N6" s="38"/>
      <c r="O6" s="65">
        <v>0</v>
      </c>
      <c r="Q6" s="39"/>
      <c r="R6" s="39"/>
      <c r="AH6" s="39"/>
      <c r="AI6" s="39"/>
    </row>
    <row r="7" spans="1:35" ht="16" x14ac:dyDescent="0.2">
      <c r="A7" s="8" t="s">
        <v>13</v>
      </c>
      <c r="B7" s="64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65"/>
      <c r="K7" s="38"/>
      <c r="L7" s="38"/>
      <c r="M7" s="38"/>
      <c r="N7" s="38"/>
      <c r="O7" s="38">
        <v>0</v>
      </c>
      <c r="P7" s="38"/>
      <c r="Q7" s="39"/>
      <c r="R7" s="39"/>
      <c r="AH7" s="39"/>
      <c r="AI7" s="39"/>
    </row>
    <row r="8" spans="1:35" ht="15.75" x14ac:dyDescent="0.25">
      <c r="A8" s="8" t="s">
        <v>14</v>
      </c>
      <c r="B8" s="64">
        <f>B10-B9-B6-B4</f>
        <v>376.00000000000273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65"/>
      <c r="K8" s="38"/>
      <c r="L8" s="38"/>
      <c r="M8" s="38"/>
      <c r="N8" s="38"/>
      <c r="O8" s="38">
        <v>0</v>
      </c>
      <c r="P8" s="38"/>
      <c r="Q8" s="39"/>
      <c r="R8" s="39"/>
      <c r="AH8" s="39"/>
      <c r="AI8" s="39"/>
    </row>
    <row r="9" spans="1:35" ht="15.75" x14ac:dyDescent="0.25">
      <c r="A9" s="8" t="s">
        <v>15</v>
      </c>
      <c r="B9" s="63">
        <v>1349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65"/>
      <c r="K9" s="38"/>
      <c r="L9" s="38"/>
      <c r="M9" s="38"/>
      <c r="N9" s="38"/>
      <c r="O9" s="38">
        <v>0</v>
      </c>
      <c r="P9" s="38"/>
      <c r="Q9" s="39"/>
      <c r="R9" s="39"/>
      <c r="S9" s="8"/>
      <c r="T9" s="38"/>
      <c r="U9" s="38"/>
      <c r="V9" s="43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43"/>
      <c r="AH9" s="39"/>
      <c r="AI9" s="39"/>
    </row>
    <row r="10" spans="1:35" ht="16" x14ac:dyDescent="0.2">
      <c r="A10" s="8" t="s">
        <v>16</v>
      </c>
      <c r="B10" s="65">
        <f>112037+B4</f>
        <v>116235.05</v>
      </c>
      <c r="C10" s="65">
        <v>0</v>
      </c>
      <c r="D10" s="65">
        <v>0</v>
      </c>
      <c r="E10" s="38">
        <v>0</v>
      </c>
      <c r="F10" s="38">
        <v>0</v>
      </c>
      <c r="G10" s="65">
        <v>0</v>
      </c>
      <c r="H10" s="38">
        <v>0</v>
      </c>
      <c r="I10" s="38"/>
      <c r="J10" s="65"/>
      <c r="K10" s="38"/>
      <c r="L10" s="38"/>
      <c r="M10" s="38"/>
      <c r="N10" s="38"/>
      <c r="O10" s="65">
        <v>0</v>
      </c>
      <c r="P10" s="38"/>
      <c r="Q10" s="39"/>
      <c r="R10" s="39"/>
      <c r="S10" s="8"/>
      <c r="T10" s="38"/>
      <c r="U10" s="38"/>
      <c r="V10" s="43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43"/>
      <c r="AH10" s="39"/>
      <c r="AI10" s="39"/>
    </row>
    <row r="11" spans="1:35" ht="15.75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</row>
    <row r="12" spans="1:35" ht="15.75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/>
      <c r="P12" s="3"/>
      <c r="Q12" s="3"/>
      <c r="R12" s="3"/>
      <c r="S12" s="3"/>
      <c r="T12" s="3"/>
    </row>
    <row r="13" spans="1:35" ht="19" x14ac:dyDescent="0.25">
      <c r="A13" s="1" t="s">
        <v>17</v>
      </c>
      <c r="B13" s="41"/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41"/>
      <c r="O13" s="3"/>
      <c r="P13" s="3"/>
      <c r="Q13" s="3"/>
      <c r="R13" s="3"/>
      <c r="S13" s="3"/>
      <c r="T13" s="3"/>
    </row>
    <row r="14" spans="1:35" ht="15.75" x14ac:dyDescent="0.25">
      <c r="A14" s="4" t="s">
        <v>63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  <c r="P14" s="3"/>
      <c r="Q14" s="3"/>
      <c r="R14" s="3"/>
      <c r="S14" s="3"/>
      <c r="T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66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/>
      <c r="N15" s="6" t="s">
        <v>10</v>
      </c>
      <c r="O15" s="16" t="s">
        <v>11</v>
      </c>
      <c r="P15" s="3"/>
      <c r="Q15" s="3"/>
      <c r="R15" s="3"/>
      <c r="S15" s="3"/>
      <c r="T15" s="3"/>
    </row>
    <row r="16" spans="1:35" ht="15.7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</row>
    <row r="17" spans="1:21" ht="16" x14ac:dyDescent="0.2">
      <c r="A17" s="8" t="s">
        <v>20</v>
      </c>
      <c r="B17" s="38">
        <v>1199219</v>
      </c>
      <c r="C17" s="38">
        <v>16496</v>
      </c>
      <c r="D17" s="65">
        <v>0</v>
      </c>
      <c r="E17" s="38">
        <v>0</v>
      </c>
      <c r="F17" s="38">
        <v>0</v>
      </c>
      <c r="G17" s="65">
        <f>583848-454200</f>
        <v>129648</v>
      </c>
      <c r="H17" s="38">
        <v>0</v>
      </c>
      <c r="I17" s="38"/>
      <c r="J17" s="65">
        <v>235402</v>
      </c>
      <c r="K17" s="58">
        <v>908400</v>
      </c>
      <c r="L17" s="38"/>
      <c r="M17" s="38"/>
      <c r="N17" s="38"/>
      <c r="O17" s="65">
        <f>SUM(C17:N17)</f>
        <v>1289946</v>
      </c>
      <c r="P17" s="3"/>
      <c r="Q17" s="3"/>
      <c r="R17" s="3"/>
      <c r="S17" s="3"/>
      <c r="T17" s="3"/>
    </row>
    <row r="18" spans="1:21" ht="16" x14ac:dyDescent="0.2">
      <c r="A18" s="8" t="s">
        <v>21</v>
      </c>
      <c r="B18" s="65">
        <f>192445+72259+80800</f>
        <v>345504</v>
      </c>
      <c r="C18" s="38">
        <v>22131</v>
      </c>
      <c r="D18" s="64">
        <v>0</v>
      </c>
      <c r="E18" s="38">
        <v>0</v>
      </c>
      <c r="F18" s="38">
        <v>0</v>
      </c>
      <c r="G18" s="38">
        <v>73436</v>
      </c>
      <c r="H18" s="38">
        <v>0</v>
      </c>
      <c r="I18" s="38"/>
      <c r="J18" s="65">
        <f>J23-J17</f>
        <v>101298</v>
      </c>
      <c r="K18" s="58">
        <v>180800</v>
      </c>
      <c r="L18" s="38"/>
      <c r="M18" s="38"/>
      <c r="N18" s="65">
        <f>76100+21900</f>
        <v>98000</v>
      </c>
      <c r="O18" s="64">
        <f>SUM(C18:N18)</f>
        <v>475665</v>
      </c>
      <c r="P18" s="3"/>
      <c r="Q18" s="3"/>
      <c r="R18" s="3"/>
      <c r="S18" s="3"/>
      <c r="T18" s="3"/>
    </row>
    <row r="19" spans="1:21" ht="15.75" x14ac:dyDescent="0.25">
      <c r="A19" s="8" t="s">
        <v>22</v>
      </c>
      <c r="B19" s="65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38"/>
      <c r="N19" s="58"/>
      <c r="O19" s="38">
        <v>0</v>
      </c>
      <c r="P19" s="3"/>
      <c r="Q19" s="3"/>
      <c r="R19" s="3"/>
      <c r="S19" s="3"/>
      <c r="T19" s="3"/>
    </row>
    <row r="20" spans="1:21" ht="16" x14ac:dyDescent="0.2">
      <c r="A20" s="8" t="s">
        <v>23</v>
      </c>
      <c r="B20" s="64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38"/>
      <c r="N20" s="58"/>
      <c r="O20" s="38">
        <v>0</v>
      </c>
      <c r="P20" s="3"/>
      <c r="Q20" s="3"/>
      <c r="R20" s="3"/>
      <c r="S20" s="3"/>
      <c r="T20" s="3"/>
    </row>
    <row r="21" spans="1:21" ht="16" x14ac:dyDescent="0.2">
      <c r="A21" s="8" t="s">
        <v>24</v>
      </c>
      <c r="B21" s="59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/>
      <c r="O21" s="38">
        <v>0</v>
      </c>
      <c r="P21" s="3"/>
      <c r="Q21" s="3"/>
      <c r="R21" s="3"/>
      <c r="S21" s="3" t="s">
        <v>26</v>
      </c>
      <c r="T21" s="12">
        <f>O42/1000</f>
        <v>4979.9284399999997</v>
      </c>
      <c r="U21" s="3"/>
    </row>
    <row r="22" spans="1:21" ht="16" x14ac:dyDescent="0.2">
      <c r="A22" s="8" t="s">
        <v>25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/>
      <c r="O22" s="38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65">
        <f>SUM(B17:B22)</f>
        <v>1544723</v>
      </c>
      <c r="C23" s="38">
        <v>38627</v>
      </c>
      <c r="D23" s="59">
        <v>0</v>
      </c>
      <c r="E23" s="38">
        <v>0</v>
      </c>
      <c r="F23" s="38">
        <v>0</v>
      </c>
      <c r="G23" s="65">
        <f>SUM(G17:G22)</f>
        <v>203084</v>
      </c>
      <c r="H23" s="38">
        <v>0</v>
      </c>
      <c r="I23" s="38"/>
      <c r="J23" s="58">
        <v>336700</v>
      </c>
      <c r="K23" s="58">
        <f>SUM(K17:K22)</f>
        <v>1089200</v>
      </c>
      <c r="L23" s="38"/>
      <c r="M23" s="38"/>
      <c r="N23" s="65">
        <f>SUM(N18:N22)</f>
        <v>98000</v>
      </c>
      <c r="O23" s="64">
        <f>SUM(O17:O22)</f>
        <v>1765611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5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55"/>
      <c r="P24" s="3"/>
      <c r="Q24" s="3"/>
      <c r="R24" s="3"/>
      <c r="S24" s="3" t="s">
        <v>10</v>
      </c>
      <c r="T24" s="13">
        <f>N42/1000</f>
        <v>1710.14544</v>
      </c>
      <c r="U24" s="14">
        <f>N43</f>
        <v>0.34340763338358332</v>
      </c>
    </row>
    <row r="25" spans="1:21" ht="16" x14ac:dyDescent="0.2">
      <c r="B25" s="56"/>
      <c r="C25" s="16"/>
      <c r="D25" s="6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/>
      <c r="P25" s="3"/>
      <c r="Q25" s="3"/>
      <c r="R25" s="3"/>
      <c r="S25" s="3" t="s">
        <v>66</v>
      </c>
      <c r="T25" s="13">
        <f>G42/1000</f>
        <v>344.77800000000002</v>
      </c>
      <c r="U25" s="15">
        <f>G43</f>
        <v>6.9233524970089735E-2</v>
      </c>
    </row>
    <row r="26" spans="1:21" ht="15.75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/>
      <c r="P26" s="3"/>
      <c r="Q26" s="3"/>
      <c r="R26" s="3"/>
      <c r="S26" s="3" t="s">
        <v>7</v>
      </c>
      <c r="T26" s="13">
        <f>J42/1000</f>
        <v>336.7</v>
      </c>
      <c r="U26" s="14">
        <f>J43</f>
        <v>6.7611413307778381E-2</v>
      </c>
    </row>
    <row r="27" spans="1:21" ht="19" x14ac:dyDescent="0.25">
      <c r="A27" s="1" t="s">
        <v>29</v>
      </c>
      <c r="B27" s="41"/>
      <c r="C27" s="41"/>
      <c r="D27" s="41"/>
      <c r="E27" s="41"/>
      <c r="F27" s="41"/>
      <c r="G27" s="41"/>
      <c r="H27" s="16"/>
      <c r="I27" s="16"/>
      <c r="J27" s="16"/>
      <c r="K27" s="16"/>
      <c r="L27" s="16"/>
      <c r="M27" s="57"/>
      <c r="N27" s="16"/>
      <c r="O27" s="55"/>
      <c r="P27" s="3"/>
      <c r="Q27" s="3"/>
      <c r="R27" s="3"/>
      <c r="S27" s="3" t="s">
        <v>31</v>
      </c>
      <c r="T27" s="13">
        <f>F42/1000</f>
        <v>107.892</v>
      </c>
      <c r="U27" s="14">
        <f>F43</f>
        <v>2.1665371561041952E-2</v>
      </c>
    </row>
    <row r="28" spans="1:21" ht="15.75" x14ac:dyDescent="0.25">
      <c r="A28" s="4" t="s">
        <v>63</v>
      </c>
      <c r="B28" s="57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57"/>
      <c r="O28" s="3"/>
      <c r="P28" s="3"/>
      <c r="Q28" s="3"/>
      <c r="R28" s="3"/>
      <c r="S28" s="3" t="s">
        <v>4</v>
      </c>
      <c r="T28" s="12">
        <f>E42/1000</f>
        <v>1.7549999999999999</v>
      </c>
      <c r="U28" s="14">
        <f>E43</f>
        <v>3.5241470256950122E-4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66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4">
        <f>D43</f>
        <v>0</v>
      </c>
    </row>
    <row r="30" spans="1:21" ht="15.75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/>
      <c r="P30" s="3"/>
      <c r="Q30" s="3"/>
      <c r="R30" s="3"/>
      <c r="S30" s="2" t="s">
        <v>8</v>
      </c>
      <c r="T30" s="2">
        <f>K42/1000</f>
        <v>1089.2</v>
      </c>
      <c r="U30" s="44">
        <f>K43</f>
        <v>0.21871800230125396</v>
      </c>
    </row>
    <row r="31" spans="1:21" ht="15.75" x14ac:dyDescent="0.25">
      <c r="A31" s="8" t="s">
        <v>33</v>
      </c>
      <c r="B31" s="38">
        <v>0</v>
      </c>
      <c r="C31" s="38">
        <v>54416</v>
      </c>
      <c r="D31" s="38">
        <v>0</v>
      </c>
      <c r="E31" s="38">
        <v>0</v>
      </c>
      <c r="F31" s="38">
        <v>5247</v>
      </c>
      <c r="G31" s="38">
        <v>0</v>
      </c>
      <c r="H31" s="38">
        <v>0</v>
      </c>
      <c r="I31" s="38"/>
      <c r="J31" s="38"/>
      <c r="K31" s="38"/>
      <c r="L31" s="38"/>
      <c r="M31" s="39"/>
      <c r="N31" s="38">
        <v>36378</v>
      </c>
      <c r="O31" s="38">
        <v>96041</v>
      </c>
      <c r="P31" s="18">
        <f>O31/O$39</f>
        <v>2.1024553200059543E-2</v>
      </c>
      <c r="Q31" s="19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38">
        <v>160657</v>
      </c>
      <c r="C32" s="38">
        <v>1941</v>
      </c>
      <c r="D32" s="38">
        <v>0</v>
      </c>
      <c r="E32" s="38">
        <v>1755</v>
      </c>
      <c r="F32" s="38">
        <v>0</v>
      </c>
      <c r="G32" s="64">
        <f>O32-N32-E32-C32-B32</f>
        <v>67694</v>
      </c>
      <c r="H32" s="38">
        <v>0</v>
      </c>
      <c r="I32" s="38"/>
      <c r="J32" s="38"/>
      <c r="K32" s="38"/>
      <c r="L32" s="38"/>
      <c r="M32" s="39"/>
      <c r="N32" s="64">
        <f>N39-N38-N37-N36-N35-N34-N33-N31</f>
        <v>133977</v>
      </c>
      <c r="O32" s="38">
        <v>366024</v>
      </c>
      <c r="P32" s="18">
        <f>O32/O$39</f>
        <v>8.0127144245672105E-2</v>
      </c>
      <c r="Q32" s="19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7" ht="15.75" x14ac:dyDescent="0.25">
      <c r="A33" s="8" t="s">
        <v>38</v>
      </c>
      <c r="B33" s="38">
        <v>163823</v>
      </c>
      <c r="C33" s="65">
        <v>4215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9"/>
      <c r="N33" s="38">
        <v>191767</v>
      </c>
      <c r="O33" s="65">
        <f>SUM(B33:N33)</f>
        <v>359805</v>
      </c>
      <c r="P33" s="18">
        <f>O33/O$39</f>
        <v>7.8765728846507468E-2</v>
      </c>
      <c r="Q33" s="19" t="s">
        <v>39</v>
      </c>
      <c r="R33" s="3"/>
      <c r="S33" s="3" t="s">
        <v>35</v>
      </c>
      <c r="T33" s="13">
        <f>C42/1000</f>
        <v>1389.4580000000001</v>
      </c>
      <c r="U33" s="15">
        <f>C43</f>
        <v>0.27901163977368321</v>
      </c>
    </row>
    <row r="34" spans="1:47" ht="15.75" x14ac:dyDescent="0.25">
      <c r="A34" s="8" t="s">
        <v>40</v>
      </c>
      <c r="B34" s="38">
        <v>0</v>
      </c>
      <c r="C34" s="38">
        <v>1274253</v>
      </c>
      <c r="D34" s="38">
        <v>0</v>
      </c>
      <c r="E34" s="38">
        <v>0</v>
      </c>
      <c r="F34" s="38">
        <v>102645</v>
      </c>
      <c r="G34" s="38">
        <v>0</v>
      </c>
      <c r="H34" s="38">
        <v>0</v>
      </c>
      <c r="I34" s="38"/>
      <c r="J34" s="38"/>
      <c r="K34" s="38"/>
      <c r="L34" s="38"/>
      <c r="M34" s="39"/>
      <c r="N34" s="38">
        <v>3351</v>
      </c>
      <c r="O34" s="38">
        <v>1380249</v>
      </c>
      <c r="P34" s="18">
        <f>O34/O$39</f>
        <v>0.30215343998739064</v>
      </c>
      <c r="Q34" s="19" t="s">
        <v>41</v>
      </c>
      <c r="R34" s="3"/>
      <c r="S34" s="3"/>
      <c r="T34" s="13">
        <f>SUM(T24:T33)</f>
        <v>4979.9284399999997</v>
      </c>
      <c r="U34" s="14">
        <f>SUM(U24:U33)</f>
        <v>1</v>
      </c>
    </row>
    <row r="35" spans="1:47" ht="16" x14ac:dyDescent="0.2">
      <c r="A35" s="8" t="s">
        <v>42</v>
      </c>
      <c r="B35" s="64">
        <f>B39-B37-B36-B33-B32</f>
        <v>271220</v>
      </c>
      <c r="C35" s="38">
        <v>12620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9"/>
      <c r="N35" s="64">
        <f>O35-C35-B35</f>
        <v>715600</v>
      </c>
      <c r="O35" s="38">
        <v>999440</v>
      </c>
      <c r="P35" s="18">
        <f>O35/O$39</f>
        <v>0.21878967784870534</v>
      </c>
      <c r="Q35" s="19" t="s">
        <v>43</v>
      </c>
      <c r="R35" s="19"/>
    </row>
    <row r="36" spans="1:47" ht="16" x14ac:dyDescent="0.2">
      <c r="A36" s="8" t="s">
        <v>44</v>
      </c>
      <c r="B36" s="59">
        <v>133500</v>
      </c>
      <c r="C36" s="38">
        <v>3243</v>
      </c>
      <c r="D36" s="38">
        <v>0</v>
      </c>
      <c r="E36" s="38">
        <v>0</v>
      </c>
      <c r="F36" s="38">
        <v>0</v>
      </c>
      <c r="G36" s="64">
        <v>74000</v>
      </c>
      <c r="H36" s="38">
        <v>0</v>
      </c>
      <c r="I36" s="38"/>
      <c r="J36" s="38"/>
      <c r="K36" s="38"/>
      <c r="L36" s="38"/>
      <c r="M36" s="39"/>
      <c r="N36" s="38">
        <v>342910</v>
      </c>
      <c r="O36" s="65">
        <f>SUM(B36:N36)</f>
        <v>553653</v>
      </c>
      <c r="P36" s="19"/>
      <c r="Q36" s="19"/>
      <c r="R36" s="3"/>
      <c r="S36" s="7"/>
      <c r="T36" s="7"/>
      <c r="U36" s="7"/>
    </row>
    <row r="37" spans="1:47" ht="15.75" x14ac:dyDescent="0.25">
      <c r="A37" s="8" t="s">
        <v>45</v>
      </c>
      <c r="B37" s="59">
        <v>641800</v>
      </c>
      <c r="C37" s="38">
        <v>143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8"/>
      <c r="N37" s="64">
        <f>O37-C37-B37</f>
        <v>139911</v>
      </c>
      <c r="O37" s="38">
        <v>781854</v>
      </c>
      <c r="P37" s="19"/>
      <c r="Q37" s="19"/>
      <c r="R37" s="3"/>
      <c r="S37" s="7"/>
      <c r="T37" s="7" t="s">
        <v>27</v>
      </c>
      <c r="U37" s="7" t="s">
        <v>28</v>
      </c>
    </row>
    <row r="38" spans="1:47" ht="16" x14ac:dyDescent="0.2">
      <c r="A38" s="8" t="s">
        <v>46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9"/>
      <c r="N38" s="38">
        <v>30974</v>
      </c>
      <c r="O38" s="38">
        <v>30974</v>
      </c>
      <c r="P38" s="19">
        <f>SUM(P31:P35)</f>
        <v>0.70086054412833509</v>
      </c>
      <c r="Q38" s="19"/>
      <c r="R38" s="3"/>
      <c r="S38" s="7" t="s">
        <v>47</v>
      </c>
      <c r="T38" s="20">
        <f>O45/1000</f>
        <v>301.31243999999998</v>
      </c>
      <c r="U38" s="7"/>
    </row>
    <row r="39" spans="1:47" ht="16" x14ac:dyDescent="0.2">
      <c r="A39" s="8" t="s">
        <v>16</v>
      </c>
      <c r="B39" s="59">
        <v>1371000</v>
      </c>
      <c r="C39" s="65">
        <f>SUM(C31:C38)</f>
        <v>1350831</v>
      </c>
      <c r="D39" s="38">
        <v>0</v>
      </c>
      <c r="E39" s="38">
        <v>1755</v>
      </c>
      <c r="F39" s="38">
        <v>107892</v>
      </c>
      <c r="G39" s="64">
        <f>SUM(G31:G38)</f>
        <v>141694</v>
      </c>
      <c r="H39" s="38">
        <v>0</v>
      </c>
      <c r="I39" s="38"/>
      <c r="J39" s="38"/>
      <c r="K39" s="38"/>
      <c r="L39" s="38"/>
      <c r="M39" s="39"/>
      <c r="N39" s="38">
        <v>1594868</v>
      </c>
      <c r="O39" s="65">
        <f>SUM(O31:O38)</f>
        <v>4568040</v>
      </c>
      <c r="P39" s="3"/>
      <c r="Q39" s="3"/>
      <c r="R39" s="3"/>
      <c r="S39" s="7" t="s">
        <v>48</v>
      </c>
      <c r="T39" s="21">
        <f>O41/1000</f>
        <v>1366.481</v>
      </c>
      <c r="U39" s="14">
        <f>P41</f>
        <v>0.29913945587166485</v>
      </c>
    </row>
    <row r="40" spans="1:47" x14ac:dyDescent="0.2">
      <c r="B40" s="16"/>
      <c r="C40" s="16"/>
      <c r="D40" s="16"/>
      <c r="E40" s="16"/>
      <c r="F40" s="16"/>
      <c r="G40" s="16">
        <f t="shared" ref="G40" si="0">G39-SUM(G31:G38)</f>
        <v>0</v>
      </c>
      <c r="H40" s="16"/>
      <c r="I40" s="16"/>
      <c r="J40" s="16"/>
      <c r="K40" s="16"/>
      <c r="L40" s="16"/>
      <c r="M40" s="16"/>
      <c r="N40" s="16"/>
      <c r="O40" s="16"/>
      <c r="S40" s="7" t="s">
        <v>49</v>
      </c>
      <c r="T40" s="21">
        <f>O35/1000</f>
        <v>999.44</v>
      </c>
      <c r="U40" s="15">
        <f>P35</f>
        <v>0.21878967784870534</v>
      </c>
    </row>
    <row r="41" spans="1:47" ht="16" x14ac:dyDescent="0.2">
      <c r="A41" s="22" t="s">
        <v>50</v>
      </c>
      <c r="B41" s="23">
        <f>B38+B37+B36</f>
        <v>775300</v>
      </c>
      <c r="C41" s="23">
        <f t="shared" ref="C41:O41" si="1">C38+C37+C36</f>
        <v>3386</v>
      </c>
      <c r="D41" s="23">
        <f t="shared" si="1"/>
        <v>0</v>
      </c>
      <c r="E41" s="23">
        <f t="shared" si="1"/>
        <v>0</v>
      </c>
      <c r="F41" s="23">
        <f t="shared" si="1"/>
        <v>0</v>
      </c>
      <c r="G41" s="23">
        <f t="shared" si="1"/>
        <v>74000</v>
      </c>
      <c r="H41" s="23">
        <f t="shared" si="1"/>
        <v>0</v>
      </c>
      <c r="I41" s="23">
        <f t="shared" si="1"/>
        <v>0</v>
      </c>
      <c r="J41" s="23">
        <f t="shared" si="1"/>
        <v>0</v>
      </c>
      <c r="K41" s="23">
        <f t="shared" si="1"/>
        <v>0</v>
      </c>
      <c r="L41" s="23">
        <f t="shared" si="1"/>
        <v>0</v>
      </c>
      <c r="M41" s="23">
        <f t="shared" si="1"/>
        <v>0</v>
      </c>
      <c r="N41" s="23">
        <f t="shared" si="1"/>
        <v>513795</v>
      </c>
      <c r="O41" s="23">
        <f t="shared" si="1"/>
        <v>1366481</v>
      </c>
      <c r="P41" s="18">
        <f>O41/O$39</f>
        <v>0.29913945587166485</v>
      </c>
      <c r="Q41" s="18" t="s">
        <v>51</v>
      </c>
      <c r="R41" s="7"/>
      <c r="S41" s="7" t="s">
        <v>52</v>
      </c>
      <c r="T41" s="21">
        <f>O33/1000</f>
        <v>359.80500000000001</v>
      </c>
      <c r="U41" s="14">
        <f>P33</f>
        <v>7.8765728846507468E-2</v>
      </c>
    </row>
    <row r="42" spans="1:47" ht="16" x14ac:dyDescent="0.2">
      <c r="A42" s="24" t="s">
        <v>53</v>
      </c>
      <c r="B42" s="23"/>
      <c r="C42" s="25">
        <f>C39+C23+C10</f>
        <v>1389458</v>
      </c>
      <c r="D42" s="25">
        <f t="shared" ref="D42:M42" si="2">D39+D23+D10</f>
        <v>0</v>
      </c>
      <c r="E42" s="25">
        <f t="shared" si="2"/>
        <v>1755</v>
      </c>
      <c r="F42" s="25">
        <f t="shared" si="2"/>
        <v>107892</v>
      </c>
      <c r="G42" s="25">
        <f t="shared" si="2"/>
        <v>344778</v>
      </c>
      <c r="H42" s="25">
        <f t="shared" si="2"/>
        <v>0</v>
      </c>
      <c r="I42" s="25">
        <f t="shared" si="2"/>
        <v>0</v>
      </c>
      <c r="J42" s="25">
        <f t="shared" si="2"/>
        <v>336700</v>
      </c>
      <c r="K42" s="25">
        <f t="shared" si="2"/>
        <v>1089200</v>
      </c>
      <c r="L42" s="25">
        <f t="shared" si="2"/>
        <v>0</v>
      </c>
      <c r="M42" s="25">
        <f t="shared" si="2"/>
        <v>0</v>
      </c>
      <c r="N42" s="25">
        <f>N39+N23-B6+N45</f>
        <v>1710145.44</v>
      </c>
      <c r="O42" s="26">
        <f>SUM(C42:N42)</f>
        <v>4979928.4399999995</v>
      </c>
      <c r="P42" s="7"/>
      <c r="Q42" s="7"/>
      <c r="R42" s="7"/>
      <c r="S42" s="7" t="s">
        <v>34</v>
      </c>
      <c r="T42" s="21">
        <f>O31/1000</f>
        <v>96.040999999999997</v>
      </c>
      <c r="U42" s="14">
        <f>P31</f>
        <v>2.1024553200059543E-2</v>
      </c>
    </row>
    <row r="43" spans="1:47" ht="16" x14ac:dyDescent="0.2">
      <c r="A43" s="24" t="s">
        <v>54</v>
      </c>
      <c r="B43" s="23"/>
      <c r="C43" s="18">
        <f t="shared" ref="C43:N43" si="3">C42/$O42</f>
        <v>0.27901163977368321</v>
      </c>
      <c r="D43" s="18">
        <f t="shared" si="3"/>
        <v>0</v>
      </c>
      <c r="E43" s="18">
        <f t="shared" si="3"/>
        <v>3.5241470256950122E-4</v>
      </c>
      <c r="F43" s="18">
        <f t="shared" si="3"/>
        <v>2.1665371561041952E-2</v>
      </c>
      <c r="G43" s="18">
        <f t="shared" si="3"/>
        <v>6.9233524970089735E-2</v>
      </c>
      <c r="H43" s="18">
        <f t="shared" si="3"/>
        <v>0</v>
      </c>
      <c r="I43" s="18">
        <f t="shared" si="3"/>
        <v>0</v>
      </c>
      <c r="J43" s="18">
        <f t="shared" si="3"/>
        <v>6.7611413307778381E-2</v>
      </c>
      <c r="K43" s="18">
        <f t="shared" si="3"/>
        <v>0.21871800230125396</v>
      </c>
      <c r="L43" s="18">
        <f t="shared" si="3"/>
        <v>0</v>
      </c>
      <c r="M43" s="18">
        <f t="shared" si="3"/>
        <v>0</v>
      </c>
      <c r="N43" s="18">
        <f t="shared" si="3"/>
        <v>0.34340763338358332</v>
      </c>
      <c r="O43" s="18">
        <f>SUM(C43:N43)</f>
        <v>1</v>
      </c>
      <c r="P43" s="7"/>
      <c r="Q43" s="7"/>
      <c r="R43" s="7"/>
      <c r="S43" s="7" t="s">
        <v>55</v>
      </c>
      <c r="T43" s="21">
        <f>O32/1000</f>
        <v>366.024</v>
      </c>
      <c r="U43" s="15">
        <f>P32</f>
        <v>8.0127144245672105E-2</v>
      </c>
    </row>
    <row r="44" spans="1:4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1">
        <f>O34/1000</f>
        <v>1380.249</v>
      </c>
      <c r="U44" s="15">
        <f>P34</f>
        <v>0.30215343998739064</v>
      </c>
    </row>
    <row r="45" spans="1:47" ht="16" x14ac:dyDescent="0.2">
      <c r="A45" s="6" t="s">
        <v>57</v>
      </c>
      <c r="B45" s="6">
        <f>B23-B39</f>
        <v>173723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7">
        <f>N39*0.08</f>
        <v>127589.44</v>
      </c>
      <c r="O45" s="26">
        <f>B45+N45</f>
        <v>301312.44</v>
      </c>
      <c r="P45" s="7"/>
      <c r="Q45" s="7"/>
      <c r="R45" s="7"/>
      <c r="S45" s="7" t="s">
        <v>58</v>
      </c>
      <c r="T45" s="21">
        <f>SUM(T39:T44)</f>
        <v>4568.04</v>
      </c>
      <c r="U45" s="14">
        <f>SUM(U39:U44)</f>
        <v>1</v>
      </c>
    </row>
    <row r="46" spans="1:47" ht="16" x14ac:dyDescent="0.2">
      <c r="A46" s="6"/>
      <c r="B46" s="68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x14ac:dyDescent="0.2">
      <c r="A47" s="4"/>
      <c r="B47" s="4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"/>
      <c r="R47" s="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4"/>
      <c r="AH47" s="4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x14ac:dyDescent="0.2">
      <c r="A48" s="17"/>
      <c r="B48" s="4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4"/>
      <c r="AI49" s="42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 ht="16" x14ac:dyDescent="0.2">
      <c r="A50" s="4"/>
      <c r="B50" s="38"/>
      <c r="C50" s="38"/>
      <c r="D50" s="38"/>
      <c r="E50" s="65"/>
      <c r="F50" s="38"/>
      <c r="G50" s="38"/>
      <c r="I50" s="38"/>
      <c r="J50" s="38"/>
      <c r="K50" s="38"/>
      <c r="L50" s="69"/>
      <c r="M50" s="38"/>
      <c r="N50" s="38"/>
      <c r="O50" s="38"/>
      <c r="P50" s="38"/>
      <c r="Q50" s="38"/>
      <c r="R50" s="38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4"/>
      <c r="AI50" s="42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 x14ac:dyDescent="0.2">
      <c r="A51" s="1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 x14ac:dyDescent="0.2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 x14ac:dyDescent="0.2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ht="16" x14ac:dyDescent="0.2">
      <c r="A55" s="5"/>
      <c r="C55" s="6"/>
      <c r="D55" s="6"/>
      <c r="E55" s="9"/>
      <c r="F55" s="9"/>
      <c r="G55" s="9"/>
      <c r="H55" s="38"/>
      <c r="I55" s="38"/>
      <c r="J55" s="38"/>
      <c r="K55" s="38"/>
      <c r="L55" s="38"/>
      <c r="M55" s="38"/>
      <c r="N55" s="38"/>
      <c r="O55" s="9"/>
      <c r="P55" s="17"/>
      <c r="Q55" s="17"/>
      <c r="R55" s="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ht="16" x14ac:dyDescent="0.2">
      <c r="A56" s="5"/>
      <c r="B56" s="70"/>
      <c r="C56" s="6"/>
      <c r="D56" s="6"/>
      <c r="E56" s="9"/>
      <c r="F56" s="10"/>
      <c r="G56" s="9"/>
      <c r="H56" s="38"/>
      <c r="I56" s="38"/>
      <c r="J56" s="38"/>
      <c r="K56" s="38"/>
      <c r="L56" s="38"/>
      <c r="M56" s="38"/>
      <c r="N56" s="38"/>
      <c r="O56" s="9"/>
      <c r="P56" s="17"/>
      <c r="Q56" s="17"/>
      <c r="R56" s="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6" x14ac:dyDescent="0.2">
      <c r="A57" s="5"/>
      <c r="B57" s="70"/>
      <c r="C57" s="6"/>
      <c r="D57" s="31"/>
      <c r="E57" s="9"/>
      <c r="F57" s="10"/>
      <c r="G57" s="9"/>
      <c r="H57" s="38"/>
      <c r="I57" s="38"/>
      <c r="J57" s="38"/>
      <c r="K57" s="38"/>
      <c r="L57" s="38"/>
      <c r="M57" s="38"/>
      <c r="N57" s="38"/>
      <c r="O57" s="9"/>
      <c r="P57" s="17"/>
      <c r="Q57" s="17"/>
      <c r="R57" s="4"/>
      <c r="S57" s="6"/>
      <c r="T57" s="30"/>
    </row>
    <row r="58" spans="1:47" ht="16" x14ac:dyDescent="0.2">
      <c r="A58" s="5"/>
      <c r="B58" s="70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6" x14ac:dyDescent="0.2">
      <c r="A59" s="5"/>
      <c r="B59" s="70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6" x14ac:dyDescent="0.2">
      <c r="A60" s="5"/>
      <c r="B60" s="70"/>
      <c r="C60" s="6"/>
      <c r="D60" s="16"/>
      <c r="E60" s="28"/>
      <c r="F60" s="28"/>
      <c r="G60" s="28"/>
      <c r="H60" s="68"/>
      <c r="I60" s="68"/>
      <c r="J60" s="68"/>
      <c r="K60" s="68"/>
      <c r="L60" s="68"/>
      <c r="M60" s="68"/>
      <c r="N60" s="68"/>
      <c r="O60" s="68"/>
      <c r="P60" s="14"/>
      <c r="Q60" s="7"/>
      <c r="R60" s="7"/>
      <c r="S60" s="6"/>
      <c r="T60" s="30"/>
    </row>
    <row r="61" spans="1:47" ht="16" x14ac:dyDescent="0.2">
      <c r="A61" s="5"/>
      <c r="B61" s="70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31"/>
      <c r="T61" s="32"/>
    </row>
    <row r="62" spans="1:47" ht="16" x14ac:dyDescent="0.2">
      <c r="C62" s="16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4"/>
      <c r="Q62" s="7"/>
      <c r="R62" s="7"/>
      <c r="S62" s="7"/>
      <c r="T62" s="6"/>
    </row>
    <row r="63" spans="1:47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7" enableFormatConditionsCalculation="0"/>
  <dimension ref="A1:AU70"/>
  <sheetViews>
    <sheetView workbookViewId="0">
      <selection activeCell="B50" sqref="B50"/>
    </sheetView>
  </sheetViews>
  <sheetFormatPr baseColWidth="10" defaultColWidth="8.83203125" defaultRowHeight="15" x14ac:dyDescent="0.2"/>
  <cols>
    <col min="1" max="1" width="21.6640625" style="2" customWidth="1"/>
    <col min="2" max="21" width="10.1640625" style="2" customWidth="1"/>
    <col min="22" max="16384" width="8.83203125" style="2"/>
  </cols>
  <sheetData>
    <row r="1" spans="1:35" ht="19" x14ac:dyDescent="0.25">
      <c r="A1" s="1" t="s">
        <v>0</v>
      </c>
      <c r="O1" s="3"/>
      <c r="P1" s="3"/>
      <c r="Q1" s="3"/>
      <c r="R1" s="3"/>
      <c r="S1" s="3"/>
      <c r="T1" s="3"/>
    </row>
    <row r="2" spans="1:35" ht="16" x14ac:dyDescent="0.2">
      <c r="A2" s="8" t="s">
        <v>64</v>
      </c>
      <c r="Q2" s="39"/>
      <c r="R2" s="8"/>
      <c r="AH2" s="39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66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9</v>
      </c>
      <c r="M3" s="6"/>
      <c r="N3" s="6" t="s">
        <v>10</v>
      </c>
      <c r="O3" s="7" t="s">
        <v>11</v>
      </c>
      <c r="Q3" s="39"/>
      <c r="R3" s="39"/>
      <c r="AH3" s="39"/>
      <c r="AI3" s="39"/>
    </row>
    <row r="4" spans="1:35" ht="15.75" x14ac:dyDescent="0.25">
      <c r="A4" s="8" t="s">
        <v>68</v>
      </c>
      <c r="B4" s="75">
        <f>0.95*697</f>
        <v>662.15</v>
      </c>
      <c r="Q4" s="39"/>
      <c r="R4" s="39"/>
      <c r="AH4" s="39"/>
      <c r="AI4" s="39"/>
    </row>
    <row r="5" spans="1:35" ht="15.75" x14ac:dyDescent="0.25">
      <c r="A5" s="39"/>
      <c r="B5" s="16"/>
      <c r="Q5" s="39"/>
      <c r="R5" s="39"/>
      <c r="AH5" s="39"/>
      <c r="AI5" s="39"/>
    </row>
    <row r="6" spans="1:35" ht="16" x14ac:dyDescent="0.2">
      <c r="A6" s="8" t="s">
        <v>12</v>
      </c>
      <c r="B6" s="38">
        <v>79540</v>
      </c>
      <c r="C6" s="65">
        <v>0</v>
      </c>
      <c r="D6" s="38">
        <v>0</v>
      </c>
      <c r="E6" s="38">
        <v>0</v>
      </c>
      <c r="F6" s="38">
        <v>0</v>
      </c>
      <c r="G6" s="65">
        <v>0</v>
      </c>
      <c r="H6" s="38">
        <v>0</v>
      </c>
      <c r="I6" s="38"/>
      <c r="J6" s="38"/>
      <c r="K6" s="38"/>
      <c r="L6" s="38"/>
      <c r="M6" s="38"/>
      <c r="N6" s="38"/>
      <c r="O6" s="65">
        <v>0</v>
      </c>
      <c r="Q6" s="39"/>
      <c r="R6" s="39"/>
      <c r="AH6" s="39"/>
      <c r="AI6" s="39"/>
    </row>
    <row r="7" spans="1:35" ht="16" x14ac:dyDescent="0.2">
      <c r="A7" s="8" t="s">
        <v>13</v>
      </c>
      <c r="B7" s="38">
        <v>0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/>
      <c r="M7" s="38"/>
      <c r="N7" s="38"/>
      <c r="O7" s="38">
        <v>0</v>
      </c>
      <c r="P7" s="38"/>
      <c r="Q7" s="39"/>
      <c r="R7" s="39"/>
      <c r="AH7" s="39"/>
      <c r="AI7" s="39"/>
    </row>
    <row r="8" spans="1:35" ht="15.75" x14ac:dyDescent="0.25">
      <c r="A8" s="8" t="s">
        <v>14</v>
      </c>
      <c r="B8" s="59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/>
      <c r="O8" s="38">
        <v>0</v>
      </c>
      <c r="P8" s="38"/>
      <c r="Q8" s="39"/>
      <c r="R8" s="39"/>
      <c r="AH8" s="39"/>
      <c r="AI8" s="39"/>
    </row>
    <row r="9" spans="1:35" ht="15.75" x14ac:dyDescent="0.25">
      <c r="A9" s="8" t="s">
        <v>15</v>
      </c>
      <c r="B9" s="63">
        <v>1577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/>
      <c r="O9" s="38">
        <v>0</v>
      </c>
      <c r="P9" s="38"/>
      <c r="Q9" s="39"/>
      <c r="R9" s="39"/>
      <c r="S9" s="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9"/>
      <c r="AI9" s="39"/>
    </row>
    <row r="10" spans="1:35" ht="16" x14ac:dyDescent="0.2">
      <c r="A10" s="8" t="s">
        <v>16</v>
      </c>
      <c r="B10" s="65">
        <f>SUM(B4:B9)</f>
        <v>81779.149999999994</v>
      </c>
      <c r="C10" s="65">
        <v>0</v>
      </c>
      <c r="D10" s="38">
        <v>0</v>
      </c>
      <c r="E10" s="38">
        <v>0</v>
      </c>
      <c r="F10" s="38">
        <v>0</v>
      </c>
      <c r="G10" s="65">
        <v>0</v>
      </c>
      <c r="H10" s="38">
        <v>0</v>
      </c>
      <c r="I10" s="38"/>
      <c r="J10" s="38"/>
      <c r="K10" s="38"/>
      <c r="L10" s="38"/>
      <c r="M10" s="38"/>
      <c r="N10" s="38"/>
      <c r="O10" s="65">
        <v>0</v>
      </c>
      <c r="P10" s="38"/>
      <c r="Q10" s="39"/>
      <c r="R10" s="39"/>
      <c r="S10" s="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9"/>
      <c r="AI10" s="39"/>
    </row>
    <row r="11" spans="1:35" ht="15.75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</row>
    <row r="12" spans="1:35" ht="15.75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/>
      <c r="P12" s="3"/>
      <c r="Q12" s="3"/>
      <c r="R12" s="3"/>
      <c r="S12" s="3"/>
      <c r="T12" s="3"/>
    </row>
    <row r="13" spans="1:35" ht="19" x14ac:dyDescent="0.25">
      <c r="A13" s="1" t="s">
        <v>17</v>
      </c>
      <c r="B13" s="41"/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41"/>
      <c r="O13" s="3"/>
      <c r="P13" s="3"/>
      <c r="Q13" s="3"/>
      <c r="R13" s="3"/>
      <c r="S13" s="3"/>
      <c r="T13" s="3"/>
    </row>
    <row r="14" spans="1:35" ht="16" x14ac:dyDescent="0.2">
      <c r="A14" s="4" t="s">
        <v>64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  <c r="P14" s="3"/>
      <c r="Q14" s="3"/>
      <c r="R14" s="3"/>
      <c r="S14" s="3"/>
      <c r="T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66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/>
      <c r="N15" s="6" t="s">
        <v>10</v>
      </c>
      <c r="O15" s="16" t="s">
        <v>11</v>
      </c>
      <c r="P15" s="3"/>
      <c r="Q15" s="3"/>
      <c r="R15" s="3"/>
      <c r="S15" s="3"/>
      <c r="T15" s="3"/>
    </row>
    <row r="16" spans="1:35" ht="15.7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</row>
    <row r="17" spans="1:21" ht="16" x14ac:dyDescent="0.2">
      <c r="A17" s="8" t="s">
        <v>20</v>
      </c>
      <c r="B17" s="65">
        <f>214084+29366</f>
        <v>243450</v>
      </c>
      <c r="C17" s="65">
        <f>9482+19</f>
        <v>9501</v>
      </c>
      <c r="D17" s="38">
        <v>0</v>
      </c>
      <c r="E17" s="38">
        <v>0</v>
      </c>
      <c r="F17" s="38">
        <v>0</v>
      </c>
      <c r="G17" s="65">
        <f>253423+94510</f>
        <v>347933</v>
      </c>
      <c r="H17" s="38">
        <v>0</v>
      </c>
      <c r="I17" s="38"/>
      <c r="J17" s="38"/>
      <c r="K17" s="38"/>
      <c r="L17" s="38"/>
      <c r="M17" s="38"/>
      <c r="O17" s="65">
        <f>SUM(C17:N17)</f>
        <v>357434</v>
      </c>
      <c r="P17" s="3"/>
      <c r="Q17" s="3"/>
      <c r="R17" s="3"/>
      <c r="S17" s="3"/>
      <c r="T17" s="3"/>
    </row>
    <row r="18" spans="1:21" ht="16" x14ac:dyDescent="0.2">
      <c r="A18" s="8" t="s">
        <v>21</v>
      </c>
      <c r="B18" s="65">
        <f>3541+695</f>
        <v>4236</v>
      </c>
      <c r="C18" s="38">
        <v>50</v>
      </c>
      <c r="D18" s="38">
        <v>0</v>
      </c>
      <c r="E18" s="38">
        <v>0</v>
      </c>
      <c r="F18" s="38">
        <v>0</v>
      </c>
      <c r="G18" s="38">
        <v>4291</v>
      </c>
      <c r="H18" s="38">
        <v>0</v>
      </c>
      <c r="I18" s="38"/>
      <c r="J18" s="38"/>
      <c r="K18" s="38"/>
      <c r="L18" s="38"/>
      <c r="M18" s="38"/>
      <c r="N18" s="65">
        <f>695*1.015</f>
        <v>705.42499999999995</v>
      </c>
      <c r="O18" s="65">
        <f>SUM(C18:N18)</f>
        <v>5046.4250000000002</v>
      </c>
      <c r="P18" s="3"/>
      <c r="Q18" s="3"/>
      <c r="R18" s="3"/>
      <c r="S18" s="3"/>
      <c r="T18" s="3"/>
    </row>
    <row r="19" spans="1:21" ht="15.75" x14ac:dyDescent="0.25">
      <c r="A19" s="8" t="s">
        <v>22</v>
      </c>
      <c r="B19" s="65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38"/>
      <c r="N19" s="58"/>
      <c r="O19" s="38">
        <v>0</v>
      </c>
      <c r="P19" s="3"/>
      <c r="Q19" s="3"/>
      <c r="R19" s="3"/>
      <c r="S19" s="3"/>
      <c r="T19" s="3"/>
    </row>
    <row r="20" spans="1:21" ht="16" x14ac:dyDescent="0.2">
      <c r="A20" s="8" t="s">
        <v>23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38"/>
      <c r="N20" s="38"/>
      <c r="O20" s="38">
        <v>0</v>
      </c>
      <c r="P20" s="3"/>
      <c r="Q20" s="3"/>
      <c r="R20" s="3"/>
      <c r="S20" s="3"/>
      <c r="T20" s="3"/>
    </row>
    <row r="21" spans="1:21" ht="16" x14ac:dyDescent="0.2">
      <c r="A21" s="8" t="s">
        <v>24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/>
      <c r="O21" s="38">
        <v>0</v>
      </c>
      <c r="P21" s="3"/>
      <c r="Q21" s="3"/>
      <c r="R21" s="3"/>
      <c r="S21" s="3" t="s">
        <v>26</v>
      </c>
      <c r="T21" s="12">
        <f>O42/1000</f>
        <v>1221.1969450000001</v>
      </c>
      <c r="U21" s="3"/>
    </row>
    <row r="22" spans="1:21" ht="16" x14ac:dyDescent="0.2">
      <c r="A22" s="8" t="s">
        <v>25</v>
      </c>
      <c r="B22" s="65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/>
      <c r="O22" s="38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38">
        <v>247686</v>
      </c>
      <c r="C23" s="65">
        <f>SUM(C17:C22)</f>
        <v>9551</v>
      </c>
      <c r="D23" s="38">
        <v>0</v>
      </c>
      <c r="E23" s="38">
        <v>0</v>
      </c>
      <c r="F23" s="38">
        <v>0</v>
      </c>
      <c r="G23" s="65">
        <f>SUM(G17:G22)</f>
        <v>352224</v>
      </c>
      <c r="H23" s="38">
        <v>0</v>
      </c>
      <c r="I23" s="38"/>
      <c r="J23" s="38"/>
      <c r="K23" s="38"/>
      <c r="L23" s="38"/>
      <c r="M23" s="38"/>
      <c r="N23" s="65">
        <f>SUM(N18:N22)</f>
        <v>705.42499999999995</v>
      </c>
      <c r="O23" s="65">
        <f>SUM(O17:O22)</f>
        <v>362480.42499999999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/>
      <c r="P24" s="3"/>
      <c r="Q24" s="3"/>
      <c r="R24" s="3"/>
      <c r="S24" s="3" t="s">
        <v>10</v>
      </c>
      <c r="T24" s="13">
        <f>N42/1000</f>
        <v>289.81694500000003</v>
      </c>
      <c r="U24" s="14">
        <f>N43</f>
        <v>0.23732203571799795</v>
      </c>
    </row>
    <row r="25" spans="1:21" ht="16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/>
      <c r="P25" s="3"/>
      <c r="Q25" s="3"/>
      <c r="R25" s="3"/>
      <c r="S25" s="3" t="s">
        <v>66</v>
      </c>
      <c r="T25" s="13">
        <f>G42/1000</f>
        <v>408.47300000000001</v>
      </c>
      <c r="U25" s="15">
        <f>G43</f>
        <v>0.33448576961515408</v>
      </c>
    </row>
    <row r="26" spans="1:21" ht="15.75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41"/>
      <c r="C27" s="41"/>
      <c r="D27" s="41"/>
      <c r="E27" s="41"/>
      <c r="F27" s="41"/>
      <c r="G27" s="41"/>
      <c r="H27" s="16"/>
      <c r="I27" s="16"/>
      <c r="J27" s="16"/>
      <c r="K27" s="16"/>
      <c r="L27" s="16"/>
      <c r="M27" s="16"/>
      <c r="N27" s="16"/>
      <c r="O27" s="3"/>
      <c r="P27" s="3"/>
      <c r="Q27" s="3"/>
      <c r="R27" s="3"/>
      <c r="S27" s="3" t="s">
        <v>31</v>
      </c>
      <c r="T27" s="13">
        <f>F42/1000</f>
        <v>36.409999999999997</v>
      </c>
      <c r="U27" s="14">
        <f>F43</f>
        <v>2.981501071475412E-2</v>
      </c>
    </row>
    <row r="28" spans="1:21" ht="16" x14ac:dyDescent="0.2">
      <c r="A28" s="4" t="s">
        <v>64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/>
      <c r="P28" s="3"/>
      <c r="Q28" s="3"/>
      <c r="R28" s="3"/>
      <c r="S28" s="3" t="s">
        <v>4</v>
      </c>
      <c r="T28" s="12">
        <f>E42/1000</f>
        <v>12.064</v>
      </c>
      <c r="U28" s="14">
        <f>E43</f>
        <v>9.8788324433615408E-3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66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4">
        <f>D43</f>
        <v>0</v>
      </c>
    </row>
    <row r="30" spans="1:21" ht="15.75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"/>
      <c r="P30" s="3"/>
      <c r="Q30" s="3"/>
      <c r="R30" s="3"/>
      <c r="S30" s="2" t="s">
        <v>8</v>
      </c>
      <c r="T30" s="2">
        <f>K42/1000</f>
        <v>0</v>
      </c>
      <c r="U30" s="44">
        <f>K43</f>
        <v>0</v>
      </c>
    </row>
    <row r="31" spans="1:21" ht="15.75" x14ac:dyDescent="0.25">
      <c r="A31" s="8" t="s">
        <v>33</v>
      </c>
      <c r="B31" s="38">
        <v>0</v>
      </c>
      <c r="C31" s="38">
        <v>37786</v>
      </c>
      <c r="D31" s="38">
        <v>0</v>
      </c>
      <c r="E31" s="38">
        <v>0</v>
      </c>
      <c r="F31" s="38">
        <v>3473</v>
      </c>
      <c r="G31" s="38">
        <v>0</v>
      </c>
      <c r="H31" s="38">
        <v>0</v>
      </c>
      <c r="I31" s="38"/>
      <c r="J31" s="38"/>
      <c r="K31" s="38"/>
      <c r="L31" s="38"/>
      <c r="M31" s="39"/>
      <c r="N31" s="38">
        <v>33417</v>
      </c>
      <c r="O31" s="38">
        <v>74677</v>
      </c>
      <c r="P31" s="18">
        <f>O31/O$39</f>
        <v>6.6421297651057157E-2</v>
      </c>
      <c r="Q31" s="19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38">
        <v>4000</v>
      </c>
      <c r="C32" s="38">
        <v>1437</v>
      </c>
      <c r="D32" s="38">
        <v>0</v>
      </c>
      <c r="E32" s="72">
        <v>12064</v>
      </c>
      <c r="F32" s="38">
        <v>0</v>
      </c>
      <c r="G32" s="64">
        <v>300</v>
      </c>
      <c r="H32" s="38">
        <v>0</v>
      </c>
      <c r="I32" s="38"/>
      <c r="J32" s="38"/>
      <c r="K32" s="38"/>
      <c r="L32" s="38"/>
      <c r="M32" s="39"/>
      <c r="N32" s="64">
        <f>O32-G32-E32-C32-B32</f>
        <v>19177</v>
      </c>
      <c r="O32" s="38">
        <v>36978</v>
      </c>
      <c r="P32" s="18">
        <f>O32/O$39</f>
        <v>3.2890002872916581E-2</v>
      </c>
      <c r="Q32" s="19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7" ht="15.75" x14ac:dyDescent="0.25">
      <c r="A33" s="8" t="s">
        <v>38</v>
      </c>
      <c r="B33" s="38">
        <v>52210</v>
      </c>
      <c r="C33" s="38">
        <v>426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9"/>
      <c r="N33" s="38">
        <v>37422</v>
      </c>
      <c r="O33" s="38">
        <v>90058</v>
      </c>
      <c r="P33" s="18">
        <f>O33/O$39</f>
        <v>8.0101895146549876E-2</v>
      </c>
      <c r="Q33" s="19" t="s">
        <v>39</v>
      </c>
      <c r="R33" s="3"/>
      <c r="S33" s="3" t="s">
        <v>35</v>
      </c>
      <c r="T33" s="13">
        <f>C42/1000</f>
        <v>474.43299999999999</v>
      </c>
      <c r="U33" s="15">
        <f>C43</f>
        <v>0.38849835150873224</v>
      </c>
    </row>
    <row r="34" spans="1:47" ht="15.75" x14ac:dyDescent="0.25">
      <c r="A34" s="8" t="s">
        <v>40</v>
      </c>
      <c r="B34" s="38">
        <v>0</v>
      </c>
      <c r="C34" s="38">
        <v>416201</v>
      </c>
      <c r="D34" s="38">
        <v>0</v>
      </c>
      <c r="E34" s="38">
        <v>0</v>
      </c>
      <c r="F34" s="38">
        <v>32937</v>
      </c>
      <c r="G34" s="38">
        <v>0</v>
      </c>
      <c r="H34" s="38">
        <v>0</v>
      </c>
      <c r="I34" s="38"/>
      <c r="J34" s="38"/>
      <c r="K34" s="38"/>
      <c r="L34" s="38"/>
      <c r="M34" s="39"/>
      <c r="N34" s="38">
        <v>965</v>
      </c>
      <c r="O34" s="38">
        <v>450103</v>
      </c>
      <c r="P34" s="18">
        <f>O34/O$39</f>
        <v>0.40034314898340556</v>
      </c>
      <c r="Q34" s="19" t="s">
        <v>41</v>
      </c>
      <c r="R34" s="3"/>
      <c r="S34" s="3"/>
      <c r="T34" s="13">
        <f>SUM(T24:T33)</f>
        <v>1221.1969449999999</v>
      </c>
      <c r="U34" s="14">
        <f>SUM(U24:U33)</f>
        <v>0.99999999999999989</v>
      </c>
    </row>
    <row r="35" spans="1:47" ht="16" x14ac:dyDescent="0.2">
      <c r="A35" s="8" t="s">
        <v>42</v>
      </c>
      <c r="B35" s="38">
        <v>31450</v>
      </c>
      <c r="C35" s="38">
        <v>8203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9"/>
      <c r="N35" s="38">
        <v>92066</v>
      </c>
      <c r="O35" s="38">
        <v>131719</v>
      </c>
      <c r="P35" s="18">
        <f>O35/O$39</f>
        <v>0.11715718233592133</v>
      </c>
      <c r="Q35" s="19" t="s">
        <v>43</v>
      </c>
      <c r="R35" s="19"/>
    </row>
    <row r="36" spans="1:47" ht="16" x14ac:dyDescent="0.2">
      <c r="A36" s="8" t="s">
        <v>44</v>
      </c>
      <c r="B36" s="38">
        <v>44036</v>
      </c>
      <c r="C36" s="38">
        <v>772</v>
      </c>
      <c r="D36" s="38">
        <v>0</v>
      </c>
      <c r="E36" s="38">
        <v>0</v>
      </c>
      <c r="F36" s="38">
        <v>0</v>
      </c>
      <c r="G36" s="64">
        <f>G39-G32</f>
        <v>55949</v>
      </c>
      <c r="H36" s="38">
        <v>0</v>
      </c>
      <c r="I36" s="38"/>
      <c r="J36" s="38"/>
      <c r="K36" s="38"/>
      <c r="L36" s="38"/>
      <c r="M36" s="38"/>
      <c r="N36" s="64">
        <f>O36-G36-C36-B36</f>
        <v>122786</v>
      </c>
      <c r="O36" s="38">
        <v>223543</v>
      </c>
      <c r="P36" s="19"/>
      <c r="Q36" s="19"/>
      <c r="R36" s="3"/>
      <c r="S36" s="7"/>
      <c r="T36" s="7"/>
      <c r="U36" s="7"/>
    </row>
    <row r="37" spans="1:47" ht="15.75" x14ac:dyDescent="0.25">
      <c r="A37" s="8" t="s">
        <v>45</v>
      </c>
      <c r="B37" s="38">
        <v>81649</v>
      </c>
      <c r="C37" s="38">
        <v>55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9"/>
      <c r="N37" s="38">
        <v>18097</v>
      </c>
      <c r="O37" s="38">
        <v>99801</v>
      </c>
      <c r="P37" s="19"/>
      <c r="Q37" s="19"/>
      <c r="R37" s="3"/>
      <c r="S37" s="7"/>
      <c r="T37" s="7" t="s">
        <v>27</v>
      </c>
      <c r="U37" s="7" t="s">
        <v>28</v>
      </c>
    </row>
    <row r="38" spans="1:47" ht="16" x14ac:dyDescent="0.2">
      <c r="A38" s="8" t="s">
        <v>46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9"/>
      <c r="N38" s="38">
        <v>17414</v>
      </c>
      <c r="O38" s="38">
        <v>17414</v>
      </c>
      <c r="P38" s="19">
        <f>SUM(P31:P35)</f>
        <v>0.69691352698985043</v>
      </c>
      <c r="Q38" s="19"/>
      <c r="R38" s="3"/>
      <c r="S38" s="7" t="s">
        <v>47</v>
      </c>
      <c r="T38" s="20">
        <f>O45/1000</f>
        <v>61.648520000000005</v>
      </c>
      <c r="U38" s="7"/>
    </row>
    <row r="39" spans="1:47" ht="16" x14ac:dyDescent="0.2">
      <c r="A39" s="8" t="s">
        <v>16</v>
      </c>
      <c r="B39" s="38">
        <v>213345</v>
      </c>
      <c r="C39" s="38">
        <v>464882</v>
      </c>
      <c r="D39" s="38">
        <v>0</v>
      </c>
      <c r="E39" s="74">
        <f>SUM(E31:E38)</f>
        <v>12064</v>
      </c>
      <c r="F39" s="38">
        <v>36410</v>
      </c>
      <c r="G39" s="38">
        <v>56249</v>
      </c>
      <c r="H39" s="38">
        <v>0</v>
      </c>
      <c r="I39" s="38"/>
      <c r="J39" s="38"/>
      <c r="K39" s="38"/>
      <c r="L39" s="38"/>
      <c r="M39" s="39"/>
      <c r="N39" s="64">
        <f>SUM(N31:N38)</f>
        <v>341344</v>
      </c>
      <c r="O39" s="38">
        <v>1124293</v>
      </c>
      <c r="P39" s="3"/>
      <c r="Q39" s="3"/>
      <c r="R39" s="3"/>
      <c r="S39" s="7" t="s">
        <v>48</v>
      </c>
      <c r="T39" s="21">
        <f>O41/1000</f>
        <v>340.75799999999998</v>
      </c>
      <c r="U39" s="14">
        <f>P41</f>
        <v>0.30308647301014952</v>
      </c>
    </row>
    <row r="40" spans="1:47" ht="16" x14ac:dyDescent="0.2">
      <c r="B40" s="16"/>
      <c r="E40" s="16"/>
      <c r="N40" s="38"/>
      <c r="O40" s="16"/>
      <c r="S40" s="7" t="s">
        <v>49</v>
      </c>
      <c r="T40" s="21">
        <f>O35/1000</f>
        <v>131.71899999999999</v>
      </c>
      <c r="U40" s="15">
        <f>P35</f>
        <v>0.11715718233592133</v>
      </c>
    </row>
    <row r="41" spans="1:47" ht="16" x14ac:dyDescent="0.2">
      <c r="A41" s="22" t="s">
        <v>50</v>
      </c>
      <c r="B41" s="23">
        <f>B38+B37+B36</f>
        <v>125685</v>
      </c>
      <c r="C41" s="23">
        <f t="shared" ref="C41:O41" si="0">C38+C37+C36</f>
        <v>827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55949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0</v>
      </c>
      <c r="N41" s="23">
        <f t="shared" si="0"/>
        <v>158297</v>
      </c>
      <c r="O41" s="23">
        <f t="shared" si="0"/>
        <v>340758</v>
      </c>
      <c r="P41" s="18">
        <f>O41/O$39</f>
        <v>0.30308647301014952</v>
      </c>
      <c r="Q41" s="18" t="s">
        <v>51</v>
      </c>
      <c r="R41" s="7"/>
      <c r="S41" s="7" t="s">
        <v>52</v>
      </c>
      <c r="T41" s="21">
        <f>O33/1000</f>
        <v>90.058000000000007</v>
      </c>
      <c r="U41" s="14">
        <f>P33</f>
        <v>8.0101895146549876E-2</v>
      </c>
    </row>
    <row r="42" spans="1:47" ht="16" x14ac:dyDescent="0.2">
      <c r="A42" s="24" t="s">
        <v>53</v>
      </c>
      <c r="B42" s="23"/>
      <c r="C42" s="25">
        <f>C39+C23+C10</f>
        <v>474433</v>
      </c>
      <c r="D42" s="25">
        <f t="shared" ref="D42:M42" si="1">D39+D23+D10</f>
        <v>0</v>
      </c>
      <c r="E42" s="25">
        <f t="shared" si="1"/>
        <v>12064</v>
      </c>
      <c r="F42" s="25">
        <f t="shared" si="1"/>
        <v>36410</v>
      </c>
      <c r="G42" s="25">
        <f t="shared" si="1"/>
        <v>408473</v>
      </c>
      <c r="H42" s="25">
        <f t="shared" si="1"/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 t="shared" si="1"/>
        <v>0</v>
      </c>
      <c r="M42" s="25">
        <f t="shared" si="1"/>
        <v>0</v>
      </c>
      <c r="N42" s="25">
        <f>N39+N23-B6+N45</f>
        <v>289816.94500000001</v>
      </c>
      <c r="O42" s="26">
        <f>SUM(C42:N42)</f>
        <v>1221196.9450000001</v>
      </c>
      <c r="P42" s="7"/>
      <c r="Q42" s="7"/>
      <c r="R42" s="7"/>
      <c r="S42" s="7" t="s">
        <v>34</v>
      </c>
      <c r="T42" s="21">
        <f>O31/1000</f>
        <v>74.677000000000007</v>
      </c>
      <c r="U42" s="14">
        <f>P31</f>
        <v>6.6421297651057157E-2</v>
      </c>
    </row>
    <row r="43" spans="1:47" ht="16" x14ac:dyDescent="0.2">
      <c r="A43" s="24" t="s">
        <v>54</v>
      </c>
      <c r="B43" s="23"/>
      <c r="C43" s="18">
        <f t="shared" ref="C43:N43" si="2">C42/$O42</f>
        <v>0.38849835150873224</v>
      </c>
      <c r="D43" s="18">
        <f t="shared" si="2"/>
        <v>0</v>
      </c>
      <c r="E43" s="18">
        <f t="shared" si="2"/>
        <v>9.8788324433615408E-3</v>
      </c>
      <c r="F43" s="18">
        <f t="shared" si="2"/>
        <v>2.981501071475412E-2</v>
      </c>
      <c r="G43" s="18">
        <f t="shared" si="2"/>
        <v>0.33448576961515408</v>
      </c>
      <c r="H43" s="18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</v>
      </c>
      <c r="N43" s="18">
        <f t="shared" si="2"/>
        <v>0.23732203571799795</v>
      </c>
      <c r="O43" s="18">
        <f>SUM(C43:N43)</f>
        <v>0.99999999999999989</v>
      </c>
      <c r="P43" s="7"/>
      <c r="Q43" s="7"/>
      <c r="R43" s="7"/>
      <c r="S43" s="7" t="s">
        <v>55</v>
      </c>
      <c r="T43" s="21">
        <f>O32/1000</f>
        <v>36.978000000000002</v>
      </c>
      <c r="U43" s="15">
        <f>P32</f>
        <v>3.2890002872916581E-2</v>
      </c>
    </row>
    <row r="44" spans="1:4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1">
        <f>O34/1000</f>
        <v>450.10300000000001</v>
      </c>
      <c r="U44" s="15">
        <f>P34</f>
        <v>0.40034314898340556</v>
      </c>
    </row>
    <row r="45" spans="1:47" ht="16" x14ac:dyDescent="0.2">
      <c r="A45" s="6" t="s">
        <v>57</v>
      </c>
      <c r="B45" s="6">
        <f>B23-B39</f>
        <v>34341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7">
        <f>N39*0.08</f>
        <v>27307.52</v>
      </c>
      <c r="O45" s="26">
        <f>B45+N45</f>
        <v>61648.520000000004</v>
      </c>
      <c r="P45" s="7"/>
      <c r="Q45" s="7"/>
      <c r="R45" s="7"/>
      <c r="S45" s="7" t="s">
        <v>58</v>
      </c>
      <c r="T45" s="21">
        <f>SUM(T39:T44)</f>
        <v>1124.2929999999999</v>
      </c>
      <c r="U45" s="14">
        <f>SUM(U39:U44)</f>
        <v>1</v>
      </c>
    </row>
    <row r="46" spans="1:47" ht="16" x14ac:dyDescent="0.2">
      <c r="A46" s="6"/>
      <c r="B46" s="68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x14ac:dyDescent="0.2">
      <c r="A47" s="4"/>
      <c r="B47" s="4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"/>
      <c r="R47" s="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4"/>
      <c r="AH47" s="4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x14ac:dyDescent="0.2">
      <c r="A48" s="17"/>
      <c r="B48" s="4"/>
      <c r="C48" s="17"/>
      <c r="D48" s="42"/>
      <c r="E48" s="17"/>
      <c r="F48" s="42"/>
      <c r="G48" s="17"/>
      <c r="H48" s="42"/>
      <c r="I48" s="17"/>
      <c r="J48" s="17"/>
      <c r="K48" s="17"/>
      <c r="L48" s="17"/>
      <c r="M48" s="17"/>
      <c r="N48" s="17"/>
      <c r="O48" s="17"/>
      <c r="P48" s="17"/>
      <c r="Q48" s="17"/>
      <c r="R48" s="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4"/>
      <c r="AI49" s="42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 ht="16" x14ac:dyDescent="0.2">
      <c r="A50" s="4"/>
      <c r="B50" s="4"/>
      <c r="C50" s="9"/>
      <c r="D50" s="9"/>
      <c r="E50" s="9"/>
      <c r="F50" s="9"/>
      <c r="G50" s="9"/>
      <c r="H50" s="9"/>
      <c r="I50" s="9"/>
      <c r="J50" s="9"/>
      <c r="K50" s="9"/>
      <c r="L50" s="9"/>
      <c r="M50" s="17"/>
      <c r="N50" s="9"/>
      <c r="O50" s="9"/>
      <c r="P50" s="38"/>
      <c r="Q50" s="38"/>
      <c r="R50" s="38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4"/>
      <c r="AI50" s="42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 x14ac:dyDescent="0.2">
      <c r="A51" s="1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 x14ac:dyDescent="0.2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 x14ac:dyDescent="0.2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17"/>
      <c r="N55" s="9"/>
      <c r="O55" s="9"/>
      <c r="P55" s="17"/>
      <c r="Q55" s="17"/>
      <c r="R55" s="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x14ac:dyDescent="0.2">
      <c r="A56" s="5"/>
      <c r="B56" s="70"/>
      <c r="C56" s="6"/>
      <c r="D56" s="6"/>
      <c r="E56" s="9"/>
      <c r="F56" s="10"/>
      <c r="G56" s="9"/>
      <c r="H56" s="9"/>
      <c r="I56" s="9"/>
      <c r="J56" s="9"/>
      <c r="K56" s="9"/>
      <c r="L56" s="9"/>
      <c r="M56" s="17"/>
      <c r="N56" s="9"/>
      <c r="O56" s="9"/>
      <c r="P56" s="17"/>
      <c r="Q56" s="17"/>
      <c r="R56" s="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6" x14ac:dyDescent="0.2">
      <c r="A57" s="5"/>
      <c r="B57" s="70"/>
      <c r="C57" s="6"/>
      <c r="D57" s="31"/>
      <c r="E57" s="9"/>
      <c r="F57" s="10"/>
      <c r="G57" s="9"/>
      <c r="H57" s="9"/>
      <c r="I57" s="9"/>
      <c r="J57" s="9"/>
      <c r="K57" s="9"/>
      <c r="L57" s="9"/>
      <c r="M57" s="17"/>
      <c r="N57" s="9"/>
      <c r="O57" s="9"/>
      <c r="P57" s="17"/>
      <c r="Q57" s="17"/>
      <c r="R57" s="4"/>
      <c r="S57" s="6"/>
      <c r="T57" s="30"/>
    </row>
    <row r="58" spans="1:47" ht="16" x14ac:dyDescent="0.2">
      <c r="A58" s="5"/>
      <c r="B58" s="70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6" x14ac:dyDescent="0.2">
      <c r="A59" s="5"/>
      <c r="B59" s="70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6" x14ac:dyDescent="0.2">
      <c r="A60" s="5"/>
      <c r="B60" s="70"/>
      <c r="C60" s="6"/>
      <c r="D60" s="16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6" x14ac:dyDescent="0.2">
      <c r="A61" s="5"/>
      <c r="B61" s="70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31"/>
      <c r="T61" s="32"/>
    </row>
    <row r="62" spans="1:47" ht="16" x14ac:dyDescent="0.2">
      <c r="C62" s="16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4"/>
      <c r="Q62" s="7"/>
      <c r="R62" s="7"/>
      <c r="S62" s="7"/>
      <c r="T62" s="6"/>
    </row>
    <row r="63" spans="1:47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6" enableFormatConditionsCalculation="0"/>
  <dimension ref="A1:AU70"/>
  <sheetViews>
    <sheetView topLeftCell="A2" workbookViewId="0">
      <selection activeCell="D43" sqref="D43"/>
    </sheetView>
  </sheetViews>
  <sheetFormatPr baseColWidth="10" defaultColWidth="8.83203125" defaultRowHeight="15" x14ac:dyDescent="0.2"/>
  <cols>
    <col min="1" max="1" width="21.6640625" style="2" customWidth="1"/>
    <col min="2" max="21" width="10.1640625" style="2" customWidth="1"/>
    <col min="22" max="16384" width="8.83203125" style="2"/>
  </cols>
  <sheetData>
    <row r="1" spans="1:35" ht="19" x14ac:dyDescent="0.25">
      <c r="A1" s="1" t="s">
        <v>0</v>
      </c>
      <c r="O1" s="3"/>
      <c r="P1" s="3"/>
      <c r="Q1" s="3"/>
      <c r="R1" s="3"/>
      <c r="S1" s="3"/>
      <c r="T1" s="3"/>
    </row>
    <row r="2" spans="1:35" ht="16" x14ac:dyDescent="0.2">
      <c r="A2" s="8" t="s">
        <v>65</v>
      </c>
      <c r="Q2" s="39"/>
      <c r="R2" s="8"/>
      <c r="AH2" s="39"/>
      <c r="AI2" s="8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66</v>
      </c>
      <c r="H3" s="6" t="s">
        <v>6</v>
      </c>
      <c r="I3" s="6" t="s">
        <v>5</v>
      </c>
      <c r="J3" s="6" t="s">
        <v>7</v>
      </c>
      <c r="K3" s="6" t="s">
        <v>8</v>
      </c>
      <c r="L3" s="6" t="s">
        <v>69</v>
      </c>
      <c r="M3" s="6"/>
      <c r="N3" s="6" t="s">
        <v>10</v>
      </c>
      <c r="O3" s="7" t="s">
        <v>11</v>
      </c>
      <c r="Q3" s="39"/>
      <c r="R3" s="39"/>
      <c r="AH3" s="39"/>
      <c r="AI3" s="39"/>
    </row>
    <row r="4" spans="1:35" ht="15.75" x14ac:dyDescent="0.25">
      <c r="A4" s="8" t="s">
        <v>68</v>
      </c>
      <c r="B4" s="75">
        <f>0.95*533</f>
        <v>506.34999999999997</v>
      </c>
      <c r="Q4" s="39"/>
      <c r="R4" s="39"/>
      <c r="AH4" s="39"/>
      <c r="AI4" s="39"/>
    </row>
    <row r="5" spans="1:35" ht="15.75" x14ac:dyDescent="0.25">
      <c r="A5" s="39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Q5" s="39"/>
      <c r="R5" s="39"/>
      <c r="AH5" s="39"/>
      <c r="AI5" s="39"/>
    </row>
    <row r="6" spans="1:35" ht="16" x14ac:dyDescent="0.2">
      <c r="A6" s="8" t="s">
        <v>12</v>
      </c>
      <c r="B6" s="38">
        <v>0</v>
      </c>
      <c r="C6" s="38">
        <v>0</v>
      </c>
      <c r="D6" s="38">
        <v>0</v>
      </c>
      <c r="E6" s="38">
        <v>0</v>
      </c>
      <c r="F6" s="38">
        <v>0</v>
      </c>
      <c r="G6" s="38">
        <v>0</v>
      </c>
      <c r="H6" s="38">
        <v>0</v>
      </c>
      <c r="I6" s="38"/>
      <c r="J6" s="38"/>
      <c r="K6" s="38"/>
      <c r="L6" s="38"/>
      <c r="M6" s="38"/>
      <c r="N6" s="38"/>
      <c r="O6" s="38">
        <v>0</v>
      </c>
      <c r="Q6" s="39"/>
      <c r="R6" s="39"/>
      <c r="AH6" s="39"/>
      <c r="AI6" s="39"/>
    </row>
    <row r="7" spans="1:35" ht="16" x14ac:dyDescent="0.2">
      <c r="A7" s="8" t="s">
        <v>13</v>
      </c>
      <c r="B7" s="65">
        <f>(C7+L7)*(25370340/66424933)</f>
        <v>22509107.789853547</v>
      </c>
      <c r="C7" s="38">
        <v>1255</v>
      </c>
      <c r="D7" s="65">
        <v>0</v>
      </c>
      <c r="E7" s="38">
        <v>0</v>
      </c>
      <c r="F7" s="38">
        <v>0</v>
      </c>
      <c r="G7" s="38">
        <v>0</v>
      </c>
      <c r="H7" s="38">
        <v>0</v>
      </c>
      <c r="I7" s="38"/>
      <c r="J7" s="38"/>
      <c r="K7" s="38"/>
      <c r="L7" s="38">
        <v>58932365</v>
      </c>
      <c r="M7" s="38"/>
      <c r="N7" s="38"/>
      <c r="O7" s="38">
        <v>58933620</v>
      </c>
      <c r="P7" s="38"/>
      <c r="Q7" s="39"/>
      <c r="R7" s="39"/>
      <c r="AH7" s="39"/>
      <c r="AI7" s="39"/>
    </row>
    <row r="8" spans="1:35" ht="15.75" x14ac:dyDescent="0.25">
      <c r="A8" s="8" t="s">
        <v>14</v>
      </c>
      <c r="B8" s="38">
        <v>0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/>
      <c r="J8" s="38"/>
      <c r="K8" s="38"/>
      <c r="L8" s="38"/>
      <c r="M8" s="38"/>
      <c r="N8" s="38"/>
      <c r="O8" s="38">
        <v>0</v>
      </c>
      <c r="P8" s="38"/>
      <c r="Q8" s="39"/>
      <c r="R8" s="39"/>
      <c r="AH8" s="39"/>
      <c r="AI8" s="39"/>
    </row>
    <row r="9" spans="1:35" ht="15.75" x14ac:dyDescent="0.25">
      <c r="A9" s="8" t="s">
        <v>15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/>
      <c r="J9" s="38"/>
      <c r="K9" s="38"/>
      <c r="L9" s="38"/>
      <c r="M9" s="38"/>
      <c r="N9" s="38"/>
      <c r="O9" s="38">
        <v>0</v>
      </c>
      <c r="P9" s="38"/>
      <c r="Q9" s="39"/>
      <c r="R9" s="39"/>
      <c r="S9" s="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9"/>
      <c r="AI9" s="39"/>
    </row>
    <row r="10" spans="1:35" ht="16" x14ac:dyDescent="0.2">
      <c r="A10" s="8" t="s">
        <v>16</v>
      </c>
      <c r="B10" s="65">
        <f>SUM(B4:B9)</f>
        <v>22509614.139853548</v>
      </c>
      <c r="C10" s="38">
        <v>1255</v>
      </c>
      <c r="D10" s="65">
        <v>0</v>
      </c>
      <c r="E10" s="38">
        <v>0</v>
      </c>
      <c r="F10" s="38">
        <v>0</v>
      </c>
      <c r="G10" s="38">
        <v>0</v>
      </c>
      <c r="H10" s="38">
        <v>0</v>
      </c>
      <c r="I10" s="38"/>
      <c r="J10" s="38"/>
      <c r="K10" s="38"/>
      <c r="L10" s="38">
        <v>58932365</v>
      </c>
      <c r="M10" s="38"/>
      <c r="N10" s="38"/>
      <c r="O10" s="38">
        <v>58933620</v>
      </c>
      <c r="P10" s="38"/>
      <c r="Q10" s="39"/>
      <c r="R10" s="39"/>
      <c r="S10" s="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9"/>
      <c r="AI10" s="39"/>
    </row>
    <row r="11" spans="1:35" ht="15.75" x14ac:dyDescent="0.25">
      <c r="B11" s="7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3"/>
      <c r="P11" s="3"/>
      <c r="Q11" s="3"/>
      <c r="R11" s="3"/>
      <c r="S11" s="3"/>
      <c r="T11" s="3"/>
    </row>
    <row r="12" spans="1:35" ht="15.75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/>
      <c r="P12" s="3"/>
      <c r="Q12" s="3"/>
      <c r="R12" s="3"/>
      <c r="S12" s="3"/>
      <c r="T12" s="3"/>
    </row>
    <row r="13" spans="1:35" ht="19" x14ac:dyDescent="0.25">
      <c r="A13" s="1" t="s">
        <v>17</v>
      </c>
      <c r="B13" s="41"/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41"/>
      <c r="O13" s="3"/>
      <c r="P13" s="3"/>
      <c r="Q13" s="3"/>
      <c r="R13" s="3"/>
      <c r="S13" s="3"/>
      <c r="T13" s="3"/>
    </row>
    <row r="14" spans="1:35" ht="16" x14ac:dyDescent="0.2">
      <c r="A14" s="4" t="s">
        <v>65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  <c r="P14" s="3"/>
      <c r="Q14" s="3"/>
      <c r="R14" s="3"/>
      <c r="S14" s="3"/>
      <c r="T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66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9</v>
      </c>
      <c r="M15" s="6"/>
      <c r="N15" s="6" t="s">
        <v>10</v>
      </c>
      <c r="O15" s="16" t="s">
        <v>11</v>
      </c>
      <c r="P15" s="3"/>
      <c r="Q15" s="3"/>
      <c r="R15" s="3"/>
      <c r="S15" s="3"/>
      <c r="T15" s="3"/>
    </row>
    <row r="16" spans="1:35" ht="15.75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3"/>
      <c r="P16" s="3"/>
      <c r="Q16" s="3"/>
      <c r="R16" s="3"/>
      <c r="S16" s="3"/>
      <c r="T16" s="3"/>
    </row>
    <row r="17" spans="1:21" ht="16" x14ac:dyDescent="0.2">
      <c r="A17" s="8" t="s">
        <v>20</v>
      </c>
      <c r="B17" s="38">
        <v>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/>
      <c r="J17" s="38"/>
      <c r="K17" s="38"/>
      <c r="L17" s="38"/>
      <c r="M17" s="38"/>
      <c r="N17" s="38"/>
      <c r="O17" s="38">
        <v>0</v>
      </c>
      <c r="P17" s="3"/>
      <c r="Q17" s="3"/>
      <c r="R17" s="3"/>
      <c r="S17" s="3"/>
      <c r="T17" s="3"/>
    </row>
    <row r="18" spans="1:21" ht="16" x14ac:dyDescent="0.2">
      <c r="A18" s="8" t="s">
        <v>21</v>
      </c>
      <c r="B18" s="38">
        <f>24653+572</f>
        <v>25225</v>
      </c>
      <c r="C18" s="38">
        <v>498</v>
      </c>
      <c r="D18" s="38">
        <v>0</v>
      </c>
      <c r="E18" s="38">
        <v>0</v>
      </c>
      <c r="F18" s="38">
        <v>0</v>
      </c>
      <c r="G18" s="38">
        <v>26939</v>
      </c>
      <c r="H18" s="38">
        <v>0</v>
      </c>
      <c r="I18" s="38"/>
      <c r="J18" s="38"/>
      <c r="K18" s="38"/>
      <c r="L18" s="38"/>
      <c r="M18" s="38"/>
      <c r="N18" s="38"/>
      <c r="O18" s="38">
        <v>27437</v>
      </c>
      <c r="P18" s="3"/>
      <c r="Q18" s="3"/>
      <c r="R18" s="3"/>
      <c r="S18" s="3"/>
      <c r="T18" s="3"/>
    </row>
    <row r="19" spans="1:21" ht="15.75" x14ac:dyDescent="0.25">
      <c r="A19" s="8" t="s">
        <v>22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/>
      <c r="J19" s="38"/>
      <c r="K19" s="38"/>
      <c r="L19" s="38"/>
      <c r="M19" s="38"/>
      <c r="N19" s="58"/>
      <c r="O19" s="38">
        <v>0</v>
      </c>
      <c r="P19" s="3"/>
      <c r="Q19" s="3"/>
      <c r="R19" s="3"/>
      <c r="S19" s="3"/>
      <c r="T19" s="3"/>
    </row>
    <row r="20" spans="1:21" ht="16" x14ac:dyDescent="0.2">
      <c r="A20" s="8" t="s">
        <v>23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/>
      <c r="J20" s="38"/>
      <c r="K20" s="38"/>
      <c r="L20" s="38"/>
      <c r="M20" s="38"/>
      <c r="N20" s="38"/>
      <c r="O20" s="38">
        <v>0</v>
      </c>
      <c r="P20" s="3"/>
      <c r="Q20" s="3"/>
      <c r="R20" s="3"/>
      <c r="S20" s="3"/>
      <c r="T20" s="3"/>
    </row>
    <row r="21" spans="1:21" ht="16" x14ac:dyDescent="0.2">
      <c r="A21" s="8" t="s">
        <v>24</v>
      </c>
      <c r="B21" s="38">
        <v>0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/>
      <c r="J21" s="38"/>
      <c r="K21" s="38"/>
      <c r="L21" s="38"/>
      <c r="M21" s="38"/>
      <c r="N21" s="38"/>
      <c r="O21" s="38">
        <v>0</v>
      </c>
      <c r="P21" s="3"/>
      <c r="Q21" s="3"/>
      <c r="R21" s="3"/>
      <c r="S21" s="3" t="s">
        <v>26</v>
      </c>
      <c r="T21" s="12">
        <f>O42/1000</f>
        <v>639.71819999999991</v>
      </c>
      <c r="U21" s="3"/>
    </row>
    <row r="22" spans="1:21" ht="16" x14ac:dyDescent="0.2">
      <c r="A22" s="8" t="s">
        <v>25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/>
      <c r="J22" s="38"/>
      <c r="K22" s="38"/>
      <c r="L22" s="38"/>
      <c r="M22" s="38"/>
      <c r="N22" s="38"/>
      <c r="O22" s="38">
        <v>0</v>
      </c>
      <c r="P22" s="3"/>
      <c r="Q22" s="3"/>
      <c r="R22" s="3"/>
      <c r="S22" s="3"/>
      <c r="T22" s="3"/>
      <c r="U22" s="3"/>
    </row>
    <row r="23" spans="1:21" ht="16" x14ac:dyDescent="0.2">
      <c r="A23" s="8" t="s">
        <v>16</v>
      </c>
      <c r="B23" s="38">
        <v>25225</v>
      </c>
      <c r="C23" s="38">
        <v>498</v>
      </c>
      <c r="D23" s="38">
        <v>0</v>
      </c>
      <c r="E23" s="38">
        <v>0</v>
      </c>
      <c r="F23" s="38">
        <v>0</v>
      </c>
      <c r="G23" s="38">
        <v>26939</v>
      </c>
      <c r="H23" s="38">
        <v>0</v>
      </c>
      <c r="I23" s="38"/>
      <c r="J23" s="38"/>
      <c r="K23" s="38"/>
      <c r="L23" s="38"/>
      <c r="M23" s="38"/>
      <c r="N23" s="38"/>
      <c r="O23" s="38">
        <v>27437</v>
      </c>
      <c r="P23" s="3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3"/>
      <c r="P24" s="3"/>
      <c r="Q24" s="3"/>
      <c r="R24" s="3"/>
      <c r="S24" s="3" t="s">
        <v>10</v>
      </c>
      <c r="T24" s="13">
        <f>N42/1000</f>
        <v>308.2482</v>
      </c>
      <c r="U24" s="14">
        <f>N43</f>
        <v>0.48184997706802785</v>
      </c>
    </row>
    <row r="25" spans="1:21" ht="16" x14ac:dyDescent="0.2">
      <c r="B25" s="5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"/>
      <c r="P25" s="3"/>
      <c r="Q25" s="3"/>
      <c r="R25" s="3"/>
      <c r="S25" s="3" t="s">
        <v>66</v>
      </c>
      <c r="T25" s="13">
        <f>G42/1000</f>
        <v>84.998999999999995</v>
      </c>
      <c r="U25" s="15">
        <f>G43</f>
        <v>0.13286944157599395</v>
      </c>
    </row>
    <row r="26" spans="1:21" ht="15.75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3"/>
      <c r="P26" s="3"/>
      <c r="Q26" s="3"/>
      <c r="R26" s="3"/>
      <c r="S26" s="3" t="s">
        <v>7</v>
      </c>
      <c r="T26" s="13">
        <f>J42/1000</f>
        <v>0</v>
      </c>
      <c r="U26" s="14">
        <f>J43</f>
        <v>0</v>
      </c>
    </row>
    <row r="27" spans="1:21" ht="19" x14ac:dyDescent="0.25">
      <c r="A27" s="1" t="s">
        <v>29</v>
      </c>
      <c r="B27" s="41"/>
      <c r="C27" s="41"/>
      <c r="D27" s="41"/>
      <c r="E27" s="41"/>
      <c r="F27" s="41"/>
      <c r="G27" s="41"/>
      <c r="H27" s="16"/>
      <c r="I27" s="16"/>
      <c r="J27" s="16"/>
      <c r="K27" s="16"/>
      <c r="L27" s="16"/>
      <c r="M27" s="16"/>
      <c r="N27" s="16"/>
      <c r="O27" s="3"/>
      <c r="P27" s="3"/>
      <c r="Q27" s="3"/>
      <c r="R27" s="3"/>
      <c r="S27" s="3" t="s">
        <v>31</v>
      </c>
      <c r="T27" s="13">
        <f>F42/1000</f>
        <v>15.96</v>
      </c>
      <c r="U27" s="14">
        <f>F43</f>
        <v>2.4948485129858741E-2</v>
      </c>
    </row>
    <row r="28" spans="1:21" ht="16" x14ac:dyDescent="0.2">
      <c r="A28" s="4" t="s">
        <v>65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"/>
      <c r="P28" s="3"/>
      <c r="Q28" s="3"/>
      <c r="R28" s="3"/>
      <c r="S28" s="3" t="s">
        <v>4</v>
      </c>
      <c r="T28" s="12">
        <f>E42/1000</f>
        <v>15.574999999999999</v>
      </c>
      <c r="U28" s="14">
        <f>E43</f>
        <v>2.4346657637691099E-2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66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4">
        <f>D43</f>
        <v>0</v>
      </c>
    </row>
    <row r="30" spans="1:21" ht="15.75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55"/>
      <c r="P30" s="3"/>
      <c r="Q30" s="3"/>
      <c r="R30" s="3"/>
      <c r="S30" s="2" t="s">
        <v>8</v>
      </c>
      <c r="T30" s="2">
        <f>K42/1000</f>
        <v>0</v>
      </c>
      <c r="U30" s="44">
        <f>K43</f>
        <v>0</v>
      </c>
    </row>
    <row r="31" spans="1:21" ht="15.75" x14ac:dyDescent="0.25">
      <c r="A31" s="8" t="s">
        <v>33</v>
      </c>
      <c r="B31" s="38">
        <v>0</v>
      </c>
      <c r="C31" s="38">
        <v>13570</v>
      </c>
      <c r="D31" s="38">
        <v>0</v>
      </c>
      <c r="E31" s="38">
        <v>0</v>
      </c>
      <c r="F31" s="38">
        <v>1393</v>
      </c>
      <c r="G31" s="38">
        <v>0</v>
      </c>
      <c r="H31" s="38">
        <v>0</v>
      </c>
      <c r="I31" s="38"/>
      <c r="J31" s="38"/>
      <c r="K31" s="38"/>
      <c r="L31" s="38"/>
      <c r="M31" s="39"/>
      <c r="N31" s="64">
        <v>11825</v>
      </c>
      <c r="O31" s="64">
        <f>SUM(B31:N31)</f>
        <v>26788</v>
      </c>
      <c r="P31" s="18">
        <f>O31/O$39</f>
        <v>4.3924259019984653E-2</v>
      </c>
      <c r="Q31" s="19" t="s">
        <v>34</v>
      </c>
      <c r="R31" s="3"/>
      <c r="S31" s="3" t="s">
        <v>5</v>
      </c>
      <c r="T31" s="13">
        <f>I42/1000</f>
        <v>0</v>
      </c>
      <c r="U31" s="14">
        <f>I43</f>
        <v>0</v>
      </c>
    </row>
    <row r="32" spans="1:21" ht="15.75" x14ac:dyDescent="0.25">
      <c r="A32" s="8" t="s">
        <v>36</v>
      </c>
      <c r="B32" s="38">
        <v>0</v>
      </c>
      <c r="C32" s="38">
        <v>7134</v>
      </c>
      <c r="D32" s="38">
        <v>0</v>
      </c>
      <c r="E32" s="64">
        <f>O32-N32-G32-C32</f>
        <v>15575</v>
      </c>
      <c r="F32" s="38">
        <v>0</v>
      </c>
      <c r="G32" s="64">
        <f>G39-G36</f>
        <v>2260</v>
      </c>
      <c r="H32" s="38">
        <v>0</v>
      </c>
      <c r="I32" s="38"/>
      <c r="J32" s="38"/>
      <c r="K32" s="38"/>
      <c r="L32" s="38"/>
      <c r="M32" s="39"/>
      <c r="N32" s="74">
        <v>74100</v>
      </c>
      <c r="O32" s="64">
        <f>O39-O38-O37-O36-O35-O34-O33-O31</f>
        <v>99069</v>
      </c>
      <c r="P32" s="18">
        <f>O32/O$39</f>
        <v>0.16244334839670224</v>
      </c>
      <c r="Q32" s="19" t="s">
        <v>37</v>
      </c>
      <c r="R32" s="3"/>
      <c r="S32" s="3" t="s">
        <v>6</v>
      </c>
      <c r="T32" s="13">
        <f>H42/1000</f>
        <v>0</v>
      </c>
      <c r="U32" s="14">
        <f>H43</f>
        <v>0</v>
      </c>
    </row>
    <row r="33" spans="1:47" ht="15.75" x14ac:dyDescent="0.25">
      <c r="A33" s="8" t="s">
        <v>38</v>
      </c>
      <c r="B33" s="38">
        <v>8631</v>
      </c>
      <c r="C33" s="38">
        <v>5685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/>
      <c r="J33" s="38"/>
      <c r="K33" s="38"/>
      <c r="L33" s="38"/>
      <c r="M33" s="39"/>
      <c r="N33" s="38">
        <v>28485</v>
      </c>
      <c r="O33" s="38">
        <v>42801</v>
      </c>
      <c r="P33" s="18">
        <f>O33/O$39</f>
        <v>7.018076042684647E-2</v>
      </c>
      <c r="Q33" s="19" t="s">
        <v>39</v>
      </c>
      <c r="R33" s="3"/>
      <c r="S33" s="3" t="s">
        <v>35</v>
      </c>
      <c r="T33" s="13">
        <f>C42/1000</f>
        <v>214.93600000000001</v>
      </c>
      <c r="U33" s="15">
        <f>C43</f>
        <v>0.3359854385884285</v>
      </c>
    </row>
    <row r="34" spans="1:47" ht="15.75" x14ac:dyDescent="0.25">
      <c r="A34" s="8" t="s">
        <v>40</v>
      </c>
      <c r="B34" s="38">
        <v>0</v>
      </c>
      <c r="C34" s="38">
        <v>185383</v>
      </c>
      <c r="D34" s="38">
        <v>0</v>
      </c>
      <c r="E34" s="38">
        <v>0</v>
      </c>
      <c r="F34" s="38">
        <v>14568</v>
      </c>
      <c r="G34" s="38">
        <v>0</v>
      </c>
      <c r="H34" s="38">
        <v>0</v>
      </c>
      <c r="I34" s="38"/>
      <c r="J34" s="38"/>
      <c r="K34" s="38"/>
      <c r="L34" s="38"/>
      <c r="M34" s="39"/>
      <c r="N34" s="38">
        <v>409</v>
      </c>
      <c r="O34" s="38">
        <v>200359</v>
      </c>
      <c r="P34" s="18">
        <f>O34/O$39</f>
        <v>0.32852846845546907</v>
      </c>
      <c r="Q34" s="19" t="s">
        <v>41</v>
      </c>
      <c r="R34" s="3"/>
      <c r="S34" s="3"/>
      <c r="T34" s="13">
        <f>SUM(T24:T33)</f>
        <v>639.71820000000002</v>
      </c>
      <c r="U34" s="14">
        <f>SUM(U24:U33)</f>
        <v>1</v>
      </c>
    </row>
    <row r="35" spans="1:47" ht="16" x14ac:dyDescent="0.2">
      <c r="A35" s="8" t="s">
        <v>42</v>
      </c>
      <c r="B35" s="38">
        <v>589</v>
      </c>
      <c r="C35" s="38">
        <v>1232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/>
      <c r="J35" s="38"/>
      <c r="K35" s="38"/>
      <c r="L35" s="38"/>
      <c r="M35" s="39"/>
      <c r="N35" s="38">
        <v>42996</v>
      </c>
      <c r="O35" s="38">
        <v>44816</v>
      </c>
      <c r="P35" s="18">
        <f>O35/O$39</f>
        <v>7.3484754077931619E-2</v>
      </c>
      <c r="Q35" s="19" t="s">
        <v>43</v>
      </c>
      <c r="R35" s="19"/>
    </row>
    <row r="36" spans="1:47" ht="16" x14ac:dyDescent="0.2">
      <c r="A36" s="8" t="s">
        <v>44</v>
      </c>
      <c r="B36" s="38">
        <v>27</v>
      </c>
      <c r="C36" s="38">
        <v>168</v>
      </c>
      <c r="D36" s="38">
        <v>0</v>
      </c>
      <c r="E36" s="38">
        <v>0</v>
      </c>
      <c r="F36" s="38">
        <v>0</v>
      </c>
      <c r="G36" s="64">
        <v>55800</v>
      </c>
      <c r="H36" s="38">
        <v>0</v>
      </c>
      <c r="I36" s="38"/>
      <c r="J36" s="38"/>
      <c r="K36" s="38"/>
      <c r="L36" s="38"/>
      <c r="M36" s="39"/>
      <c r="N36" s="38">
        <v>85029</v>
      </c>
      <c r="O36" s="64">
        <f>SUM(B36:N36)</f>
        <v>141024</v>
      </c>
      <c r="P36" s="19"/>
      <c r="Q36" s="19"/>
      <c r="R36" s="3"/>
      <c r="S36" s="7"/>
      <c r="T36" s="7"/>
      <c r="U36" s="7"/>
    </row>
    <row r="37" spans="1:47" ht="15.75" x14ac:dyDescent="0.25">
      <c r="A37" s="8" t="s">
        <v>45</v>
      </c>
      <c r="B37" s="38">
        <v>12428</v>
      </c>
      <c r="C37" s="38">
        <v>12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/>
      <c r="J37" s="38"/>
      <c r="K37" s="38"/>
      <c r="L37" s="38"/>
      <c r="M37" s="39"/>
      <c r="N37" s="38">
        <v>11335</v>
      </c>
      <c r="O37" s="38">
        <v>23775</v>
      </c>
      <c r="P37" s="19"/>
      <c r="Q37" s="19"/>
      <c r="R37" s="3"/>
      <c r="S37" s="7"/>
      <c r="T37" s="7" t="s">
        <v>27</v>
      </c>
      <c r="U37" s="7" t="s">
        <v>28</v>
      </c>
    </row>
    <row r="38" spans="1:47" ht="16" x14ac:dyDescent="0.2">
      <c r="A38" s="8" t="s">
        <v>46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/>
      <c r="J38" s="38"/>
      <c r="K38" s="38"/>
      <c r="L38" s="38"/>
      <c r="M38" s="39"/>
      <c r="N38" s="38">
        <v>31236</v>
      </c>
      <c r="O38" s="38">
        <v>31236</v>
      </c>
      <c r="P38" s="19">
        <f>SUM(P31:P35)</f>
        <v>0.67856159037693409</v>
      </c>
      <c r="Q38" s="19"/>
      <c r="R38" s="3"/>
      <c r="S38" s="7" t="s">
        <v>47</v>
      </c>
      <c r="T38" s="20">
        <f>O45/1000</f>
        <v>26.383200000000002</v>
      </c>
      <c r="U38" s="7"/>
    </row>
    <row r="39" spans="1:47" ht="16" x14ac:dyDescent="0.2">
      <c r="A39" s="8" t="s">
        <v>16</v>
      </c>
      <c r="B39" s="38">
        <v>21675</v>
      </c>
      <c r="C39" s="38">
        <v>213183</v>
      </c>
      <c r="D39" s="38">
        <v>0</v>
      </c>
      <c r="E39" s="64">
        <f>SUM(E31:E38)</f>
        <v>15575</v>
      </c>
      <c r="F39" s="38">
        <v>15960</v>
      </c>
      <c r="G39" s="38">
        <v>58060</v>
      </c>
      <c r="H39" s="38">
        <v>0</v>
      </c>
      <c r="I39" s="38"/>
      <c r="J39" s="38"/>
      <c r="K39" s="38"/>
      <c r="L39" s="38"/>
      <c r="M39" s="39"/>
      <c r="N39" s="64">
        <f>SUM(N31:N38)</f>
        <v>285415</v>
      </c>
      <c r="O39" s="38">
        <v>609868</v>
      </c>
      <c r="P39" s="3"/>
      <c r="Q39" s="3"/>
      <c r="R39" s="3"/>
      <c r="S39" s="7" t="s">
        <v>48</v>
      </c>
      <c r="T39" s="21">
        <f>O41/1000</f>
        <v>196.035</v>
      </c>
      <c r="U39" s="14">
        <f>P41</f>
        <v>0.32143840962306597</v>
      </c>
    </row>
    <row r="40" spans="1:47" x14ac:dyDescent="0.2">
      <c r="E40" s="16"/>
      <c r="O40" s="16"/>
      <c r="S40" s="7" t="s">
        <v>49</v>
      </c>
      <c r="T40" s="21">
        <f>O35/1000</f>
        <v>44.816000000000003</v>
      </c>
      <c r="U40" s="15">
        <f>P35</f>
        <v>7.3484754077931619E-2</v>
      </c>
    </row>
    <row r="41" spans="1:47" ht="16" x14ac:dyDescent="0.2">
      <c r="A41" s="22" t="s">
        <v>50</v>
      </c>
      <c r="B41" s="23">
        <f>B38+B37+B36</f>
        <v>12455</v>
      </c>
      <c r="C41" s="23">
        <f t="shared" ref="C41:O41" si="0">C38+C37+C36</f>
        <v>180</v>
      </c>
      <c r="D41" s="23">
        <f t="shared" si="0"/>
        <v>0</v>
      </c>
      <c r="E41" s="23">
        <f t="shared" si="0"/>
        <v>0</v>
      </c>
      <c r="F41" s="23">
        <f t="shared" si="0"/>
        <v>0</v>
      </c>
      <c r="G41" s="23">
        <f t="shared" si="0"/>
        <v>55800</v>
      </c>
      <c r="H41" s="23">
        <f t="shared" si="0"/>
        <v>0</v>
      </c>
      <c r="I41" s="23">
        <f t="shared" si="0"/>
        <v>0</v>
      </c>
      <c r="J41" s="23">
        <f t="shared" si="0"/>
        <v>0</v>
      </c>
      <c r="K41" s="23">
        <f t="shared" si="0"/>
        <v>0</v>
      </c>
      <c r="L41" s="23">
        <f t="shared" si="0"/>
        <v>0</v>
      </c>
      <c r="M41" s="23">
        <f t="shared" si="0"/>
        <v>0</v>
      </c>
      <c r="N41" s="23">
        <f t="shared" si="0"/>
        <v>127600</v>
      </c>
      <c r="O41" s="23">
        <f t="shared" si="0"/>
        <v>196035</v>
      </c>
      <c r="P41" s="18">
        <f>O41/O$39</f>
        <v>0.32143840962306597</v>
      </c>
      <c r="Q41" s="18" t="s">
        <v>51</v>
      </c>
      <c r="R41" s="7"/>
      <c r="S41" s="7" t="s">
        <v>52</v>
      </c>
      <c r="T41" s="21">
        <f>O33/1000</f>
        <v>42.801000000000002</v>
      </c>
      <c r="U41" s="14">
        <f>P33</f>
        <v>7.018076042684647E-2</v>
      </c>
    </row>
    <row r="42" spans="1:47" ht="16" x14ac:dyDescent="0.2">
      <c r="A42" s="24" t="s">
        <v>53</v>
      </c>
      <c r="B42" s="23"/>
      <c r="C42" s="25">
        <f>C39+C23+C10</f>
        <v>214936</v>
      </c>
      <c r="D42" s="25">
        <f>D39+D23</f>
        <v>0</v>
      </c>
      <c r="E42" s="25">
        <f t="shared" ref="E42:M42" si="1">E39+E23+E10</f>
        <v>15575</v>
      </c>
      <c r="F42" s="25">
        <f t="shared" si="1"/>
        <v>15960</v>
      </c>
      <c r="G42" s="25">
        <f t="shared" si="1"/>
        <v>84999</v>
      </c>
      <c r="H42" s="25">
        <f t="shared" si="1"/>
        <v>0</v>
      </c>
      <c r="I42" s="25">
        <f t="shared" si="1"/>
        <v>0</v>
      </c>
      <c r="J42" s="25">
        <f t="shared" si="1"/>
        <v>0</v>
      </c>
      <c r="K42" s="25">
        <f t="shared" si="1"/>
        <v>0</v>
      </c>
      <c r="L42" s="25">
        <f>L39+L23</f>
        <v>0</v>
      </c>
      <c r="M42" s="25">
        <f t="shared" si="1"/>
        <v>0</v>
      </c>
      <c r="N42" s="25">
        <f>N39+N23-B6+N45</f>
        <v>308248.2</v>
      </c>
      <c r="O42" s="26">
        <f>SUM(C42:N42)</f>
        <v>639718.19999999995</v>
      </c>
      <c r="P42" s="7"/>
      <c r="Q42" s="7"/>
      <c r="R42" s="7"/>
      <c r="S42" s="7" t="s">
        <v>34</v>
      </c>
      <c r="T42" s="21">
        <f>O31/1000</f>
        <v>26.788</v>
      </c>
      <c r="U42" s="14">
        <f>P31</f>
        <v>4.3924259019984653E-2</v>
      </c>
    </row>
    <row r="43" spans="1:47" ht="16" x14ac:dyDescent="0.2">
      <c r="A43" s="24" t="s">
        <v>54</v>
      </c>
      <c r="B43" s="23"/>
      <c r="C43" s="18">
        <f t="shared" ref="C43:N43" si="2">C42/$O42</f>
        <v>0.3359854385884285</v>
      </c>
      <c r="D43" s="18">
        <f t="shared" si="2"/>
        <v>0</v>
      </c>
      <c r="E43" s="18">
        <f t="shared" si="2"/>
        <v>2.4346657637691099E-2</v>
      </c>
      <c r="F43" s="18">
        <f t="shared" si="2"/>
        <v>2.4948485129858741E-2</v>
      </c>
      <c r="G43" s="18">
        <f t="shared" si="2"/>
        <v>0.13286944157599395</v>
      </c>
      <c r="H43" s="18">
        <f t="shared" si="2"/>
        <v>0</v>
      </c>
      <c r="I43" s="18">
        <f t="shared" si="2"/>
        <v>0</v>
      </c>
      <c r="J43" s="18">
        <f t="shared" si="2"/>
        <v>0</v>
      </c>
      <c r="K43" s="18">
        <f t="shared" si="2"/>
        <v>0</v>
      </c>
      <c r="L43" s="18">
        <f t="shared" si="2"/>
        <v>0</v>
      </c>
      <c r="M43" s="18">
        <f t="shared" si="2"/>
        <v>0</v>
      </c>
      <c r="N43" s="18">
        <f t="shared" si="2"/>
        <v>0.48184997706802785</v>
      </c>
      <c r="O43" s="18">
        <f>SUM(C43:N43)</f>
        <v>1.0000000000000002</v>
      </c>
      <c r="P43" s="7"/>
      <c r="Q43" s="7"/>
      <c r="R43" s="7"/>
      <c r="S43" s="7" t="s">
        <v>55</v>
      </c>
      <c r="T43" s="21">
        <f>O32/1000</f>
        <v>99.069000000000003</v>
      </c>
      <c r="U43" s="15">
        <f>P32</f>
        <v>0.16244334839670224</v>
      </c>
    </row>
    <row r="44" spans="1:47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1">
        <f>O34/1000</f>
        <v>200.35900000000001</v>
      </c>
      <c r="U44" s="15">
        <f>P34</f>
        <v>0.32852846845546907</v>
      </c>
    </row>
    <row r="45" spans="1:47" ht="16" x14ac:dyDescent="0.2">
      <c r="A45" s="6" t="s">
        <v>57</v>
      </c>
      <c r="B45" s="6">
        <f>B23-B39</f>
        <v>3550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7">
        <f>N39*0.08</f>
        <v>22833.200000000001</v>
      </c>
      <c r="O45" s="26">
        <f>B45+N45</f>
        <v>26383.200000000001</v>
      </c>
      <c r="P45" s="7"/>
      <c r="Q45" s="7"/>
      <c r="R45" s="7"/>
      <c r="S45" s="7" t="s">
        <v>58</v>
      </c>
      <c r="T45" s="21">
        <f>SUM(T39:T44)</f>
        <v>609.86800000000005</v>
      </c>
      <c r="U45" s="14">
        <f>SUM(U39:U44)</f>
        <v>1</v>
      </c>
    </row>
    <row r="46" spans="1:47" ht="16" x14ac:dyDescent="0.2">
      <c r="A46" s="6"/>
      <c r="B46" s="68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x14ac:dyDescent="0.2">
      <c r="A47" s="4"/>
      <c r="B47" s="4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4"/>
      <c r="R47" s="4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4"/>
      <c r="AH47" s="4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</row>
    <row r="48" spans="1:47" x14ac:dyDescent="0.2">
      <c r="A48" s="17"/>
      <c r="B48" s="4"/>
      <c r="C48" s="17"/>
      <c r="D48" s="17"/>
      <c r="E48" s="17"/>
      <c r="F48" s="42"/>
      <c r="G48" s="17"/>
      <c r="H48" s="42"/>
      <c r="I48" s="17"/>
      <c r="J48" s="17"/>
      <c r="K48" s="17"/>
      <c r="L48" s="17"/>
      <c r="M48" s="17"/>
      <c r="N48" s="17"/>
      <c r="O48" s="17"/>
      <c r="P48" s="17"/>
      <c r="Q48" s="17"/>
      <c r="R48" s="4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4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</row>
    <row r="49" spans="1:47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4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</row>
    <row r="50" spans="1:47" ht="16" x14ac:dyDescent="0.2">
      <c r="A50" s="4"/>
      <c r="B50" s="38"/>
      <c r="C50" s="38"/>
      <c r="D50" s="38"/>
      <c r="E50" s="65"/>
      <c r="F50" s="38"/>
      <c r="G50" s="38"/>
      <c r="I50" s="38"/>
      <c r="J50" s="38"/>
      <c r="K50" s="38"/>
      <c r="L50" s="69"/>
      <c r="M50" s="38"/>
      <c r="N50" s="38"/>
      <c r="O50" s="38"/>
      <c r="P50" s="38"/>
      <c r="Q50" s="38"/>
      <c r="R50" s="38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4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</row>
    <row r="51" spans="1:47" x14ac:dyDescent="0.2">
      <c r="A51" s="1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17"/>
      <c r="N51" s="9"/>
      <c r="O51" s="9"/>
      <c r="P51" s="17"/>
      <c r="Q51" s="17"/>
      <c r="R51" s="4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4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</row>
    <row r="52" spans="1:47" x14ac:dyDescent="0.2">
      <c r="A52" s="1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17"/>
      <c r="N52" s="9"/>
      <c r="O52" s="9"/>
      <c r="P52" s="17"/>
      <c r="Q52" s="17"/>
      <c r="R52" s="4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4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</row>
    <row r="53" spans="1:47" x14ac:dyDescent="0.2">
      <c r="A53" s="1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17"/>
      <c r="N53" s="9"/>
      <c r="O53" s="9"/>
      <c r="P53" s="17"/>
      <c r="Q53" s="17"/>
      <c r="R53" s="4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4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</row>
    <row r="54" spans="1:47" x14ac:dyDescent="0.2">
      <c r="A54" s="5"/>
      <c r="B54" s="7"/>
      <c r="C54" s="28"/>
      <c r="D54" s="28"/>
      <c r="E54" s="9"/>
      <c r="F54" s="9"/>
      <c r="G54" s="9"/>
      <c r="H54" s="9"/>
      <c r="I54" s="9"/>
      <c r="J54" s="9"/>
      <c r="K54" s="9"/>
      <c r="L54" s="9"/>
      <c r="M54" s="17"/>
      <c r="N54" s="9"/>
      <c r="O54" s="9"/>
      <c r="P54" s="17"/>
      <c r="Q54" s="17"/>
      <c r="R54" s="4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4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x14ac:dyDescent="0.2">
      <c r="A55" s="5"/>
      <c r="C55" s="6"/>
      <c r="D55" s="6"/>
      <c r="E55" s="9"/>
      <c r="F55" s="9"/>
      <c r="G55" s="9"/>
      <c r="H55" s="9"/>
      <c r="I55" s="9"/>
      <c r="J55" s="9"/>
      <c r="K55" s="9"/>
      <c r="L55" s="9"/>
      <c r="M55" s="17"/>
      <c r="N55" s="9"/>
      <c r="O55" s="9"/>
      <c r="P55" s="17"/>
      <c r="Q55" s="17"/>
      <c r="R55" s="4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4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</row>
    <row r="56" spans="1:47" x14ac:dyDescent="0.2">
      <c r="A56" s="5"/>
      <c r="B56" s="70"/>
      <c r="C56" s="6"/>
      <c r="D56" s="6"/>
      <c r="E56" s="9"/>
      <c r="F56" s="10"/>
      <c r="G56" s="9"/>
      <c r="H56" s="9"/>
      <c r="I56" s="9"/>
      <c r="J56" s="9"/>
      <c r="K56" s="9"/>
      <c r="L56" s="9"/>
      <c r="M56" s="17"/>
      <c r="N56" s="9"/>
      <c r="O56" s="9"/>
      <c r="P56" s="17"/>
      <c r="Q56" s="17"/>
      <c r="R56" s="4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4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</row>
    <row r="57" spans="1:47" ht="16" x14ac:dyDescent="0.2">
      <c r="A57" s="5"/>
      <c r="B57" s="70"/>
      <c r="C57" s="6"/>
      <c r="D57" s="31"/>
      <c r="E57" s="9"/>
      <c r="F57" s="10"/>
      <c r="G57" s="9"/>
      <c r="H57" s="9"/>
      <c r="I57" s="9"/>
      <c r="J57" s="9"/>
      <c r="K57" s="9"/>
      <c r="L57" s="9"/>
      <c r="M57" s="17"/>
      <c r="N57" s="9"/>
      <c r="O57" s="9"/>
      <c r="P57" s="17"/>
      <c r="Q57" s="17"/>
      <c r="R57" s="4"/>
      <c r="S57" s="6"/>
      <c r="T57" s="30"/>
    </row>
    <row r="58" spans="1:47" ht="16" x14ac:dyDescent="0.2">
      <c r="A58" s="5"/>
      <c r="B58" s="70"/>
      <c r="C58" s="6"/>
      <c r="E58" s="28"/>
      <c r="F58" s="28"/>
      <c r="G58" s="28"/>
      <c r="H58" s="28"/>
      <c r="I58" s="28"/>
      <c r="J58" s="28"/>
      <c r="K58" s="28"/>
      <c r="L58" s="6"/>
      <c r="M58" s="29"/>
      <c r="N58" s="7"/>
      <c r="O58" s="6"/>
      <c r="P58" s="14"/>
      <c r="Q58" s="7"/>
      <c r="R58" s="7"/>
      <c r="S58" s="6"/>
      <c r="T58" s="30"/>
    </row>
    <row r="59" spans="1:47" ht="16" x14ac:dyDescent="0.2">
      <c r="A59" s="5"/>
      <c r="B59" s="70"/>
      <c r="C59" s="6"/>
      <c r="E59" s="28"/>
      <c r="F59" s="28"/>
      <c r="G59" s="28"/>
      <c r="H59" s="28"/>
      <c r="I59" s="28"/>
      <c r="J59" s="28"/>
      <c r="K59" s="28"/>
      <c r="L59" s="6"/>
      <c r="M59" s="29"/>
      <c r="N59" s="7"/>
      <c r="O59" s="6"/>
      <c r="P59" s="14"/>
      <c r="Q59" s="7"/>
      <c r="R59" s="7"/>
      <c r="S59" s="6"/>
      <c r="T59" s="30"/>
    </row>
    <row r="60" spans="1:47" ht="16" x14ac:dyDescent="0.2">
      <c r="A60" s="5"/>
      <c r="B60" s="70"/>
      <c r="C60" s="6"/>
      <c r="D60" s="16"/>
      <c r="E60" s="28"/>
      <c r="F60" s="28"/>
      <c r="G60" s="28"/>
      <c r="H60" s="28"/>
      <c r="I60" s="28"/>
      <c r="J60" s="28"/>
      <c r="K60" s="28"/>
      <c r="L60" s="6"/>
      <c r="M60" s="29"/>
      <c r="N60" s="7"/>
      <c r="O60" s="6"/>
      <c r="P60" s="14"/>
      <c r="Q60" s="7"/>
      <c r="R60" s="7"/>
      <c r="S60" s="6"/>
      <c r="T60" s="30"/>
    </row>
    <row r="61" spans="1:47" ht="16" x14ac:dyDescent="0.2">
      <c r="A61" s="5"/>
      <c r="B61" s="70"/>
      <c r="C61" s="6"/>
      <c r="E61" s="28"/>
      <c r="F61" s="28"/>
      <c r="G61" s="28"/>
      <c r="H61" s="28"/>
      <c r="I61" s="28"/>
      <c r="J61" s="28"/>
      <c r="K61" s="28"/>
      <c r="L61" s="6"/>
      <c r="M61" s="29"/>
      <c r="N61" s="7"/>
      <c r="O61" s="6"/>
      <c r="P61" s="14"/>
      <c r="Q61" s="7"/>
      <c r="R61" s="7"/>
      <c r="S61" s="31"/>
      <c r="T61" s="32"/>
    </row>
    <row r="62" spans="1:47" ht="16" x14ac:dyDescent="0.2">
      <c r="C62" s="16"/>
      <c r="E62" s="7"/>
      <c r="F62" s="7"/>
      <c r="G62" s="7"/>
      <c r="H62" s="7"/>
      <c r="I62" s="7"/>
      <c r="J62" s="7"/>
      <c r="K62" s="7"/>
      <c r="L62" s="6"/>
      <c r="M62" s="29"/>
      <c r="N62" s="7"/>
      <c r="O62" s="6"/>
      <c r="P62" s="14"/>
      <c r="Q62" s="7"/>
      <c r="R62" s="7"/>
      <c r="S62" s="7"/>
      <c r="T62" s="6"/>
    </row>
    <row r="63" spans="1:47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33"/>
      <c r="T63" s="34"/>
    </row>
    <row r="64" spans="1:47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29"/>
      <c r="Q64" s="7"/>
      <c r="R64" s="7"/>
      <c r="S64" s="6"/>
      <c r="T64" s="30"/>
    </row>
    <row r="65" spans="1:20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29"/>
      <c r="Q65" s="7"/>
      <c r="R65" s="7"/>
      <c r="S65" s="6"/>
      <c r="T65" s="30"/>
    </row>
    <row r="66" spans="1:20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29"/>
      <c r="Q66" s="7"/>
      <c r="R66" s="7"/>
      <c r="S66" s="6"/>
      <c r="T66" s="30"/>
    </row>
    <row r="67" spans="1:20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29"/>
      <c r="Q67" s="7"/>
      <c r="R67" s="7"/>
      <c r="S67" s="6"/>
      <c r="T67" s="30"/>
    </row>
    <row r="68" spans="1:20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29"/>
      <c r="Q68" s="7"/>
      <c r="R68" s="7"/>
      <c r="S68" s="6"/>
      <c r="T68" s="30"/>
    </row>
    <row r="69" spans="1:20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29"/>
      <c r="Q69" s="7"/>
      <c r="R69" s="7"/>
      <c r="S69" s="6"/>
      <c r="T69" s="30"/>
    </row>
    <row r="70" spans="1:20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31"/>
      <c r="P70" s="35"/>
      <c r="Q70" s="7"/>
      <c r="R70" s="36"/>
      <c r="S70" s="31"/>
      <c r="T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7E3A63F0-3579-42E2-BC46-F14EF37DA987}"/>
</file>

<file path=customXml/itemProps2.xml><?xml version="1.0" encoding="utf-8"?>
<ds:datastoreItem xmlns:ds="http://schemas.openxmlformats.org/officeDocument/2006/customXml" ds:itemID="{2A76BFB2-562F-4C30-BF18-608BBC1B226A}"/>
</file>

<file path=customXml/itemProps3.xml><?xml version="1.0" encoding="utf-8"?>
<ds:datastoreItem xmlns:ds="http://schemas.openxmlformats.org/officeDocument/2006/customXml" ds:itemID="{68CC5D2E-3828-41F2-B4C8-9F3119AA09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Uppsala län</vt:lpstr>
      <vt:lpstr>Håbo</vt:lpstr>
      <vt:lpstr>Älvkarleby</vt:lpstr>
      <vt:lpstr>Knivsta</vt:lpstr>
      <vt:lpstr>Heby</vt:lpstr>
      <vt:lpstr>Tierp</vt:lpstr>
      <vt:lpstr>Uppsala</vt:lpstr>
      <vt:lpstr>Enköping</vt:lpstr>
      <vt:lpstr>Östhammar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2016-02-05T21:18:49Z</dcterms:created>
  <dcterms:modified xsi:type="dcterms:W3CDTF">2017-10-15T22:42:27Z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