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omments26.xml" ContentType="application/vnd.openxmlformats-officedocument.spreadsheetml.comments+xml"/>
  <Override PartName="/xl/comments2.xml" ContentType="application/vnd.openxmlformats-officedocument.spreadsheetml.comments+xml"/>
  <Override PartName="/xl/comments28.xml" ContentType="application/vnd.openxmlformats-officedocument.spreadsheetml.comments+xml"/>
  <Override PartName="/xl/comments10.xml" ContentType="application/vnd.openxmlformats-officedocument.spreadsheetml.comments+xml"/>
  <Override PartName="/xl/comments29.xml" ContentType="application/vnd.openxmlformats-officedocument.spreadsheetml.comments+xml"/>
  <Override PartName="/xl/comments9.xml" ContentType="application/vnd.openxmlformats-officedocument.spreadsheetml.comments+xml"/>
  <Override PartName="/xl/comments30.xml" ContentType="application/vnd.openxmlformats-officedocument.spreadsheetml.comments+xml"/>
  <Override PartName="/xl/comments27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19.xml" ContentType="application/vnd.openxmlformats-officedocument.spreadsheetml.comments+xml"/>
  <Override PartName="/xl/comments18.xml" ContentType="application/vnd.openxmlformats-officedocument.spreadsheetml.comments+xml"/>
  <Override PartName="/xl/comments15.xml" ContentType="application/vnd.openxmlformats-officedocument.spreadsheetml.comments+xml"/>
  <Override PartName="/xl/comments17.xml" ContentType="application/vnd.openxmlformats-officedocument.spreadsheetml.comments+xml"/>
  <Override PartName="/xl/comments14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2.xml" ContentType="application/vnd.openxmlformats-officedocument.spreadsheetml.comments+xml"/>
  <Override PartName="/xl/comments13.xml" ContentType="application/vnd.openxmlformats-officedocument.spreadsheetml.comments+xml"/>
  <Override PartName="/xl/comments11.xml" ContentType="application/vnd.openxmlformats-officedocument.spreadsheetml.comments+xml"/>
  <Override PartName="/xl/comments44.xml" ContentType="application/vnd.openxmlformats-officedocument.spreadsheetml.comments+xml"/>
  <Override PartName="/xl/comments8.xml" ContentType="application/vnd.openxmlformats-officedocument.spreadsheetml.comments+xml"/>
  <Override PartName="/xl/comments4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2.xml" ContentType="application/vnd.openxmlformats-officedocument.spreadsheetml.comments+xml"/>
  <Override PartName="/xl/comments48.xml" ContentType="application/vnd.openxmlformats-officedocument.spreadsheetml.comments+xml"/>
  <Override PartName="/xl/comments43.xml" ContentType="application/vnd.openxmlformats-officedocument.spreadsheetml.comments+xml"/>
  <Override PartName="/xl/comments47.xml" ContentType="application/vnd.openxmlformats-officedocument.spreadsheetml.comments+xml"/>
  <Override PartName="/xl/comments45.xml" ContentType="application/vnd.openxmlformats-officedocument.spreadsheetml.comments+xml"/>
  <Override PartName="/xl/comments1.xml" ContentType="application/vnd.openxmlformats-officedocument.spreadsheetml.comments+xml"/>
  <Override PartName="/xl/comments46.xml" ContentType="application/vnd.openxmlformats-officedocument.spreadsheetml.comments+xml"/>
  <Override PartName="/xl/comments16.xml" ContentType="application/vnd.openxmlformats-officedocument.spreadsheetml.comments+xml"/>
  <Override PartName="/xl/comments3.xml" ContentType="application/vnd.openxmlformats-officedocument.spreadsheetml.comments+xml"/>
  <Override PartName="/xl/comments41.xml" ContentType="application/vnd.openxmlformats-officedocument.spreadsheetml.comments+xml"/>
  <Override PartName="/xl/comments40.xml" ContentType="application/vnd.openxmlformats-officedocument.spreadsheetml.comments+xml"/>
  <Override PartName="/xl/comments35.xml" ContentType="application/vnd.openxmlformats-officedocument.spreadsheetml.comments+xml"/>
  <Override PartName="/xl/comments34.xml" ContentType="application/vnd.openxmlformats-officedocument.spreadsheetml.comments+xml"/>
  <Override PartName="/xl/comments7.xml" ContentType="application/vnd.openxmlformats-officedocument.spreadsheetml.comments+xml"/>
  <Override PartName="/xl/comments33.xml" ContentType="application/vnd.openxmlformats-officedocument.spreadsheetml.comments+xml"/>
  <Override PartName="/xl/comments32.xml" ContentType="application/vnd.openxmlformats-officedocument.spreadsheetml.comments+xml"/>
  <Override PartName="/xl/comments6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4.xml" ContentType="application/vnd.openxmlformats-officedocument.spreadsheetml.comments+xml"/>
  <Override PartName="/xl/comments39.xml" ContentType="application/vnd.openxmlformats-officedocument.spreadsheetml.comments+xml"/>
  <Override PartName="/xl/comments38.xml" ContentType="application/vnd.openxmlformats-officedocument.spreadsheetml.comments+xml"/>
  <Override PartName="/xl/comments5.xml" ContentType="application/vnd.openxmlformats-officedocument.spreadsheetml.comments+xml"/>
  <Override PartName="/xl/comments3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2200" yWindow="300" windowWidth="34760" windowHeight="16440" tabRatio="991"/>
  </bookViews>
  <sheets>
    <sheet name="Västra Götalands län" sheetId="57" r:id="rId1"/>
    <sheet name="Härryda" sheetId="2" r:id="rId2"/>
    <sheet name="Partille" sheetId="3" r:id="rId3"/>
    <sheet name="Öckerö" sheetId="4" r:id="rId4"/>
    <sheet name="Stenungsund" sheetId="5" r:id="rId5"/>
    <sheet name="Orust" sheetId="7" r:id="rId6"/>
    <sheet name="Tjörn" sheetId="6" r:id="rId7"/>
    <sheet name="Sotenäs" sheetId="8" r:id="rId8"/>
    <sheet name="Munkedal" sheetId="9" r:id="rId9"/>
    <sheet name="Tanum" sheetId="10" r:id="rId10"/>
    <sheet name="Dals-Ed" sheetId="11" r:id="rId11"/>
    <sheet name="Färgelanda" sheetId="12" r:id="rId12"/>
    <sheet name="Ale" sheetId="13" r:id="rId13"/>
    <sheet name="Lerum" sheetId="14" r:id="rId14"/>
    <sheet name="Vårgårda" sheetId="15" r:id="rId15"/>
    <sheet name="Bollebygd" sheetId="16" r:id="rId16"/>
    <sheet name="Grästorp" sheetId="17" r:id="rId17"/>
    <sheet name="Essunga" sheetId="18" r:id="rId18"/>
    <sheet name="Karlsborg" sheetId="19" r:id="rId19"/>
    <sheet name="Gullspång" sheetId="20" r:id="rId20"/>
    <sheet name="Tranemo" sheetId="21" r:id="rId21"/>
    <sheet name="Bengtsfors" sheetId="22" r:id="rId22"/>
    <sheet name="Mellerud" sheetId="23" r:id="rId23"/>
    <sheet name="Lilla Edet" sheetId="24" r:id="rId24"/>
    <sheet name="Mark" sheetId="25" r:id="rId25"/>
    <sheet name="Svenljunga" sheetId="26" r:id="rId26"/>
    <sheet name="Herrljunga" sheetId="27" r:id="rId27"/>
    <sheet name="Vara" sheetId="28" r:id="rId28"/>
    <sheet name="Götene" sheetId="29" r:id="rId29"/>
    <sheet name="Tibro" sheetId="30" r:id="rId30"/>
    <sheet name="Töreboda" sheetId="31" r:id="rId31"/>
    <sheet name="Göteborg" sheetId="32" r:id="rId32"/>
    <sheet name="Mölndal" sheetId="33" r:id="rId33"/>
    <sheet name="Kungälv" sheetId="34" r:id="rId34"/>
    <sheet name="Lysekil" sheetId="35" r:id="rId35"/>
    <sheet name="Uddevalla" sheetId="36" r:id="rId36"/>
    <sheet name="Strömstad" sheetId="37" r:id="rId37"/>
    <sheet name="Vänersborg" sheetId="38" r:id="rId38"/>
    <sheet name="Trollhättan" sheetId="39" r:id="rId39"/>
    <sheet name="Alingsås" sheetId="40" r:id="rId40"/>
    <sheet name="Borås" sheetId="41" r:id="rId41"/>
    <sheet name="Ulricehamn" sheetId="42" r:id="rId42"/>
    <sheet name="Åmål" sheetId="43" r:id="rId43"/>
    <sheet name="Mariestad" sheetId="44" r:id="rId44"/>
    <sheet name="Lidköping" sheetId="45" r:id="rId45"/>
    <sheet name="Skara" sheetId="46" r:id="rId46"/>
    <sheet name="Skövde" sheetId="47" r:id="rId47"/>
    <sheet name="Hjo" sheetId="48" r:id="rId48"/>
    <sheet name="Tidaholm" sheetId="49" r:id="rId49"/>
    <sheet name="Falköping" sheetId="50" r:id="rId50"/>
    <sheet name="Blad1" sheetId="52" state="hidden" r:id="rId51"/>
    <sheet name="Blad2" sheetId="53" state="hidden" r:id="rId52"/>
    <sheet name="Blad3" sheetId="54" state="hidden" r:id="rId53"/>
    <sheet name="Blad4" sheetId="55" state="hidden" r:id="rId5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57" l="1"/>
  <c r="N37" i="57"/>
  <c r="N36" i="57"/>
  <c r="N41" i="57"/>
  <c r="N31" i="57"/>
  <c r="N32" i="57"/>
  <c r="N33" i="57"/>
  <c r="N34" i="57"/>
  <c r="N35" i="57"/>
  <c r="N39" i="57"/>
  <c r="O41" i="57"/>
  <c r="T42" i="57"/>
  <c r="O35" i="57"/>
  <c r="T43" i="57"/>
  <c r="O33" i="57"/>
  <c r="T44" i="57"/>
  <c r="O31" i="57"/>
  <c r="T45" i="57"/>
  <c r="O32" i="57"/>
  <c r="T46" i="57"/>
  <c r="O34" i="57"/>
  <c r="T47" i="57"/>
  <c r="T48" i="57"/>
  <c r="S42" i="57"/>
  <c r="S43" i="57"/>
  <c r="S44" i="57"/>
  <c r="S45" i="57"/>
  <c r="S46" i="57"/>
  <c r="S47" i="57"/>
  <c r="S48" i="57"/>
  <c r="M39" i="57"/>
  <c r="M23" i="57"/>
  <c r="M45" i="57"/>
  <c r="M42" i="57"/>
  <c r="B39" i="57"/>
  <c r="B45" i="57"/>
  <c r="N45" i="57"/>
  <c r="C39" i="57"/>
  <c r="C23" i="57"/>
  <c r="C10" i="57"/>
  <c r="C42" i="57"/>
  <c r="D39" i="57"/>
  <c r="D23" i="57"/>
  <c r="D42" i="57"/>
  <c r="E39" i="57"/>
  <c r="E23" i="57"/>
  <c r="E42" i="57"/>
  <c r="F39" i="57"/>
  <c r="F23" i="57"/>
  <c r="F42" i="57"/>
  <c r="G39" i="57"/>
  <c r="G23" i="57"/>
  <c r="G10" i="57"/>
  <c r="G42" i="57"/>
  <c r="H39" i="57"/>
  <c r="H23" i="57"/>
  <c r="H42" i="57"/>
  <c r="I39" i="57"/>
  <c r="I23" i="57"/>
  <c r="I42" i="57"/>
  <c r="J39" i="57"/>
  <c r="J23" i="57"/>
  <c r="J42" i="57"/>
  <c r="K39" i="57"/>
  <c r="K23" i="57"/>
  <c r="K42" i="57"/>
  <c r="L39" i="57"/>
  <c r="L23" i="57"/>
  <c r="L42" i="57"/>
  <c r="N42" i="57"/>
  <c r="C43" i="57"/>
  <c r="D43" i="57"/>
  <c r="E43" i="57"/>
  <c r="F43" i="57"/>
  <c r="G43" i="57"/>
  <c r="H43" i="57"/>
  <c r="I43" i="57"/>
  <c r="J43" i="57"/>
  <c r="K43" i="57"/>
  <c r="L43" i="57"/>
  <c r="M43" i="57"/>
  <c r="N43" i="57"/>
  <c r="S41" i="57"/>
  <c r="M41" i="57"/>
  <c r="L41" i="57"/>
  <c r="K41" i="57"/>
  <c r="J41" i="57"/>
  <c r="I41" i="57"/>
  <c r="H41" i="57"/>
  <c r="G41" i="57"/>
  <c r="F41" i="57"/>
  <c r="E41" i="57"/>
  <c r="D41" i="57"/>
  <c r="C41" i="57"/>
  <c r="B41" i="57"/>
  <c r="O38" i="57"/>
  <c r="T26" i="57"/>
  <c r="T27" i="57"/>
  <c r="T28" i="57"/>
  <c r="T29" i="57"/>
  <c r="T30" i="57"/>
  <c r="T31" i="57"/>
  <c r="T32" i="57"/>
  <c r="T33" i="57"/>
  <c r="T34" i="57"/>
  <c r="T35" i="57"/>
  <c r="T36" i="57"/>
  <c r="T37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23" i="57"/>
  <c r="N17" i="57"/>
  <c r="N18" i="57"/>
  <c r="N19" i="57"/>
  <c r="N20" i="57"/>
  <c r="N23" i="57"/>
  <c r="N7" i="57"/>
  <c r="N8" i="57"/>
  <c r="N9" i="57"/>
  <c r="N10" i="57"/>
  <c r="B10" i="57"/>
  <c r="B45" i="2"/>
  <c r="B33" i="3"/>
  <c r="B35" i="3"/>
  <c r="B39" i="3"/>
  <c r="B45" i="3"/>
  <c r="B45" i="4"/>
  <c r="B45" i="5"/>
  <c r="B45" i="6"/>
  <c r="B23" i="7"/>
  <c r="B39" i="7"/>
  <c r="B45" i="7"/>
  <c r="B45" i="8"/>
  <c r="B23" i="9"/>
  <c r="B45" i="9"/>
  <c r="B45" i="10"/>
  <c r="B45" i="11"/>
  <c r="B45" i="12"/>
  <c r="B23" i="13"/>
  <c r="B33" i="13"/>
  <c r="B39" i="13"/>
  <c r="B45" i="13"/>
  <c r="B23" i="14"/>
  <c r="B45" i="14"/>
  <c r="B39" i="15"/>
  <c r="B45" i="15"/>
  <c r="B33" i="16"/>
  <c r="B35" i="16"/>
  <c r="B37" i="16"/>
  <c r="B39" i="16"/>
  <c r="B45" i="16"/>
  <c r="B45" i="17"/>
  <c r="B45" i="18"/>
  <c r="B18" i="19"/>
  <c r="B23" i="19"/>
  <c r="B45" i="19"/>
  <c r="B23" i="20"/>
  <c r="B39" i="20"/>
  <c r="B45" i="20"/>
  <c r="B39" i="21"/>
  <c r="B45" i="21"/>
  <c r="B45" i="22"/>
  <c r="B23" i="23"/>
  <c r="B39" i="23"/>
  <c r="B45" i="23"/>
  <c r="B45" i="24"/>
  <c r="B45" i="25"/>
  <c r="B45" i="26"/>
  <c r="B18" i="27"/>
  <c r="B23" i="27"/>
  <c r="B32" i="27"/>
  <c r="B33" i="27"/>
  <c r="B35" i="27"/>
  <c r="B36" i="27"/>
  <c r="B39" i="27"/>
  <c r="B45" i="27"/>
  <c r="B45" i="28"/>
  <c r="B23" i="29"/>
  <c r="B45" i="29"/>
  <c r="B36" i="30"/>
  <c r="B39" i="30"/>
  <c r="B45" i="30"/>
  <c r="B18" i="31"/>
  <c r="B23" i="31"/>
  <c r="B39" i="31"/>
  <c r="B45" i="31"/>
  <c r="B17" i="32"/>
  <c r="B21" i="32"/>
  <c r="B16" i="32"/>
  <c r="B18" i="32"/>
  <c r="B23" i="32"/>
  <c r="B33" i="32"/>
  <c r="B39" i="32"/>
  <c r="B30" i="32"/>
  <c r="B45" i="32"/>
  <c r="B30" i="33"/>
  <c r="B45" i="33"/>
  <c r="B45" i="34"/>
  <c r="B45" i="35"/>
  <c r="B45" i="36"/>
  <c r="B45" i="37"/>
  <c r="B45" i="38"/>
  <c r="B45" i="39"/>
  <c r="B18" i="40"/>
  <c r="B23" i="40"/>
  <c r="B45" i="40"/>
  <c r="B45" i="41"/>
  <c r="B45" i="42"/>
  <c r="B45" i="43"/>
  <c r="B23" i="44"/>
  <c r="B32" i="44"/>
  <c r="B36" i="44"/>
  <c r="B37" i="44"/>
  <c r="B39" i="44"/>
  <c r="B45" i="44"/>
  <c r="B23" i="45"/>
  <c r="B45" i="45"/>
  <c r="B45" i="46"/>
  <c r="B45" i="47"/>
  <c r="B45" i="48"/>
  <c r="B45" i="49"/>
  <c r="B45" i="50"/>
  <c r="M45" i="12"/>
  <c r="N45" i="12"/>
  <c r="S38" i="12"/>
  <c r="B41" i="15"/>
  <c r="B41" i="16"/>
  <c r="B10" i="24"/>
  <c r="M32" i="24"/>
  <c r="M39" i="24"/>
  <c r="N32" i="24"/>
  <c r="N39" i="24"/>
  <c r="G32" i="24"/>
  <c r="N36" i="44"/>
  <c r="G32" i="16"/>
  <c r="G32" i="20"/>
  <c r="G32" i="22"/>
  <c r="G32" i="28"/>
  <c r="G32" i="29"/>
  <c r="N32" i="31"/>
  <c r="G32" i="31"/>
  <c r="G36" i="40"/>
  <c r="G32" i="40"/>
  <c r="G32" i="41"/>
  <c r="G32" i="42"/>
  <c r="G32" i="46"/>
  <c r="G32" i="49"/>
  <c r="N32" i="21"/>
  <c r="M32" i="21"/>
  <c r="N36" i="27"/>
  <c r="M36" i="27"/>
  <c r="M32" i="27"/>
  <c r="G39" i="24"/>
  <c r="G36" i="2"/>
  <c r="G39" i="2"/>
  <c r="G39" i="3"/>
  <c r="G36" i="5"/>
  <c r="G39" i="5"/>
  <c r="G36" i="8"/>
  <c r="G39" i="8"/>
  <c r="G36" i="9"/>
  <c r="G39" i="9"/>
  <c r="G36" i="10"/>
  <c r="G39" i="10"/>
  <c r="G39" i="11"/>
  <c r="N36" i="13"/>
  <c r="G36" i="13"/>
  <c r="G39" i="13"/>
  <c r="G39" i="15"/>
  <c r="G36" i="16"/>
  <c r="G39" i="16"/>
  <c r="G39" i="18"/>
  <c r="G39" i="22"/>
  <c r="G39" i="26"/>
  <c r="G39" i="27"/>
  <c r="G39" i="28"/>
  <c r="G39" i="29"/>
  <c r="N36" i="31"/>
  <c r="G36" i="31"/>
  <c r="G39" i="31"/>
  <c r="N36" i="32"/>
  <c r="G36" i="32"/>
  <c r="G39" i="32"/>
  <c r="G36" i="33"/>
  <c r="G39" i="33"/>
  <c r="G36" i="34"/>
  <c r="G39" i="34"/>
  <c r="G36" i="35"/>
  <c r="G39" i="35"/>
  <c r="G39" i="36"/>
  <c r="G39" i="41"/>
  <c r="G39" i="42"/>
  <c r="G39" i="43"/>
  <c r="G36" i="46"/>
  <c r="G39" i="46"/>
  <c r="G39" i="47"/>
  <c r="G36" i="48"/>
  <c r="G39" i="48"/>
  <c r="N31" i="49"/>
  <c r="N36" i="49"/>
  <c r="G36" i="49"/>
  <c r="G39" i="49"/>
  <c r="G39" i="50"/>
  <c r="M39" i="21"/>
  <c r="K17" i="41"/>
  <c r="C17" i="41"/>
  <c r="G17" i="41"/>
  <c r="N17" i="41"/>
  <c r="C18" i="32"/>
  <c r="G18" i="32"/>
  <c r="N18" i="32"/>
  <c r="E17" i="32"/>
  <c r="G17" i="32"/>
  <c r="N17" i="32"/>
  <c r="G23" i="32"/>
  <c r="C23" i="32"/>
  <c r="O31" i="2"/>
  <c r="O32" i="2"/>
  <c r="O33" i="2"/>
  <c r="O34" i="2"/>
  <c r="O35" i="2"/>
  <c r="O38" i="2"/>
  <c r="M19" i="41"/>
  <c r="M20" i="41"/>
  <c r="M23" i="41"/>
  <c r="C23" i="41"/>
  <c r="G23" i="31"/>
  <c r="G23" i="13"/>
  <c r="C23" i="13"/>
  <c r="G23" i="12"/>
  <c r="C23" i="7"/>
  <c r="G23" i="7"/>
  <c r="K23" i="49"/>
  <c r="K32" i="47"/>
  <c r="K39" i="47"/>
  <c r="K23" i="45"/>
  <c r="K23" i="41"/>
  <c r="B18" i="36"/>
  <c r="B17" i="36"/>
  <c r="K17" i="36"/>
  <c r="K23" i="36"/>
  <c r="J23" i="36"/>
  <c r="K23" i="32"/>
  <c r="M23" i="32"/>
  <c r="N36" i="3"/>
  <c r="N36" i="7"/>
  <c r="N36" i="15"/>
  <c r="N36" i="21"/>
  <c r="N36" i="23"/>
  <c r="N36" i="30"/>
  <c r="N36" i="36"/>
  <c r="N32" i="3"/>
  <c r="N37" i="9"/>
  <c r="N32" i="9"/>
  <c r="N32" i="11"/>
  <c r="N39" i="12"/>
  <c r="B37" i="12"/>
  <c r="B33" i="12"/>
  <c r="N33" i="12"/>
  <c r="N37" i="12"/>
  <c r="N31" i="12"/>
  <c r="N32" i="12"/>
  <c r="N32" i="13"/>
  <c r="N32" i="15"/>
  <c r="C31" i="17"/>
  <c r="N31" i="17"/>
  <c r="N32" i="17"/>
  <c r="F32" i="20"/>
  <c r="N32" i="20"/>
  <c r="N32" i="22"/>
  <c r="N39" i="27"/>
  <c r="E39" i="27"/>
  <c r="E32" i="27"/>
  <c r="N32" i="27"/>
  <c r="N32" i="32"/>
  <c r="E32" i="38"/>
  <c r="N32" i="38"/>
  <c r="N32" i="44"/>
  <c r="N39" i="3"/>
  <c r="N39" i="7"/>
  <c r="N39" i="11"/>
  <c r="N39" i="13"/>
  <c r="N39" i="15"/>
  <c r="N39" i="16"/>
  <c r="N31" i="20"/>
  <c r="N39" i="20"/>
  <c r="N39" i="21"/>
  <c r="N39" i="22"/>
  <c r="N39" i="23"/>
  <c r="N37" i="30"/>
  <c r="N39" i="30"/>
  <c r="N39" i="31"/>
  <c r="N33" i="32"/>
  <c r="N35" i="32"/>
  <c r="N37" i="32"/>
  <c r="N39" i="32"/>
  <c r="N39" i="38"/>
  <c r="N39" i="44"/>
  <c r="N18" i="7"/>
  <c r="N18" i="9"/>
  <c r="N18" i="13"/>
  <c r="N18" i="14"/>
  <c r="N18" i="15"/>
  <c r="N18" i="20"/>
  <c r="N18" i="23"/>
  <c r="N18" i="27"/>
  <c r="N18" i="36"/>
  <c r="G18" i="40"/>
  <c r="N18" i="40"/>
  <c r="G18" i="20"/>
  <c r="G18" i="26"/>
  <c r="C17" i="36"/>
  <c r="C23" i="15"/>
  <c r="C23" i="19"/>
  <c r="C23" i="23"/>
  <c r="C23" i="27"/>
  <c r="C23" i="36"/>
  <c r="K17" i="47"/>
  <c r="K23" i="47"/>
  <c r="J23" i="33"/>
  <c r="G23" i="9"/>
  <c r="G23" i="14"/>
  <c r="G23" i="15"/>
  <c r="G23" i="19"/>
  <c r="G23" i="20"/>
  <c r="G23" i="23"/>
  <c r="G23" i="26"/>
  <c r="G23" i="27"/>
  <c r="G17" i="33"/>
  <c r="G23" i="33"/>
  <c r="G17" i="36"/>
  <c r="G23" i="36"/>
  <c r="G23" i="40"/>
  <c r="G23" i="41"/>
  <c r="G23" i="44"/>
  <c r="G17" i="45"/>
  <c r="G23" i="45"/>
  <c r="G23" i="47"/>
  <c r="G17" i="49"/>
  <c r="G23" i="49"/>
  <c r="G23" i="50"/>
  <c r="N19" i="32"/>
  <c r="N20" i="32"/>
  <c r="N21" i="32"/>
  <c r="N22" i="32"/>
  <c r="N23" i="32"/>
  <c r="N19" i="41"/>
  <c r="N20" i="41"/>
  <c r="N23" i="41"/>
  <c r="N23" i="7"/>
  <c r="N23" i="9"/>
  <c r="N23" i="13"/>
  <c r="N23" i="14"/>
  <c r="N23" i="15"/>
  <c r="N23" i="19"/>
  <c r="N23" i="20"/>
  <c r="N23" i="23"/>
  <c r="N23" i="27"/>
  <c r="N23" i="29"/>
  <c r="N23" i="31"/>
  <c r="N17" i="33"/>
  <c r="N23" i="33"/>
  <c r="N17" i="36"/>
  <c r="N23" i="36"/>
  <c r="N23" i="40"/>
  <c r="N23" i="44"/>
  <c r="N17" i="45"/>
  <c r="N23" i="45"/>
  <c r="N17" i="47"/>
  <c r="N23" i="47"/>
  <c r="N17" i="49"/>
  <c r="N23" i="49"/>
  <c r="N23" i="50"/>
  <c r="B17" i="25"/>
  <c r="B17" i="33"/>
  <c r="B17" i="34"/>
  <c r="B17" i="44"/>
  <c r="B17" i="45"/>
  <c r="B17" i="47"/>
  <c r="B17" i="50"/>
  <c r="B18" i="2"/>
  <c r="B18" i="14"/>
  <c r="B18" i="15"/>
  <c r="B18" i="20"/>
  <c r="B18" i="25"/>
  <c r="B18" i="28"/>
  <c r="B18" i="39"/>
  <c r="B18" i="43"/>
  <c r="B18" i="46"/>
  <c r="B18" i="47"/>
  <c r="B18" i="48"/>
  <c r="B18" i="50"/>
  <c r="G10" i="33"/>
  <c r="G10" i="47"/>
  <c r="G10" i="50"/>
  <c r="N10" i="32"/>
  <c r="N10" i="33"/>
  <c r="N10" i="50"/>
  <c r="B6" i="32"/>
  <c r="B8" i="15"/>
  <c r="B8" i="39"/>
  <c r="B8" i="40"/>
  <c r="B8" i="43"/>
  <c r="B9" i="36"/>
  <c r="B10" i="12"/>
  <c r="D23" i="47"/>
  <c r="M45" i="27"/>
  <c r="N45" i="27"/>
  <c r="S38" i="27"/>
  <c r="N35" i="21"/>
  <c r="N35" i="3"/>
  <c r="N35" i="13"/>
  <c r="N35" i="15"/>
  <c r="N35" i="16"/>
  <c r="N35" i="23"/>
  <c r="M35" i="27"/>
  <c r="N35" i="27"/>
  <c r="N35" i="31"/>
  <c r="N35" i="36"/>
  <c r="N35" i="44"/>
  <c r="N37" i="21"/>
  <c r="N33" i="21"/>
  <c r="S41" i="21"/>
  <c r="N34" i="39"/>
  <c r="E39" i="38"/>
  <c r="E42" i="38"/>
  <c r="E32" i="35"/>
  <c r="E39" i="35"/>
  <c r="E42" i="35"/>
  <c r="S30" i="35"/>
  <c r="C39" i="35"/>
  <c r="C42" i="35"/>
  <c r="D39" i="38"/>
  <c r="D39" i="21"/>
  <c r="D39" i="29"/>
  <c r="D39" i="35"/>
  <c r="S43" i="38"/>
  <c r="N41" i="38"/>
  <c r="S39" i="38"/>
  <c r="S40" i="38"/>
  <c r="S41" i="38"/>
  <c r="S42" i="38"/>
  <c r="S44" i="38"/>
  <c r="S45" i="38"/>
  <c r="H39" i="38"/>
  <c r="H42" i="38"/>
  <c r="G42" i="42"/>
  <c r="S27" i="42"/>
  <c r="M45" i="42"/>
  <c r="M42" i="42"/>
  <c r="S26" i="42"/>
  <c r="J42" i="42"/>
  <c r="S28" i="42"/>
  <c r="F42" i="42"/>
  <c r="S29" i="42"/>
  <c r="E39" i="42"/>
  <c r="E42" i="42"/>
  <c r="S30" i="42"/>
  <c r="C42" i="42"/>
  <c r="S31" i="42"/>
  <c r="I42" i="42"/>
  <c r="S32" i="42"/>
  <c r="H42" i="42"/>
  <c r="S33" i="42"/>
  <c r="S34" i="42"/>
  <c r="G42" i="32"/>
  <c r="S27" i="32"/>
  <c r="M45" i="32"/>
  <c r="M42" i="32"/>
  <c r="S26" i="32"/>
  <c r="J42" i="32"/>
  <c r="S28" i="32"/>
  <c r="F23" i="32"/>
  <c r="F42" i="32"/>
  <c r="S29" i="32"/>
  <c r="C32" i="32"/>
  <c r="E32" i="32"/>
  <c r="E39" i="32"/>
  <c r="E23" i="32"/>
  <c r="E42" i="32"/>
  <c r="S30" i="32"/>
  <c r="C42" i="32"/>
  <c r="S31" i="32"/>
  <c r="I42" i="32"/>
  <c r="S32" i="32"/>
  <c r="H42" i="32"/>
  <c r="S33" i="32"/>
  <c r="S34" i="32"/>
  <c r="H39" i="5"/>
  <c r="C32" i="5"/>
  <c r="E32" i="5"/>
  <c r="E39" i="5"/>
  <c r="I48" i="5"/>
  <c r="E32" i="29"/>
  <c r="E39" i="29"/>
  <c r="F39" i="24"/>
  <c r="I39" i="22"/>
  <c r="F31" i="22"/>
  <c r="F39" i="22"/>
  <c r="C31" i="22"/>
  <c r="C39" i="22"/>
  <c r="E39" i="24"/>
  <c r="J47" i="42"/>
  <c r="C32" i="34"/>
  <c r="E32" i="34"/>
  <c r="E39" i="34"/>
  <c r="N37" i="36"/>
  <c r="N33" i="36"/>
  <c r="C32" i="36"/>
  <c r="E32" i="50"/>
  <c r="E39" i="50"/>
  <c r="G42" i="47"/>
  <c r="E32" i="46"/>
  <c r="E39" i="46"/>
  <c r="C39" i="46"/>
  <c r="C32" i="33"/>
  <c r="E32" i="33"/>
  <c r="E39" i="33"/>
  <c r="E39" i="41"/>
  <c r="C39" i="31"/>
  <c r="C35" i="9"/>
  <c r="C32" i="9"/>
  <c r="E32" i="9"/>
  <c r="E39" i="9"/>
  <c r="F39" i="28"/>
  <c r="E39" i="28"/>
  <c r="E32" i="25"/>
  <c r="E39" i="25"/>
  <c r="F39" i="25"/>
  <c r="E32" i="18"/>
  <c r="E39" i="18"/>
  <c r="E32" i="10"/>
  <c r="E39" i="10"/>
  <c r="C39" i="10"/>
  <c r="C32" i="8"/>
  <c r="E32" i="8"/>
  <c r="E39" i="8"/>
  <c r="E32" i="3"/>
  <c r="E39" i="3"/>
  <c r="E32" i="2"/>
  <c r="E39" i="2"/>
  <c r="E42" i="2"/>
  <c r="C32" i="13"/>
  <c r="E32" i="13"/>
  <c r="E39" i="13"/>
  <c r="E42" i="13"/>
  <c r="C10" i="41"/>
  <c r="D23" i="33"/>
  <c r="D10" i="33"/>
  <c r="D23" i="26"/>
  <c r="C32" i="44"/>
  <c r="E32" i="4"/>
  <c r="C32" i="4"/>
  <c r="C32" i="12"/>
  <c r="C32" i="17"/>
  <c r="C31" i="19"/>
  <c r="C32" i="19"/>
  <c r="C31" i="30"/>
  <c r="C32" i="30"/>
  <c r="C31" i="37"/>
  <c r="C32" i="37"/>
  <c r="C32" i="40"/>
  <c r="C31" i="48"/>
  <c r="C32" i="48"/>
  <c r="E39" i="44"/>
  <c r="F48" i="35"/>
  <c r="F49" i="35"/>
  <c r="F50" i="35"/>
  <c r="F51" i="35"/>
  <c r="N37" i="23"/>
  <c r="N33" i="23"/>
  <c r="F31" i="11"/>
  <c r="F31" i="19"/>
  <c r="M34" i="27"/>
  <c r="F34" i="27"/>
  <c r="F31" i="27"/>
  <c r="F31" i="30"/>
  <c r="F31" i="37"/>
  <c r="F31" i="48"/>
  <c r="M31" i="27"/>
  <c r="C39" i="4"/>
  <c r="C39" i="16"/>
  <c r="C39" i="44"/>
  <c r="C39" i="49"/>
  <c r="E32" i="15"/>
  <c r="F32" i="19"/>
  <c r="E32" i="19"/>
  <c r="E32" i="26"/>
  <c r="E32" i="36"/>
  <c r="E32" i="39"/>
  <c r="E32" i="43"/>
  <c r="F32" i="48"/>
  <c r="E32" i="48"/>
  <c r="E39" i="4"/>
  <c r="E39" i="6"/>
  <c r="E39" i="15"/>
  <c r="E39" i="19"/>
  <c r="E39" i="21"/>
  <c r="E39" i="26"/>
  <c r="E39" i="36"/>
  <c r="E39" i="39"/>
  <c r="E39" i="43"/>
  <c r="E39" i="48"/>
  <c r="E39" i="49"/>
  <c r="F32" i="4"/>
  <c r="F32" i="6"/>
  <c r="F32" i="12"/>
  <c r="F32" i="30"/>
  <c r="F32" i="37"/>
  <c r="M33" i="27"/>
  <c r="M37" i="15"/>
  <c r="M37" i="27"/>
  <c r="M38" i="15"/>
  <c r="M38" i="27"/>
  <c r="N31" i="11"/>
  <c r="N31" i="15"/>
  <c r="N31" i="27"/>
  <c r="N33" i="3"/>
  <c r="N33" i="7"/>
  <c r="N33" i="13"/>
  <c r="N33" i="15"/>
  <c r="N33" i="16"/>
  <c r="N33" i="27"/>
  <c r="N33" i="31"/>
  <c r="N33" i="44"/>
  <c r="N34" i="15"/>
  <c r="N37" i="3"/>
  <c r="N37" i="7"/>
  <c r="N37" i="13"/>
  <c r="N37" i="15"/>
  <c r="N37" i="16"/>
  <c r="N37" i="27"/>
  <c r="N37" i="31"/>
  <c r="N37" i="44"/>
  <c r="N38" i="15"/>
  <c r="N38" i="27"/>
  <c r="F39" i="4"/>
  <c r="F39" i="6"/>
  <c r="F39" i="19"/>
  <c r="F39" i="26"/>
  <c r="F39" i="39"/>
  <c r="D23" i="32"/>
  <c r="D23" i="36"/>
  <c r="D23" i="45"/>
  <c r="F23" i="36"/>
  <c r="F23" i="45"/>
  <c r="B10" i="4"/>
  <c r="B10" i="7"/>
  <c r="B10" i="19"/>
  <c r="B10" i="20"/>
  <c r="B10" i="34"/>
  <c r="B10" i="37"/>
  <c r="B10" i="42"/>
  <c r="H39" i="39"/>
  <c r="M45" i="31"/>
  <c r="N45" i="31"/>
  <c r="S38" i="31"/>
  <c r="O33" i="13"/>
  <c r="O35" i="13"/>
  <c r="O31" i="13"/>
  <c r="O32" i="13"/>
  <c r="O34" i="13"/>
  <c r="O38" i="13"/>
  <c r="N27" i="15"/>
  <c r="O32" i="9"/>
  <c r="O31" i="9"/>
  <c r="O33" i="9"/>
  <c r="O34" i="9"/>
  <c r="O35" i="9"/>
  <c r="O38" i="9"/>
  <c r="C41" i="13"/>
  <c r="C41" i="16"/>
  <c r="C41" i="31"/>
  <c r="C41" i="33"/>
  <c r="O31" i="15"/>
  <c r="O31" i="16"/>
  <c r="O32" i="15"/>
  <c r="O32" i="16"/>
  <c r="O33" i="15"/>
  <c r="O33" i="16"/>
  <c r="O34" i="15"/>
  <c r="O34" i="16"/>
  <c r="O35" i="15"/>
  <c r="O35" i="16"/>
  <c r="O38" i="15"/>
  <c r="O38" i="16"/>
  <c r="G41" i="13"/>
  <c r="G41" i="16"/>
  <c r="G41" i="27"/>
  <c r="G41" i="31"/>
  <c r="G41" i="33"/>
  <c r="K41" i="31"/>
  <c r="K41" i="27"/>
  <c r="L41" i="13"/>
  <c r="M41" i="15"/>
  <c r="N41" i="15"/>
  <c r="N41" i="13"/>
  <c r="N41" i="16"/>
  <c r="O41" i="15"/>
  <c r="O41" i="13"/>
  <c r="O41" i="16"/>
  <c r="C42" i="16"/>
  <c r="F42" i="19"/>
  <c r="N41" i="50"/>
  <c r="O41" i="50"/>
  <c r="T39" i="50"/>
  <c r="O35" i="50"/>
  <c r="T40" i="50"/>
  <c r="O33" i="50"/>
  <c r="T41" i="50"/>
  <c r="O31" i="50"/>
  <c r="T42" i="50"/>
  <c r="O32" i="50"/>
  <c r="T43" i="50"/>
  <c r="O34" i="50"/>
  <c r="T44" i="50"/>
  <c r="T45" i="50"/>
  <c r="S39" i="50"/>
  <c r="S40" i="50"/>
  <c r="S41" i="50"/>
  <c r="S42" i="50"/>
  <c r="S43" i="50"/>
  <c r="S44" i="50"/>
  <c r="S45" i="50"/>
  <c r="M45" i="50"/>
  <c r="N45" i="50"/>
  <c r="C42" i="50"/>
  <c r="D42" i="50"/>
  <c r="E42" i="50"/>
  <c r="S30" i="50"/>
  <c r="M42" i="50"/>
  <c r="L42" i="50"/>
  <c r="K42" i="50"/>
  <c r="J42" i="50"/>
  <c r="I42" i="50"/>
  <c r="H42" i="50"/>
  <c r="G42" i="50"/>
  <c r="F42" i="50"/>
  <c r="M41" i="50"/>
  <c r="L41" i="50"/>
  <c r="K41" i="50"/>
  <c r="J41" i="50"/>
  <c r="I41" i="50"/>
  <c r="H41" i="50"/>
  <c r="G41" i="50"/>
  <c r="F41" i="50"/>
  <c r="E41" i="50"/>
  <c r="D41" i="50"/>
  <c r="C41" i="50"/>
  <c r="B41" i="50"/>
  <c r="S38" i="50"/>
  <c r="O38" i="50"/>
  <c r="S26" i="50"/>
  <c r="S27" i="50"/>
  <c r="S28" i="50"/>
  <c r="S29" i="50"/>
  <c r="S31" i="50"/>
  <c r="S32" i="50"/>
  <c r="S33" i="50"/>
  <c r="S34" i="50"/>
  <c r="N41" i="49"/>
  <c r="O41" i="49"/>
  <c r="T39" i="49"/>
  <c r="O35" i="49"/>
  <c r="T40" i="49"/>
  <c r="O33" i="49"/>
  <c r="T41" i="49"/>
  <c r="O31" i="49"/>
  <c r="T42" i="49"/>
  <c r="O32" i="49"/>
  <c r="T43" i="49"/>
  <c r="O34" i="49"/>
  <c r="T44" i="49"/>
  <c r="T45" i="49"/>
  <c r="S39" i="49"/>
  <c r="S40" i="49"/>
  <c r="S41" i="49"/>
  <c r="S42" i="49"/>
  <c r="S43" i="49"/>
  <c r="S44" i="49"/>
  <c r="S45" i="49"/>
  <c r="M45" i="49"/>
  <c r="N45" i="49"/>
  <c r="C42" i="49"/>
  <c r="E42" i="49"/>
  <c r="D42" i="49"/>
  <c r="F42" i="49"/>
  <c r="G42" i="49"/>
  <c r="H42" i="49"/>
  <c r="I42" i="49"/>
  <c r="J42" i="49"/>
  <c r="K42" i="49"/>
  <c r="L42" i="49"/>
  <c r="M42" i="49"/>
  <c r="N42" i="49"/>
  <c r="I43" i="49"/>
  <c r="T32" i="49"/>
  <c r="S27" i="49"/>
  <c r="S26" i="49"/>
  <c r="S28" i="49"/>
  <c r="S29" i="49"/>
  <c r="S30" i="49"/>
  <c r="S31" i="49"/>
  <c r="S32" i="49"/>
  <c r="S33" i="49"/>
  <c r="S34" i="49"/>
  <c r="M41" i="49"/>
  <c r="L41" i="49"/>
  <c r="K41" i="49"/>
  <c r="J41" i="49"/>
  <c r="I41" i="49"/>
  <c r="H41" i="49"/>
  <c r="G41" i="49"/>
  <c r="F41" i="49"/>
  <c r="E41" i="49"/>
  <c r="D41" i="49"/>
  <c r="C41" i="49"/>
  <c r="B41" i="49"/>
  <c r="S38" i="49"/>
  <c r="O38" i="49"/>
  <c r="N41" i="48"/>
  <c r="O41" i="48"/>
  <c r="T39" i="48"/>
  <c r="O35" i="48"/>
  <c r="T40" i="48"/>
  <c r="O33" i="48"/>
  <c r="T41" i="48"/>
  <c r="O31" i="48"/>
  <c r="T42" i="48"/>
  <c r="O32" i="48"/>
  <c r="T43" i="48"/>
  <c r="O34" i="48"/>
  <c r="T44" i="48"/>
  <c r="T45" i="48"/>
  <c r="S39" i="48"/>
  <c r="S40" i="48"/>
  <c r="S41" i="48"/>
  <c r="S42" i="48"/>
  <c r="S43" i="48"/>
  <c r="S44" i="48"/>
  <c r="S45" i="48"/>
  <c r="M45" i="48"/>
  <c r="N45" i="48"/>
  <c r="C42" i="48"/>
  <c r="D42" i="48"/>
  <c r="E42" i="48"/>
  <c r="F42" i="48"/>
  <c r="G42" i="48"/>
  <c r="H42" i="48"/>
  <c r="I42" i="48"/>
  <c r="J42" i="48"/>
  <c r="K42" i="48"/>
  <c r="L42" i="48"/>
  <c r="M42" i="48"/>
  <c r="N42" i="48"/>
  <c r="C43" i="48"/>
  <c r="D43" i="48"/>
  <c r="E43" i="48"/>
  <c r="F43" i="48"/>
  <c r="G43" i="48"/>
  <c r="H43" i="48"/>
  <c r="I43" i="48"/>
  <c r="J43" i="48"/>
  <c r="K43" i="48"/>
  <c r="L43" i="48"/>
  <c r="M43" i="48"/>
  <c r="N43" i="48"/>
  <c r="M41" i="48"/>
  <c r="L41" i="48"/>
  <c r="K41" i="48"/>
  <c r="J41" i="48"/>
  <c r="I41" i="48"/>
  <c r="H41" i="48"/>
  <c r="G41" i="48"/>
  <c r="F41" i="48"/>
  <c r="E41" i="48"/>
  <c r="D41" i="48"/>
  <c r="C41" i="48"/>
  <c r="B41" i="48"/>
  <c r="S38" i="48"/>
  <c r="O38" i="48"/>
  <c r="T26" i="48"/>
  <c r="T27" i="48"/>
  <c r="T28" i="48"/>
  <c r="T29" i="48"/>
  <c r="T30" i="48"/>
  <c r="T31" i="48"/>
  <c r="T32" i="48"/>
  <c r="T33" i="48"/>
  <c r="T34" i="48"/>
  <c r="S26" i="48"/>
  <c r="S27" i="48"/>
  <c r="S30" i="48"/>
  <c r="S28" i="48"/>
  <c r="S29" i="48"/>
  <c r="S31" i="48"/>
  <c r="S32" i="48"/>
  <c r="S33" i="48"/>
  <c r="S34" i="48"/>
  <c r="S23" i="48"/>
  <c r="N41" i="47"/>
  <c r="O41" i="47"/>
  <c r="T39" i="47"/>
  <c r="O35" i="47"/>
  <c r="T40" i="47"/>
  <c r="O33" i="47"/>
  <c r="T41" i="47"/>
  <c r="O31" i="47"/>
  <c r="T42" i="47"/>
  <c r="O32" i="47"/>
  <c r="T43" i="47"/>
  <c r="O34" i="47"/>
  <c r="T44" i="47"/>
  <c r="T45" i="47"/>
  <c r="S39" i="47"/>
  <c r="S40" i="47"/>
  <c r="S41" i="47"/>
  <c r="S42" i="47"/>
  <c r="S43" i="47"/>
  <c r="S44" i="47"/>
  <c r="S45" i="47"/>
  <c r="M45" i="47"/>
  <c r="N45" i="47"/>
  <c r="C42" i="47"/>
  <c r="S31" i="47"/>
  <c r="D42" i="47"/>
  <c r="M42" i="47"/>
  <c r="L42" i="47"/>
  <c r="K42" i="47"/>
  <c r="J42" i="47"/>
  <c r="I42" i="47"/>
  <c r="H42" i="47"/>
  <c r="F42" i="47"/>
  <c r="E42" i="47"/>
  <c r="M41" i="47"/>
  <c r="L41" i="47"/>
  <c r="K41" i="47"/>
  <c r="J41" i="47"/>
  <c r="I41" i="47"/>
  <c r="H41" i="47"/>
  <c r="G41" i="47"/>
  <c r="F41" i="47"/>
  <c r="E41" i="47"/>
  <c r="D41" i="47"/>
  <c r="C41" i="47"/>
  <c r="B41" i="47"/>
  <c r="S38" i="47"/>
  <c r="O38" i="47"/>
  <c r="S26" i="47"/>
  <c r="S33" i="47"/>
  <c r="S32" i="47"/>
  <c r="S30" i="47"/>
  <c r="S29" i="47"/>
  <c r="S28" i="47"/>
  <c r="N41" i="46"/>
  <c r="O41" i="46"/>
  <c r="T39" i="46"/>
  <c r="O35" i="46"/>
  <c r="T40" i="46"/>
  <c r="O33" i="46"/>
  <c r="T41" i="46"/>
  <c r="O31" i="46"/>
  <c r="T42" i="46"/>
  <c r="O32" i="46"/>
  <c r="T43" i="46"/>
  <c r="O34" i="46"/>
  <c r="T44" i="46"/>
  <c r="T45" i="46"/>
  <c r="S39" i="46"/>
  <c r="S40" i="46"/>
  <c r="S41" i="46"/>
  <c r="S42" i="46"/>
  <c r="S43" i="46"/>
  <c r="S44" i="46"/>
  <c r="S45" i="46"/>
  <c r="M45" i="46"/>
  <c r="N45" i="46"/>
  <c r="C42" i="46"/>
  <c r="M42" i="46"/>
  <c r="L42" i="46"/>
  <c r="K42" i="46"/>
  <c r="J42" i="46"/>
  <c r="I42" i="46"/>
  <c r="H42" i="46"/>
  <c r="G42" i="46"/>
  <c r="S27" i="46"/>
  <c r="S26" i="46"/>
  <c r="S28" i="46"/>
  <c r="F42" i="46"/>
  <c r="S29" i="46"/>
  <c r="E42" i="46"/>
  <c r="S30" i="46"/>
  <c r="S31" i="46"/>
  <c r="S32" i="46"/>
  <c r="S33" i="46"/>
  <c r="S34" i="46"/>
  <c r="D42" i="46"/>
  <c r="M41" i="46"/>
  <c r="L41" i="46"/>
  <c r="K41" i="46"/>
  <c r="J41" i="46"/>
  <c r="I41" i="46"/>
  <c r="H41" i="46"/>
  <c r="G41" i="46"/>
  <c r="F41" i="46"/>
  <c r="E41" i="46"/>
  <c r="D41" i="46"/>
  <c r="C41" i="46"/>
  <c r="B41" i="46"/>
  <c r="S38" i="46"/>
  <c r="O38" i="46"/>
  <c r="N41" i="45"/>
  <c r="O41" i="45"/>
  <c r="T39" i="45"/>
  <c r="O35" i="45"/>
  <c r="T40" i="45"/>
  <c r="O33" i="45"/>
  <c r="T41" i="45"/>
  <c r="O31" i="45"/>
  <c r="T42" i="45"/>
  <c r="O32" i="45"/>
  <c r="T43" i="45"/>
  <c r="O34" i="45"/>
  <c r="T44" i="45"/>
  <c r="T45" i="45"/>
  <c r="S39" i="45"/>
  <c r="S40" i="45"/>
  <c r="S41" i="45"/>
  <c r="S42" i="45"/>
  <c r="S43" i="45"/>
  <c r="S44" i="45"/>
  <c r="S45" i="45"/>
  <c r="M45" i="45"/>
  <c r="N45" i="45"/>
  <c r="S38" i="45"/>
  <c r="C42" i="45"/>
  <c r="D42" i="45"/>
  <c r="E42" i="45"/>
  <c r="F42" i="45"/>
  <c r="S29" i="45"/>
  <c r="G42" i="45"/>
  <c r="S27" i="45"/>
  <c r="M42" i="45"/>
  <c r="S26" i="45"/>
  <c r="J42" i="45"/>
  <c r="S28" i="45"/>
  <c r="S30" i="45"/>
  <c r="S31" i="45"/>
  <c r="I42" i="45"/>
  <c r="S32" i="45"/>
  <c r="H42" i="45"/>
  <c r="S33" i="45"/>
  <c r="S34" i="45"/>
  <c r="K42" i="45"/>
  <c r="L42" i="45"/>
  <c r="M41" i="45"/>
  <c r="L41" i="45"/>
  <c r="K41" i="45"/>
  <c r="J41" i="45"/>
  <c r="I41" i="45"/>
  <c r="H41" i="45"/>
  <c r="G41" i="45"/>
  <c r="F41" i="45"/>
  <c r="E41" i="45"/>
  <c r="D41" i="45"/>
  <c r="C41" i="45"/>
  <c r="B41" i="45"/>
  <c r="O38" i="45"/>
  <c r="N41" i="44"/>
  <c r="O41" i="44"/>
  <c r="T39" i="44"/>
  <c r="O35" i="44"/>
  <c r="T40" i="44"/>
  <c r="O33" i="44"/>
  <c r="T41" i="44"/>
  <c r="O31" i="44"/>
  <c r="T42" i="44"/>
  <c r="O32" i="44"/>
  <c r="T43" i="44"/>
  <c r="O34" i="44"/>
  <c r="T44" i="44"/>
  <c r="T45" i="44"/>
  <c r="S39" i="44"/>
  <c r="S40" i="44"/>
  <c r="S41" i="44"/>
  <c r="S42" i="44"/>
  <c r="S43" i="44"/>
  <c r="S44" i="44"/>
  <c r="S45" i="44"/>
  <c r="M45" i="44"/>
  <c r="N45" i="44"/>
  <c r="M42" i="44"/>
  <c r="L42" i="44"/>
  <c r="K42" i="44"/>
  <c r="C42" i="44"/>
  <c r="D42" i="44"/>
  <c r="E42" i="44"/>
  <c r="F42" i="44"/>
  <c r="G42" i="44"/>
  <c r="H42" i="44"/>
  <c r="I42" i="44"/>
  <c r="J42" i="44"/>
  <c r="N42" i="44"/>
  <c r="K43" i="44"/>
  <c r="M41" i="44"/>
  <c r="L41" i="44"/>
  <c r="K41" i="44"/>
  <c r="J41" i="44"/>
  <c r="I41" i="44"/>
  <c r="H41" i="44"/>
  <c r="G41" i="44"/>
  <c r="F41" i="44"/>
  <c r="E41" i="44"/>
  <c r="D41" i="44"/>
  <c r="C41" i="44"/>
  <c r="B41" i="44"/>
  <c r="S38" i="44"/>
  <c r="O38" i="44"/>
  <c r="S26" i="44"/>
  <c r="S27" i="44"/>
  <c r="S28" i="44"/>
  <c r="S29" i="44"/>
  <c r="S32" i="44"/>
  <c r="S33" i="44"/>
  <c r="N41" i="43"/>
  <c r="O41" i="43"/>
  <c r="T39" i="43"/>
  <c r="O35" i="43"/>
  <c r="T40" i="43"/>
  <c r="O33" i="43"/>
  <c r="T41" i="43"/>
  <c r="O31" i="43"/>
  <c r="T42" i="43"/>
  <c r="O32" i="43"/>
  <c r="T43" i="43"/>
  <c r="O34" i="43"/>
  <c r="T44" i="43"/>
  <c r="T45" i="43"/>
  <c r="S39" i="43"/>
  <c r="S40" i="43"/>
  <c r="S41" i="43"/>
  <c r="S42" i="43"/>
  <c r="S43" i="43"/>
  <c r="S44" i="43"/>
  <c r="S45" i="43"/>
  <c r="M45" i="43"/>
  <c r="N45" i="43"/>
  <c r="C42" i="43"/>
  <c r="D42" i="43"/>
  <c r="E42" i="43"/>
  <c r="F42" i="43"/>
  <c r="G42" i="43"/>
  <c r="H42" i="43"/>
  <c r="I42" i="43"/>
  <c r="J42" i="43"/>
  <c r="K42" i="43"/>
  <c r="L42" i="43"/>
  <c r="M42" i="43"/>
  <c r="N42" i="43"/>
  <c r="C43" i="43"/>
  <c r="D43" i="43"/>
  <c r="E43" i="43"/>
  <c r="F43" i="43"/>
  <c r="G43" i="43"/>
  <c r="H43" i="43"/>
  <c r="I43" i="43"/>
  <c r="J43" i="43"/>
  <c r="K43" i="43"/>
  <c r="L43" i="43"/>
  <c r="M43" i="43"/>
  <c r="N43" i="43"/>
  <c r="M41" i="43"/>
  <c r="L41" i="43"/>
  <c r="K41" i="43"/>
  <c r="J41" i="43"/>
  <c r="I41" i="43"/>
  <c r="H41" i="43"/>
  <c r="G41" i="43"/>
  <c r="F41" i="43"/>
  <c r="E41" i="43"/>
  <c r="D41" i="43"/>
  <c r="C41" i="43"/>
  <c r="B41" i="43"/>
  <c r="S38" i="43"/>
  <c r="O38" i="43"/>
  <c r="T26" i="43"/>
  <c r="T27" i="43"/>
  <c r="T28" i="43"/>
  <c r="T29" i="43"/>
  <c r="T30" i="43"/>
  <c r="T31" i="43"/>
  <c r="T32" i="43"/>
  <c r="T33" i="43"/>
  <c r="T34" i="43"/>
  <c r="S26" i="43"/>
  <c r="S27" i="43"/>
  <c r="S30" i="43"/>
  <c r="S28" i="43"/>
  <c r="S29" i="43"/>
  <c r="S31" i="43"/>
  <c r="S32" i="43"/>
  <c r="S33" i="43"/>
  <c r="S34" i="43"/>
  <c r="S23" i="43"/>
  <c r="N41" i="42"/>
  <c r="O41" i="42"/>
  <c r="T39" i="42"/>
  <c r="O35" i="42"/>
  <c r="T40" i="42"/>
  <c r="O33" i="42"/>
  <c r="T41" i="42"/>
  <c r="O31" i="42"/>
  <c r="T42" i="42"/>
  <c r="O32" i="42"/>
  <c r="T43" i="42"/>
  <c r="O34" i="42"/>
  <c r="T44" i="42"/>
  <c r="T45" i="42"/>
  <c r="S39" i="42"/>
  <c r="S40" i="42"/>
  <c r="S41" i="42"/>
  <c r="S42" i="42"/>
  <c r="S43" i="42"/>
  <c r="S44" i="42"/>
  <c r="S45" i="42"/>
  <c r="N45" i="42"/>
  <c r="D42" i="42"/>
  <c r="L42" i="42"/>
  <c r="K42" i="42"/>
  <c r="M41" i="42"/>
  <c r="L41" i="42"/>
  <c r="K41" i="42"/>
  <c r="J41" i="42"/>
  <c r="I41" i="42"/>
  <c r="H41" i="42"/>
  <c r="G41" i="42"/>
  <c r="F41" i="42"/>
  <c r="E41" i="42"/>
  <c r="D41" i="42"/>
  <c r="C41" i="42"/>
  <c r="B41" i="42"/>
  <c r="S38" i="42"/>
  <c r="O38" i="42"/>
  <c r="N41" i="41"/>
  <c r="O41" i="41"/>
  <c r="T39" i="41"/>
  <c r="O35" i="41"/>
  <c r="T40" i="41"/>
  <c r="O33" i="41"/>
  <c r="T41" i="41"/>
  <c r="O31" i="41"/>
  <c r="T42" i="41"/>
  <c r="O32" i="41"/>
  <c r="T43" i="41"/>
  <c r="O34" i="41"/>
  <c r="T44" i="41"/>
  <c r="T45" i="41"/>
  <c r="S39" i="41"/>
  <c r="S40" i="41"/>
  <c r="S41" i="41"/>
  <c r="S42" i="41"/>
  <c r="S43" i="41"/>
  <c r="S44" i="41"/>
  <c r="S45" i="41"/>
  <c r="M45" i="41"/>
  <c r="N45" i="41"/>
  <c r="C42" i="41"/>
  <c r="S31" i="41"/>
  <c r="D42" i="41"/>
  <c r="D42" i="21"/>
  <c r="E42" i="41"/>
  <c r="S30" i="41"/>
  <c r="M42" i="41"/>
  <c r="L42" i="41"/>
  <c r="K42" i="41"/>
  <c r="J42" i="41"/>
  <c r="I42" i="41"/>
  <c r="H42" i="41"/>
  <c r="F42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S38" i="41"/>
  <c r="O38" i="41"/>
  <c r="S26" i="41"/>
  <c r="S33" i="41"/>
  <c r="S32" i="41"/>
  <c r="S29" i="41"/>
  <c r="S28" i="41"/>
  <c r="N41" i="40"/>
  <c r="O41" i="40"/>
  <c r="T39" i="40"/>
  <c r="O35" i="40"/>
  <c r="T40" i="40"/>
  <c r="O33" i="40"/>
  <c r="T41" i="40"/>
  <c r="O31" i="40"/>
  <c r="T42" i="40"/>
  <c r="O32" i="40"/>
  <c r="T43" i="40"/>
  <c r="O34" i="40"/>
  <c r="T44" i="40"/>
  <c r="T45" i="40"/>
  <c r="S39" i="40"/>
  <c r="S40" i="40"/>
  <c r="S41" i="40"/>
  <c r="S42" i="40"/>
  <c r="S43" i="40"/>
  <c r="S44" i="40"/>
  <c r="S45" i="40"/>
  <c r="M45" i="40"/>
  <c r="N45" i="40"/>
  <c r="S38" i="40"/>
  <c r="C42" i="40"/>
  <c r="D42" i="40"/>
  <c r="E42" i="40"/>
  <c r="F42" i="40"/>
  <c r="G42" i="40"/>
  <c r="H42" i="40"/>
  <c r="I42" i="40"/>
  <c r="J42" i="40"/>
  <c r="K42" i="40"/>
  <c r="L42" i="40"/>
  <c r="M42" i="40"/>
  <c r="N42" i="40"/>
  <c r="I43" i="40"/>
  <c r="T32" i="40"/>
  <c r="D43" i="40"/>
  <c r="E43" i="40"/>
  <c r="T30" i="40"/>
  <c r="F43" i="40"/>
  <c r="T29" i="40"/>
  <c r="G43" i="40"/>
  <c r="J43" i="40"/>
  <c r="L43" i="40"/>
  <c r="M43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O38" i="40"/>
  <c r="T26" i="40"/>
  <c r="T27" i="40"/>
  <c r="T28" i="40"/>
  <c r="S26" i="40"/>
  <c r="S27" i="40"/>
  <c r="S28" i="40"/>
  <c r="S29" i="40"/>
  <c r="S30" i="40"/>
  <c r="S31" i="40"/>
  <c r="S32" i="40"/>
  <c r="S33" i="40"/>
  <c r="S34" i="40"/>
  <c r="S23" i="40"/>
  <c r="N41" i="39"/>
  <c r="O41" i="39"/>
  <c r="T39" i="39"/>
  <c r="O35" i="39"/>
  <c r="T40" i="39"/>
  <c r="O33" i="39"/>
  <c r="T41" i="39"/>
  <c r="O31" i="39"/>
  <c r="T42" i="39"/>
  <c r="O32" i="39"/>
  <c r="T43" i="39"/>
  <c r="O34" i="39"/>
  <c r="T44" i="39"/>
  <c r="T45" i="39"/>
  <c r="S39" i="39"/>
  <c r="S40" i="39"/>
  <c r="S41" i="39"/>
  <c r="S42" i="39"/>
  <c r="S43" i="39"/>
  <c r="S44" i="39"/>
  <c r="S45" i="39"/>
  <c r="M45" i="39"/>
  <c r="N45" i="39"/>
  <c r="C42" i="39"/>
  <c r="D42" i="39"/>
  <c r="E42" i="39"/>
  <c r="F42" i="39"/>
  <c r="M42" i="39"/>
  <c r="L42" i="39"/>
  <c r="K42" i="39"/>
  <c r="J42" i="39"/>
  <c r="I42" i="39"/>
  <c r="H42" i="39"/>
  <c r="G42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S38" i="39"/>
  <c r="O38" i="39"/>
  <c r="S26" i="39"/>
  <c r="S27" i="39"/>
  <c r="S28" i="39"/>
  <c r="S29" i="39"/>
  <c r="S33" i="39"/>
  <c r="S32" i="39"/>
  <c r="S31" i="39"/>
  <c r="M45" i="38"/>
  <c r="N45" i="38"/>
  <c r="C42" i="38"/>
  <c r="D42" i="38"/>
  <c r="M42" i="38"/>
  <c r="L42" i="38"/>
  <c r="K42" i="38"/>
  <c r="J42" i="38"/>
  <c r="I42" i="38"/>
  <c r="G42" i="38"/>
  <c r="F42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S38" i="38"/>
  <c r="S26" i="38"/>
  <c r="S27" i="38"/>
  <c r="S28" i="38"/>
  <c r="S29" i="38"/>
  <c r="S31" i="38"/>
  <c r="S32" i="38"/>
  <c r="N41" i="37"/>
  <c r="O41" i="37"/>
  <c r="T39" i="37"/>
  <c r="O35" i="37"/>
  <c r="T40" i="37"/>
  <c r="O33" i="37"/>
  <c r="T41" i="37"/>
  <c r="O31" i="37"/>
  <c r="T42" i="37"/>
  <c r="O32" i="37"/>
  <c r="T43" i="37"/>
  <c r="O34" i="37"/>
  <c r="T44" i="37"/>
  <c r="T45" i="37"/>
  <c r="S39" i="37"/>
  <c r="S40" i="37"/>
  <c r="S41" i="37"/>
  <c r="S42" i="37"/>
  <c r="S43" i="37"/>
  <c r="S44" i="37"/>
  <c r="S45" i="37"/>
  <c r="M45" i="37"/>
  <c r="N45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S38" i="37"/>
  <c r="O38" i="37"/>
  <c r="T26" i="37"/>
  <c r="T27" i="37"/>
  <c r="T28" i="37"/>
  <c r="T29" i="37"/>
  <c r="T30" i="37"/>
  <c r="T31" i="37"/>
  <c r="T32" i="37"/>
  <c r="T33" i="37"/>
  <c r="T34" i="37"/>
  <c r="S26" i="37"/>
  <c r="S27" i="37"/>
  <c r="S28" i="37"/>
  <c r="S29" i="37"/>
  <c r="S30" i="37"/>
  <c r="S31" i="37"/>
  <c r="S32" i="37"/>
  <c r="S33" i="37"/>
  <c r="S34" i="37"/>
  <c r="S23" i="37"/>
  <c r="N41" i="36"/>
  <c r="S39" i="36"/>
  <c r="M45" i="36"/>
  <c r="O34" i="36"/>
  <c r="T44" i="36"/>
  <c r="S44" i="36"/>
  <c r="C42" i="36"/>
  <c r="M42" i="36"/>
  <c r="L42" i="36"/>
  <c r="K42" i="36"/>
  <c r="J42" i="36"/>
  <c r="I42" i="36"/>
  <c r="H42" i="36"/>
  <c r="G42" i="36"/>
  <c r="S27" i="36"/>
  <c r="F42" i="36"/>
  <c r="D42" i="36"/>
  <c r="O31" i="36"/>
  <c r="T42" i="36"/>
  <c r="S42" i="36"/>
  <c r="O33" i="36"/>
  <c r="T41" i="36"/>
  <c r="S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O35" i="36"/>
  <c r="S40" i="36"/>
  <c r="S26" i="36"/>
  <c r="S33" i="36"/>
  <c r="S32" i="36"/>
  <c r="S29" i="36"/>
  <c r="S28" i="36"/>
  <c r="N41" i="35"/>
  <c r="O41" i="35"/>
  <c r="T39" i="35"/>
  <c r="O35" i="35"/>
  <c r="T40" i="35"/>
  <c r="O33" i="35"/>
  <c r="T41" i="35"/>
  <c r="O31" i="35"/>
  <c r="T42" i="35"/>
  <c r="O32" i="35"/>
  <c r="T43" i="35"/>
  <c r="O34" i="35"/>
  <c r="T44" i="35"/>
  <c r="T45" i="35"/>
  <c r="S39" i="35"/>
  <c r="S40" i="35"/>
  <c r="S41" i="35"/>
  <c r="S42" i="35"/>
  <c r="S43" i="35"/>
  <c r="S44" i="35"/>
  <c r="S45" i="35"/>
  <c r="M45" i="35"/>
  <c r="N45" i="35"/>
  <c r="M42" i="35"/>
  <c r="L42" i="35"/>
  <c r="K42" i="35"/>
  <c r="J42" i="35"/>
  <c r="I42" i="35"/>
  <c r="H42" i="35"/>
  <c r="G42" i="35"/>
  <c r="F42" i="35"/>
  <c r="D42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S38" i="35"/>
  <c r="O38" i="35"/>
  <c r="S26" i="35"/>
  <c r="S27" i="35"/>
  <c r="S28" i="35"/>
  <c r="S29" i="35"/>
  <c r="S31" i="35"/>
  <c r="S32" i="35"/>
  <c r="S33" i="35"/>
  <c r="S34" i="35"/>
  <c r="N41" i="34"/>
  <c r="O41" i="34"/>
  <c r="T39" i="34"/>
  <c r="O35" i="34"/>
  <c r="T40" i="34"/>
  <c r="O33" i="34"/>
  <c r="T41" i="34"/>
  <c r="O31" i="34"/>
  <c r="T42" i="34"/>
  <c r="O32" i="34"/>
  <c r="T43" i="34"/>
  <c r="O34" i="34"/>
  <c r="T44" i="34"/>
  <c r="T45" i="34"/>
  <c r="S39" i="34"/>
  <c r="S40" i="34"/>
  <c r="S41" i="34"/>
  <c r="S42" i="34"/>
  <c r="S43" i="34"/>
  <c r="S44" i="34"/>
  <c r="S45" i="34"/>
  <c r="M45" i="34"/>
  <c r="N45" i="34"/>
  <c r="S38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O38" i="34"/>
  <c r="S26" i="34"/>
  <c r="S33" i="34"/>
  <c r="S32" i="34"/>
  <c r="S31" i="34"/>
  <c r="S29" i="34"/>
  <c r="S28" i="34"/>
  <c r="N41" i="33"/>
  <c r="O41" i="33"/>
  <c r="T39" i="33"/>
  <c r="O35" i="33"/>
  <c r="T40" i="33"/>
  <c r="O33" i="33"/>
  <c r="T41" i="33"/>
  <c r="O31" i="33"/>
  <c r="T42" i="33"/>
  <c r="O32" i="33"/>
  <c r="T43" i="33"/>
  <c r="O34" i="33"/>
  <c r="T44" i="33"/>
  <c r="T45" i="33"/>
  <c r="S39" i="33"/>
  <c r="S40" i="33"/>
  <c r="S41" i="33"/>
  <c r="S42" i="33"/>
  <c r="S43" i="33"/>
  <c r="S44" i="33"/>
  <c r="S45" i="33"/>
  <c r="M45" i="33"/>
  <c r="N45" i="33"/>
  <c r="C42" i="33"/>
  <c r="D42" i="33"/>
  <c r="E42" i="33"/>
  <c r="M42" i="33"/>
  <c r="L42" i="33"/>
  <c r="K42" i="33"/>
  <c r="J42" i="33"/>
  <c r="S28" i="33"/>
  <c r="I42" i="33"/>
  <c r="H42" i="33"/>
  <c r="F42" i="33"/>
  <c r="M41" i="33"/>
  <c r="L41" i="33"/>
  <c r="K41" i="33"/>
  <c r="J41" i="33"/>
  <c r="I41" i="33"/>
  <c r="H41" i="33"/>
  <c r="F41" i="33"/>
  <c r="E41" i="33"/>
  <c r="D41" i="33"/>
  <c r="B41" i="33"/>
  <c r="S38" i="33"/>
  <c r="O38" i="33"/>
  <c r="S26" i="33"/>
  <c r="S33" i="33"/>
  <c r="S32" i="33"/>
  <c r="S31" i="33"/>
  <c r="S30" i="33"/>
  <c r="S29" i="33"/>
  <c r="N41" i="32"/>
  <c r="O41" i="32"/>
  <c r="T39" i="32"/>
  <c r="O35" i="32"/>
  <c r="T40" i="32"/>
  <c r="O33" i="32"/>
  <c r="T41" i="32"/>
  <c r="O31" i="32"/>
  <c r="T42" i="32"/>
  <c r="O32" i="32"/>
  <c r="T43" i="32"/>
  <c r="O34" i="32"/>
  <c r="T44" i="32"/>
  <c r="T45" i="32"/>
  <c r="S39" i="32"/>
  <c r="S40" i="32"/>
  <c r="S41" i="32"/>
  <c r="S42" i="32"/>
  <c r="S43" i="32"/>
  <c r="S44" i="32"/>
  <c r="S45" i="32"/>
  <c r="D42" i="32"/>
  <c r="L42" i="32"/>
  <c r="K42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O38" i="32"/>
  <c r="N41" i="31"/>
  <c r="O41" i="31"/>
  <c r="T39" i="31"/>
  <c r="O35" i="31"/>
  <c r="T40" i="31"/>
  <c r="O33" i="31"/>
  <c r="T41" i="31"/>
  <c r="O31" i="31"/>
  <c r="T42" i="31"/>
  <c r="O32" i="31"/>
  <c r="T43" i="31"/>
  <c r="O34" i="31"/>
  <c r="T44" i="31"/>
  <c r="T45" i="31"/>
  <c r="S39" i="31"/>
  <c r="S40" i="31"/>
  <c r="S41" i="31"/>
  <c r="S42" i="31"/>
  <c r="S43" i="31"/>
  <c r="S44" i="31"/>
  <c r="S45" i="31"/>
  <c r="C42" i="31"/>
  <c r="S31" i="31"/>
  <c r="M42" i="31"/>
  <c r="L42" i="31"/>
  <c r="K42" i="31"/>
  <c r="J42" i="31"/>
  <c r="I42" i="31"/>
  <c r="H42" i="31"/>
  <c r="G42" i="31"/>
  <c r="F42" i="31"/>
  <c r="E42" i="31"/>
  <c r="D42" i="31"/>
  <c r="M41" i="31"/>
  <c r="L41" i="31"/>
  <c r="J41" i="31"/>
  <c r="I41" i="31"/>
  <c r="H41" i="31"/>
  <c r="F41" i="31"/>
  <c r="E41" i="31"/>
  <c r="D41" i="31"/>
  <c r="B41" i="31"/>
  <c r="O38" i="31"/>
  <c r="S26" i="31"/>
  <c r="S27" i="31"/>
  <c r="S28" i="31"/>
  <c r="S29" i="31"/>
  <c r="S30" i="31"/>
  <c r="S32" i="31"/>
  <c r="S33" i="31"/>
  <c r="S34" i="31"/>
  <c r="N41" i="30"/>
  <c r="O41" i="30"/>
  <c r="T39" i="30"/>
  <c r="O35" i="30"/>
  <c r="T40" i="30"/>
  <c r="O33" i="30"/>
  <c r="T41" i="30"/>
  <c r="O31" i="30"/>
  <c r="T42" i="30"/>
  <c r="O32" i="30"/>
  <c r="T43" i="30"/>
  <c r="O34" i="30"/>
  <c r="T44" i="30"/>
  <c r="S40" i="30"/>
  <c r="S41" i="30"/>
  <c r="S42" i="30"/>
  <c r="S43" i="30"/>
  <c r="S44" i="30"/>
  <c r="M45" i="30"/>
  <c r="N45" i="30"/>
  <c r="S38" i="30"/>
  <c r="C42" i="30"/>
  <c r="D42" i="30"/>
  <c r="E42" i="30"/>
  <c r="F42" i="30"/>
  <c r="G42" i="30"/>
  <c r="H42" i="30"/>
  <c r="I42" i="30"/>
  <c r="J42" i="30"/>
  <c r="K42" i="30"/>
  <c r="L42" i="30"/>
  <c r="M42" i="30"/>
  <c r="N42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T26" i="30"/>
  <c r="T27" i="30"/>
  <c r="T28" i="30"/>
  <c r="T29" i="30"/>
  <c r="T30" i="30"/>
  <c r="T31" i="30"/>
  <c r="T32" i="30"/>
  <c r="T33" i="30"/>
  <c r="T34" i="30"/>
  <c r="S26" i="30"/>
  <c r="S27" i="30"/>
  <c r="S28" i="30"/>
  <c r="S29" i="30"/>
  <c r="S30" i="30"/>
  <c r="S31" i="30"/>
  <c r="S32" i="30"/>
  <c r="S33" i="30"/>
  <c r="S34" i="30"/>
  <c r="S23" i="30"/>
  <c r="N41" i="29"/>
  <c r="O41" i="29"/>
  <c r="T39" i="29"/>
  <c r="O35" i="29"/>
  <c r="T40" i="29"/>
  <c r="O33" i="29"/>
  <c r="T41" i="29"/>
  <c r="O31" i="29"/>
  <c r="T42" i="29"/>
  <c r="O32" i="29"/>
  <c r="T43" i="29"/>
  <c r="O34" i="29"/>
  <c r="T44" i="29"/>
  <c r="T45" i="29"/>
  <c r="S39" i="29"/>
  <c r="S40" i="29"/>
  <c r="S41" i="29"/>
  <c r="S42" i="29"/>
  <c r="S43" i="29"/>
  <c r="S44" i="29"/>
  <c r="S45" i="29"/>
  <c r="M45" i="29"/>
  <c r="N45" i="29"/>
  <c r="S38" i="29"/>
  <c r="C42" i="29"/>
  <c r="D42" i="29"/>
  <c r="M42" i="29"/>
  <c r="L42" i="29"/>
  <c r="K42" i="29"/>
  <c r="J42" i="29"/>
  <c r="I42" i="29"/>
  <c r="S32" i="29"/>
  <c r="H42" i="29"/>
  <c r="G42" i="29"/>
  <c r="S27" i="29"/>
  <c r="S26" i="29"/>
  <c r="S28" i="29"/>
  <c r="F42" i="29"/>
  <c r="S29" i="29"/>
  <c r="E42" i="29"/>
  <c r="S30" i="29"/>
  <c r="S31" i="29"/>
  <c r="S33" i="29"/>
  <c r="S34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O38" i="29"/>
  <c r="N41" i="28"/>
  <c r="O41" i="28"/>
  <c r="T39" i="28"/>
  <c r="O35" i="28"/>
  <c r="T40" i="28"/>
  <c r="O33" i="28"/>
  <c r="T41" i="28"/>
  <c r="O31" i="28"/>
  <c r="T42" i="28"/>
  <c r="O32" i="28"/>
  <c r="T43" i="28"/>
  <c r="O34" i="28"/>
  <c r="T44" i="28"/>
  <c r="T45" i="28"/>
  <c r="S39" i="28"/>
  <c r="S40" i="28"/>
  <c r="S41" i="28"/>
  <c r="S42" i="28"/>
  <c r="S43" i="28"/>
  <c r="S44" i="28"/>
  <c r="S45" i="28"/>
  <c r="M45" i="28"/>
  <c r="N45" i="28"/>
  <c r="C42" i="28"/>
  <c r="D42" i="28"/>
  <c r="E42" i="28"/>
  <c r="S30" i="28"/>
  <c r="M42" i="28"/>
  <c r="L42" i="28"/>
  <c r="K42" i="28"/>
  <c r="J42" i="28"/>
  <c r="I42" i="28"/>
  <c r="H42" i="28"/>
  <c r="G42" i="28"/>
  <c r="F42" i="28"/>
  <c r="S29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S38" i="28"/>
  <c r="O38" i="28"/>
  <c r="S26" i="28"/>
  <c r="S27" i="28"/>
  <c r="S33" i="28"/>
  <c r="S32" i="28"/>
  <c r="S31" i="28"/>
  <c r="S28" i="28"/>
  <c r="S44" i="27"/>
  <c r="C42" i="27"/>
  <c r="K42" i="27"/>
  <c r="M42" i="27"/>
  <c r="L42" i="27"/>
  <c r="J42" i="27"/>
  <c r="I42" i="27"/>
  <c r="H42" i="27"/>
  <c r="G42" i="27"/>
  <c r="S27" i="27"/>
  <c r="F42" i="27"/>
  <c r="D42" i="27"/>
  <c r="L41" i="27"/>
  <c r="J41" i="27"/>
  <c r="I41" i="27"/>
  <c r="H41" i="27"/>
  <c r="F41" i="27"/>
  <c r="E41" i="27"/>
  <c r="D41" i="27"/>
  <c r="C41" i="27"/>
  <c r="B41" i="27"/>
  <c r="S26" i="27"/>
  <c r="S33" i="27"/>
  <c r="S32" i="27"/>
  <c r="S31" i="27"/>
  <c r="S29" i="27"/>
  <c r="S28" i="27"/>
  <c r="N41" i="26"/>
  <c r="O41" i="26"/>
  <c r="T39" i="26"/>
  <c r="O35" i="26"/>
  <c r="T40" i="26"/>
  <c r="O33" i="26"/>
  <c r="T41" i="26"/>
  <c r="O31" i="26"/>
  <c r="T42" i="26"/>
  <c r="O32" i="26"/>
  <c r="T43" i="26"/>
  <c r="O34" i="26"/>
  <c r="T44" i="26"/>
  <c r="T45" i="26"/>
  <c r="S39" i="26"/>
  <c r="S40" i="26"/>
  <c r="S41" i="26"/>
  <c r="S42" i="26"/>
  <c r="S43" i="26"/>
  <c r="S44" i="26"/>
  <c r="S45" i="26"/>
  <c r="M45" i="26"/>
  <c r="N45" i="26"/>
  <c r="C42" i="26"/>
  <c r="D42" i="26"/>
  <c r="E42" i="26"/>
  <c r="F42" i="26"/>
  <c r="G42" i="26"/>
  <c r="M42" i="26"/>
  <c r="L42" i="26"/>
  <c r="K42" i="26"/>
  <c r="J42" i="26"/>
  <c r="I42" i="26"/>
  <c r="H42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S38" i="26"/>
  <c r="O38" i="26"/>
  <c r="S26" i="26"/>
  <c r="S33" i="26"/>
  <c r="S32" i="26"/>
  <c r="S31" i="26"/>
  <c r="S30" i="26"/>
  <c r="S29" i="26"/>
  <c r="S28" i="26"/>
  <c r="N41" i="25"/>
  <c r="O41" i="25"/>
  <c r="T39" i="25"/>
  <c r="O35" i="25"/>
  <c r="T40" i="25"/>
  <c r="O33" i="25"/>
  <c r="T41" i="25"/>
  <c r="O31" i="25"/>
  <c r="T42" i="25"/>
  <c r="O32" i="25"/>
  <c r="T43" i="25"/>
  <c r="O34" i="25"/>
  <c r="T44" i="25"/>
  <c r="T45" i="25"/>
  <c r="S39" i="25"/>
  <c r="S40" i="25"/>
  <c r="S41" i="25"/>
  <c r="S42" i="25"/>
  <c r="S43" i="25"/>
  <c r="S44" i="25"/>
  <c r="S45" i="25"/>
  <c r="M45" i="25"/>
  <c r="N45" i="25"/>
  <c r="C42" i="25"/>
  <c r="D42" i="25"/>
  <c r="E42" i="25"/>
  <c r="S30" i="25"/>
  <c r="M42" i="25"/>
  <c r="L42" i="25"/>
  <c r="K42" i="25"/>
  <c r="J42" i="25"/>
  <c r="I42" i="25"/>
  <c r="H42" i="25"/>
  <c r="G42" i="25"/>
  <c r="F42" i="25"/>
  <c r="S29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S38" i="25"/>
  <c r="O38" i="25"/>
  <c r="S26" i="25"/>
  <c r="S27" i="25"/>
  <c r="S28" i="25"/>
  <c r="S33" i="25"/>
  <c r="S32" i="25"/>
  <c r="S31" i="25"/>
  <c r="N41" i="24"/>
  <c r="O41" i="24"/>
  <c r="T39" i="24"/>
  <c r="O35" i="24"/>
  <c r="T40" i="24"/>
  <c r="O33" i="24"/>
  <c r="T41" i="24"/>
  <c r="O31" i="24"/>
  <c r="T42" i="24"/>
  <c r="O32" i="24"/>
  <c r="T43" i="24"/>
  <c r="O34" i="24"/>
  <c r="T44" i="24"/>
  <c r="T45" i="24"/>
  <c r="S39" i="24"/>
  <c r="S40" i="24"/>
  <c r="S41" i="24"/>
  <c r="S42" i="24"/>
  <c r="S43" i="24"/>
  <c r="S44" i="24"/>
  <c r="S45" i="24"/>
  <c r="M45" i="24"/>
  <c r="N45" i="24"/>
  <c r="C42" i="24"/>
  <c r="D42" i="24"/>
  <c r="E42" i="24"/>
  <c r="M42" i="24"/>
  <c r="L42" i="24"/>
  <c r="K42" i="24"/>
  <c r="J42" i="24"/>
  <c r="I42" i="24"/>
  <c r="H42" i="24"/>
  <c r="G42" i="24"/>
  <c r="S27" i="24"/>
  <c r="F42" i="24"/>
  <c r="S29" i="24"/>
  <c r="M41" i="24"/>
  <c r="L41" i="24"/>
  <c r="J41" i="24"/>
  <c r="I41" i="24"/>
  <c r="H41" i="24"/>
  <c r="G41" i="24"/>
  <c r="F41" i="24"/>
  <c r="E41" i="24"/>
  <c r="D41" i="24"/>
  <c r="C41" i="24"/>
  <c r="B41" i="24"/>
  <c r="S38" i="24"/>
  <c r="O38" i="24"/>
  <c r="S26" i="24"/>
  <c r="S33" i="24"/>
  <c r="S32" i="24"/>
  <c r="S31" i="24"/>
  <c r="S30" i="24"/>
  <c r="S28" i="24"/>
  <c r="N41" i="23"/>
  <c r="O41" i="23"/>
  <c r="T39" i="23"/>
  <c r="O35" i="23"/>
  <c r="T40" i="23"/>
  <c r="O33" i="23"/>
  <c r="T41" i="23"/>
  <c r="O31" i="23"/>
  <c r="T42" i="23"/>
  <c r="O32" i="23"/>
  <c r="T43" i="23"/>
  <c r="O34" i="23"/>
  <c r="T44" i="23"/>
  <c r="T45" i="23"/>
  <c r="S39" i="23"/>
  <c r="S40" i="23"/>
  <c r="S41" i="23"/>
  <c r="S42" i="23"/>
  <c r="S43" i="23"/>
  <c r="S44" i="23"/>
  <c r="S45" i="23"/>
  <c r="M45" i="23"/>
  <c r="N45" i="23"/>
  <c r="S38" i="23"/>
  <c r="C42" i="23"/>
  <c r="D42" i="23"/>
  <c r="E42" i="23"/>
  <c r="F42" i="23"/>
  <c r="G42" i="23"/>
  <c r="H42" i="23"/>
  <c r="I42" i="23"/>
  <c r="J42" i="23"/>
  <c r="K42" i="23"/>
  <c r="L42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O38" i="23"/>
  <c r="S28" i="23"/>
  <c r="S29" i="23"/>
  <c r="S30" i="23"/>
  <c r="S31" i="23"/>
  <c r="S32" i="23"/>
  <c r="S33" i="23"/>
  <c r="N41" i="22"/>
  <c r="O41" i="22"/>
  <c r="T39" i="22"/>
  <c r="O35" i="22"/>
  <c r="T40" i="22"/>
  <c r="O33" i="22"/>
  <c r="T41" i="22"/>
  <c r="O31" i="22"/>
  <c r="T42" i="22"/>
  <c r="O32" i="22"/>
  <c r="O34" i="22"/>
  <c r="T44" i="22"/>
  <c r="S39" i="22"/>
  <c r="S40" i="22"/>
  <c r="S41" i="22"/>
  <c r="S42" i="22"/>
  <c r="S43" i="22"/>
  <c r="S44" i="22"/>
  <c r="S45" i="22"/>
  <c r="M45" i="22"/>
  <c r="N45" i="22"/>
  <c r="C42" i="22"/>
  <c r="M42" i="22"/>
  <c r="L42" i="22"/>
  <c r="K42" i="22"/>
  <c r="J42" i="22"/>
  <c r="I42" i="22"/>
  <c r="H42" i="22"/>
  <c r="G42" i="22"/>
  <c r="F42" i="22"/>
  <c r="S29" i="22"/>
  <c r="E42" i="22"/>
  <c r="D42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S38" i="22"/>
  <c r="S26" i="22"/>
  <c r="S33" i="22"/>
  <c r="S32" i="22"/>
  <c r="S31" i="22"/>
  <c r="S30" i="22"/>
  <c r="S28" i="22"/>
  <c r="S40" i="21"/>
  <c r="S42" i="21"/>
  <c r="S44" i="21"/>
  <c r="C42" i="21"/>
  <c r="E42" i="21"/>
  <c r="L42" i="21"/>
  <c r="K42" i="21"/>
  <c r="J42" i="21"/>
  <c r="I42" i="21"/>
  <c r="H42" i="21"/>
  <c r="G42" i="21"/>
  <c r="F42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S33" i="21"/>
  <c r="S32" i="21"/>
  <c r="S31" i="21"/>
  <c r="S30" i="21"/>
  <c r="S29" i="21"/>
  <c r="S28" i="21"/>
  <c r="S27" i="21"/>
  <c r="N41" i="20"/>
  <c r="O41" i="20"/>
  <c r="T39" i="20"/>
  <c r="S39" i="20"/>
  <c r="S40" i="20"/>
  <c r="S41" i="20"/>
  <c r="S42" i="20"/>
  <c r="M45" i="20"/>
  <c r="N45" i="20"/>
  <c r="S38" i="20"/>
  <c r="O34" i="20"/>
  <c r="T44" i="20"/>
  <c r="S44" i="20"/>
  <c r="O32" i="20"/>
  <c r="T43" i="20"/>
  <c r="S43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31" i="20"/>
  <c r="T42" i="20"/>
  <c r="O33" i="20"/>
  <c r="T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O35" i="20"/>
  <c r="T40" i="20"/>
  <c r="S26" i="20"/>
  <c r="S33" i="20"/>
  <c r="S32" i="20"/>
  <c r="S31" i="20"/>
  <c r="S30" i="20"/>
  <c r="S29" i="20"/>
  <c r="S28" i="20"/>
  <c r="N41" i="19"/>
  <c r="O41" i="19"/>
  <c r="T39" i="19"/>
  <c r="O35" i="19"/>
  <c r="T40" i="19"/>
  <c r="O33" i="19"/>
  <c r="T41" i="19"/>
  <c r="O31" i="19"/>
  <c r="T42" i="19"/>
  <c r="O32" i="19"/>
  <c r="T43" i="19"/>
  <c r="O34" i="19"/>
  <c r="T44" i="19"/>
  <c r="T45" i="19"/>
  <c r="S39" i="19"/>
  <c r="S40" i="19"/>
  <c r="S41" i="19"/>
  <c r="S42" i="19"/>
  <c r="S43" i="19"/>
  <c r="S44" i="19"/>
  <c r="S45" i="19"/>
  <c r="M45" i="19"/>
  <c r="C42" i="19"/>
  <c r="S31" i="19"/>
  <c r="D42" i="19"/>
  <c r="E42" i="19"/>
  <c r="G42" i="19"/>
  <c r="H42" i="19"/>
  <c r="I42" i="19"/>
  <c r="J42" i="19"/>
  <c r="K42" i="19"/>
  <c r="L42" i="19"/>
  <c r="M42" i="19"/>
  <c r="N42" i="19"/>
  <c r="G43" i="19"/>
  <c r="T27" i="19"/>
  <c r="S27" i="19"/>
  <c r="S29" i="19"/>
  <c r="S26" i="19"/>
  <c r="S28" i="19"/>
  <c r="S30" i="19"/>
  <c r="S32" i="19"/>
  <c r="S33" i="19"/>
  <c r="S34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O38" i="19"/>
  <c r="N41" i="18"/>
  <c r="O41" i="18"/>
  <c r="T39" i="18"/>
  <c r="O35" i="18"/>
  <c r="T40" i="18"/>
  <c r="O33" i="18"/>
  <c r="T41" i="18"/>
  <c r="O31" i="18"/>
  <c r="T42" i="18"/>
  <c r="O32" i="18"/>
  <c r="T43" i="18"/>
  <c r="O34" i="18"/>
  <c r="T44" i="18"/>
  <c r="T45" i="18"/>
  <c r="S39" i="18"/>
  <c r="S40" i="18"/>
  <c r="S41" i="18"/>
  <c r="S42" i="18"/>
  <c r="S43" i="18"/>
  <c r="S44" i="18"/>
  <c r="S45" i="18"/>
  <c r="M45" i="18"/>
  <c r="N45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38" i="18"/>
  <c r="O38" i="18"/>
  <c r="S26" i="18"/>
  <c r="S27" i="18"/>
  <c r="S33" i="18"/>
  <c r="S32" i="18"/>
  <c r="S31" i="18"/>
  <c r="S30" i="18"/>
  <c r="S29" i="18"/>
  <c r="S28" i="18"/>
  <c r="N41" i="17"/>
  <c r="S39" i="17"/>
  <c r="S40" i="17"/>
  <c r="S41" i="17"/>
  <c r="S42" i="17"/>
  <c r="M45" i="17"/>
  <c r="N45" i="17"/>
  <c r="S44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S38" i="17"/>
  <c r="T26" i="17"/>
  <c r="T27" i="17"/>
  <c r="T28" i="17"/>
  <c r="T29" i="17"/>
  <c r="T30" i="17"/>
  <c r="T31" i="17"/>
  <c r="T32" i="17"/>
  <c r="T33" i="17"/>
  <c r="T34" i="17"/>
  <c r="S26" i="17"/>
  <c r="S27" i="17"/>
  <c r="S28" i="17"/>
  <c r="S29" i="17"/>
  <c r="S30" i="17"/>
  <c r="S31" i="17"/>
  <c r="S32" i="17"/>
  <c r="S33" i="17"/>
  <c r="S34" i="17"/>
  <c r="S23" i="17"/>
  <c r="T39" i="16"/>
  <c r="T40" i="16"/>
  <c r="T41" i="16"/>
  <c r="T42" i="16"/>
  <c r="T43" i="16"/>
  <c r="T44" i="16"/>
  <c r="T45" i="16"/>
  <c r="S39" i="16"/>
  <c r="S40" i="16"/>
  <c r="S41" i="16"/>
  <c r="S42" i="16"/>
  <c r="S43" i="16"/>
  <c r="S44" i="16"/>
  <c r="S45" i="16"/>
  <c r="M45" i="16"/>
  <c r="N45" i="16"/>
  <c r="G42" i="16"/>
  <c r="D42" i="16"/>
  <c r="E42" i="16"/>
  <c r="F42" i="16"/>
  <c r="H42" i="16"/>
  <c r="I42" i="16"/>
  <c r="J42" i="16"/>
  <c r="K42" i="16"/>
  <c r="L42" i="16"/>
  <c r="M42" i="16"/>
  <c r="N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M41" i="16"/>
  <c r="L41" i="16"/>
  <c r="K41" i="16"/>
  <c r="J41" i="16"/>
  <c r="I41" i="16"/>
  <c r="H41" i="16"/>
  <c r="F41" i="16"/>
  <c r="E41" i="16"/>
  <c r="D41" i="16"/>
  <c r="S38" i="16"/>
  <c r="T26" i="16"/>
  <c r="T27" i="16"/>
  <c r="T28" i="16"/>
  <c r="T29" i="16"/>
  <c r="T30" i="16"/>
  <c r="T31" i="16"/>
  <c r="T32" i="16"/>
  <c r="T33" i="16"/>
  <c r="T34" i="16"/>
  <c r="S26" i="16"/>
  <c r="S27" i="16"/>
  <c r="S31" i="16"/>
  <c r="S28" i="16"/>
  <c r="S29" i="16"/>
  <c r="S30" i="16"/>
  <c r="S32" i="16"/>
  <c r="S33" i="16"/>
  <c r="S34" i="16"/>
  <c r="S23" i="16"/>
  <c r="T39" i="15"/>
  <c r="T40" i="15"/>
  <c r="T41" i="15"/>
  <c r="T42" i="15"/>
  <c r="T43" i="15"/>
  <c r="T44" i="15"/>
  <c r="T45" i="15"/>
  <c r="S39" i="15"/>
  <c r="S42" i="15"/>
  <c r="S43" i="15"/>
  <c r="S41" i="15"/>
  <c r="S44" i="15"/>
  <c r="S40" i="15"/>
  <c r="S45" i="15"/>
  <c r="M45" i="15"/>
  <c r="N45" i="15"/>
  <c r="S38" i="15"/>
  <c r="C42" i="15"/>
  <c r="E42" i="15"/>
  <c r="D42" i="15"/>
  <c r="F42" i="15"/>
  <c r="G42" i="15"/>
  <c r="H42" i="15"/>
  <c r="I42" i="15"/>
  <c r="J42" i="15"/>
  <c r="K42" i="15"/>
  <c r="L42" i="15"/>
  <c r="M42" i="15"/>
  <c r="N42" i="15"/>
  <c r="L41" i="15"/>
  <c r="K41" i="15"/>
  <c r="J41" i="15"/>
  <c r="I41" i="15"/>
  <c r="H41" i="15"/>
  <c r="G41" i="15"/>
  <c r="F41" i="15"/>
  <c r="E41" i="15"/>
  <c r="D41" i="15"/>
  <c r="C41" i="15"/>
  <c r="S26" i="15"/>
  <c r="S27" i="15"/>
  <c r="S30" i="15"/>
  <c r="S28" i="15"/>
  <c r="S29" i="15"/>
  <c r="S31" i="15"/>
  <c r="S32" i="15"/>
  <c r="S33" i="15"/>
  <c r="S34" i="15"/>
  <c r="N41" i="14"/>
  <c r="O41" i="14"/>
  <c r="T39" i="14"/>
  <c r="O35" i="14"/>
  <c r="T40" i="14"/>
  <c r="O33" i="14"/>
  <c r="T41" i="14"/>
  <c r="O31" i="14"/>
  <c r="T42" i="14"/>
  <c r="O32" i="14"/>
  <c r="T43" i="14"/>
  <c r="O34" i="14"/>
  <c r="T44" i="14"/>
  <c r="T45" i="14"/>
  <c r="S39" i="14"/>
  <c r="S40" i="14"/>
  <c r="S41" i="14"/>
  <c r="S42" i="14"/>
  <c r="S43" i="14"/>
  <c r="S44" i="14"/>
  <c r="S45" i="14"/>
  <c r="M45" i="14"/>
  <c r="N45" i="14"/>
  <c r="S38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G43" i="14"/>
  <c r="T27" i="14"/>
  <c r="I43" i="14"/>
  <c r="T32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O38" i="14"/>
  <c r="S26" i="14"/>
  <c r="S28" i="14"/>
  <c r="S29" i="14"/>
  <c r="S30" i="14"/>
  <c r="S31" i="14"/>
  <c r="S32" i="14"/>
  <c r="S33" i="14"/>
  <c r="T39" i="13"/>
  <c r="T40" i="13"/>
  <c r="T41" i="13"/>
  <c r="T42" i="13"/>
  <c r="T43" i="13"/>
  <c r="T44" i="13"/>
  <c r="T45" i="13"/>
  <c r="S39" i="13"/>
  <c r="S40" i="13"/>
  <c r="S41" i="13"/>
  <c r="S42" i="13"/>
  <c r="S43" i="13"/>
  <c r="S44" i="13"/>
  <c r="S45" i="13"/>
  <c r="M45" i="13"/>
  <c r="C42" i="13"/>
  <c r="D42" i="13"/>
  <c r="M42" i="13"/>
  <c r="L42" i="13"/>
  <c r="K42" i="13"/>
  <c r="J42" i="13"/>
  <c r="I42" i="13"/>
  <c r="H42" i="13"/>
  <c r="G42" i="13"/>
  <c r="S27" i="13"/>
  <c r="F42" i="13"/>
  <c r="M41" i="13"/>
  <c r="K41" i="13"/>
  <c r="J41" i="13"/>
  <c r="I41" i="13"/>
  <c r="H41" i="13"/>
  <c r="F41" i="13"/>
  <c r="E41" i="13"/>
  <c r="D41" i="13"/>
  <c r="B41" i="13"/>
  <c r="S26" i="13"/>
  <c r="S33" i="13"/>
  <c r="S32" i="13"/>
  <c r="S31" i="13"/>
  <c r="S29" i="13"/>
  <c r="S28" i="13"/>
  <c r="N41" i="12"/>
  <c r="O41" i="12"/>
  <c r="T39" i="12"/>
  <c r="O35" i="12"/>
  <c r="T40" i="12"/>
  <c r="O33" i="12"/>
  <c r="T41" i="12"/>
  <c r="O31" i="12"/>
  <c r="T42" i="12"/>
  <c r="O32" i="12"/>
  <c r="T43" i="12"/>
  <c r="O34" i="12"/>
  <c r="T44" i="12"/>
  <c r="T45" i="12"/>
  <c r="S39" i="12"/>
  <c r="S40" i="12"/>
  <c r="S41" i="12"/>
  <c r="S42" i="12"/>
  <c r="S43" i="12"/>
  <c r="S44" i="12"/>
  <c r="S45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O38" i="12"/>
  <c r="T26" i="12"/>
  <c r="T27" i="12"/>
  <c r="T28" i="12"/>
  <c r="T29" i="12"/>
  <c r="T30" i="12"/>
  <c r="T31" i="12"/>
  <c r="T32" i="12"/>
  <c r="T33" i="12"/>
  <c r="T34" i="12"/>
  <c r="S26" i="12"/>
  <c r="S27" i="12"/>
  <c r="S28" i="12"/>
  <c r="S29" i="12"/>
  <c r="S30" i="12"/>
  <c r="S31" i="12"/>
  <c r="S32" i="12"/>
  <c r="S33" i="12"/>
  <c r="S34" i="12"/>
  <c r="S23" i="12"/>
  <c r="N41" i="11"/>
  <c r="O41" i="11"/>
  <c r="T39" i="11"/>
  <c r="S39" i="11"/>
  <c r="S40" i="11"/>
  <c r="S41" i="11"/>
  <c r="S42" i="11"/>
  <c r="M45" i="11"/>
  <c r="N45" i="11"/>
  <c r="O34" i="11"/>
  <c r="T44" i="11"/>
  <c r="S44" i="11"/>
  <c r="O32" i="11"/>
  <c r="T43" i="11"/>
  <c r="S43" i="11"/>
  <c r="S45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31" i="11"/>
  <c r="T42" i="11"/>
  <c r="O33" i="11"/>
  <c r="O33" i="3"/>
  <c r="O33" i="4"/>
  <c r="O33" i="5"/>
  <c r="O33" i="6"/>
  <c r="O33" i="7"/>
  <c r="O33" i="8"/>
  <c r="O33" i="10"/>
  <c r="O33" i="17"/>
  <c r="O33" i="21"/>
  <c r="O33" i="27"/>
  <c r="O33" i="38"/>
  <c r="M41" i="11"/>
  <c r="L41" i="11"/>
  <c r="K41" i="11"/>
  <c r="J41" i="11"/>
  <c r="I41" i="11"/>
  <c r="H41" i="11"/>
  <c r="G41" i="11"/>
  <c r="F41" i="11"/>
  <c r="E41" i="11"/>
  <c r="D41" i="11"/>
  <c r="C41" i="11"/>
  <c r="B41" i="11"/>
  <c r="O35" i="11"/>
  <c r="T40" i="11"/>
  <c r="S38" i="11"/>
  <c r="S26" i="11"/>
  <c r="S33" i="11"/>
  <c r="S32" i="11"/>
  <c r="S31" i="11"/>
  <c r="S30" i="11"/>
  <c r="S29" i="11"/>
  <c r="S28" i="11"/>
  <c r="N41" i="10"/>
  <c r="O41" i="10"/>
  <c r="T39" i="10"/>
  <c r="O35" i="10"/>
  <c r="T40" i="10"/>
  <c r="T41" i="10"/>
  <c r="O31" i="10"/>
  <c r="T42" i="10"/>
  <c r="O32" i="10"/>
  <c r="T43" i="10"/>
  <c r="O34" i="10"/>
  <c r="T44" i="10"/>
  <c r="T45" i="10"/>
  <c r="S39" i="10"/>
  <c r="S40" i="10"/>
  <c r="S41" i="10"/>
  <c r="S42" i="10"/>
  <c r="S43" i="10"/>
  <c r="S44" i="10"/>
  <c r="S45" i="10"/>
  <c r="M45" i="10"/>
  <c r="N45" i="10"/>
  <c r="C42" i="10"/>
  <c r="M42" i="10"/>
  <c r="L42" i="10"/>
  <c r="K42" i="10"/>
  <c r="J42" i="10"/>
  <c r="I42" i="10"/>
  <c r="H42" i="10"/>
  <c r="G42" i="10"/>
  <c r="S27" i="10"/>
  <c r="F42" i="10"/>
  <c r="E42" i="10"/>
  <c r="S30" i="10"/>
  <c r="D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S38" i="10"/>
  <c r="O38" i="10"/>
  <c r="S26" i="10"/>
  <c r="S33" i="10"/>
  <c r="S32" i="10"/>
  <c r="S29" i="10"/>
  <c r="S28" i="10"/>
  <c r="N41" i="9"/>
  <c r="O41" i="9"/>
  <c r="T39" i="9"/>
  <c r="T43" i="9"/>
  <c r="T40" i="9"/>
  <c r="T41" i="9"/>
  <c r="T42" i="9"/>
  <c r="T44" i="9"/>
  <c r="T45" i="9"/>
  <c r="S39" i="9"/>
  <c r="S43" i="9"/>
  <c r="S40" i="9"/>
  <c r="S41" i="9"/>
  <c r="S42" i="9"/>
  <c r="S44" i="9"/>
  <c r="S45" i="9"/>
  <c r="M45" i="9"/>
  <c r="N45" i="9"/>
  <c r="S38" i="9"/>
  <c r="C42" i="9"/>
  <c r="D42" i="9"/>
  <c r="E42" i="9"/>
  <c r="L42" i="9"/>
  <c r="K42" i="9"/>
  <c r="J42" i="9"/>
  <c r="I42" i="9"/>
  <c r="H42" i="9"/>
  <c r="G42" i="9"/>
  <c r="S27" i="9"/>
  <c r="F42" i="9"/>
  <c r="M41" i="9"/>
  <c r="L41" i="9"/>
  <c r="K41" i="9"/>
  <c r="J41" i="9"/>
  <c r="I41" i="9"/>
  <c r="H41" i="9"/>
  <c r="G41" i="9"/>
  <c r="F41" i="9"/>
  <c r="E41" i="9"/>
  <c r="D41" i="9"/>
  <c r="C41" i="9"/>
  <c r="B41" i="9"/>
  <c r="S33" i="9"/>
  <c r="N41" i="8"/>
  <c r="O41" i="8"/>
  <c r="T39" i="8"/>
  <c r="O35" i="8"/>
  <c r="T40" i="8"/>
  <c r="T41" i="8"/>
  <c r="O31" i="8"/>
  <c r="T42" i="8"/>
  <c r="O32" i="8"/>
  <c r="T43" i="8"/>
  <c r="O34" i="8"/>
  <c r="T44" i="8"/>
  <c r="T45" i="8"/>
  <c r="S39" i="8"/>
  <c r="S40" i="8"/>
  <c r="S41" i="8"/>
  <c r="S42" i="8"/>
  <c r="S43" i="8"/>
  <c r="S44" i="8"/>
  <c r="S45" i="8"/>
  <c r="M45" i="8"/>
  <c r="N45" i="8"/>
  <c r="C42" i="8"/>
  <c r="D42" i="8"/>
  <c r="E42" i="8"/>
  <c r="S30" i="8"/>
  <c r="F42" i="8"/>
  <c r="G42" i="8"/>
  <c r="H42" i="8"/>
  <c r="I42" i="8"/>
  <c r="J42" i="8"/>
  <c r="K42" i="8"/>
  <c r="L42" i="8"/>
  <c r="M42" i="8"/>
  <c r="N42" i="8"/>
  <c r="M43" i="8"/>
  <c r="T26" i="8"/>
  <c r="M41" i="8"/>
  <c r="L41" i="8"/>
  <c r="K41" i="8"/>
  <c r="J41" i="8"/>
  <c r="I41" i="8"/>
  <c r="H41" i="8"/>
  <c r="G41" i="8"/>
  <c r="F41" i="8"/>
  <c r="E41" i="8"/>
  <c r="D41" i="8"/>
  <c r="C41" i="8"/>
  <c r="B41" i="8"/>
  <c r="S38" i="8"/>
  <c r="O38" i="8"/>
  <c r="S26" i="8"/>
  <c r="S27" i="8"/>
  <c r="S33" i="8"/>
  <c r="S32" i="8"/>
  <c r="S31" i="8"/>
  <c r="S29" i="8"/>
  <c r="S28" i="8"/>
  <c r="N41" i="7"/>
  <c r="O41" i="7"/>
  <c r="T39" i="7"/>
  <c r="O35" i="7"/>
  <c r="T40" i="7"/>
  <c r="T41" i="7"/>
  <c r="O31" i="7"/>
  <c r="T42" i="7"/>
  <c r="O32" i="7"/>
  <c r="T43" i="7"/>
  <c r="O34" i="7"/>
  <c r="T44" i="7"/>
  <c r="T45" i="7"/>
  <c r="S39" i="7"/>
  <c r="S40" i="7"/>
  <c r="S41" i="7"/>
  <c r="S42" i="7"/>
  <c r="S43" i="7"/>
  <c r="S44" i="7"/>
  <c r="S45" i="7"/>
  <c r="M45" i="7"/>
  <c r="N45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M41" i="7"/>
  <c r="L41" i="7"/>
  <c r="K41" i="7"/>
  <c r="J41" i="7"/>
  <c r="I41" i="7"/>
  <c r="H41" i="7"/>
  <c r="G41" i="7"/>
  <c r="F41" i="7"/>
  <c r="E41" i="7"/>
  <c r="D41" i="7"/>
  <c r="C41" i="7"/>
  <c r="B41" i="7"/>
  <c r="S38" i="7"/>
  <c r="O38" i="7"/>
  <c r="T26" i="7"/>
  <c r="T27" i="7"/>
  <c r="T28" i="7"/>
  <c r="T29" i="7"/>
  <c r="T30" i="7"/>
  <c r="T31" i="7"/>
  <c r="T32" i="7"/>
  <c r="T33" i="7"/>
  <c r="T34" i="7"/>
  <c r="S26" i="7"/>
  <c r="S27" i="7"/>
  <c r="S28" i="7"/>
  <c r="S29" i="7"/>
  <c r="S30" i="7"/>
  <c r="S31" i="7"/>
  <c r="S32" i="7"/>
  <c r="S33" i="7"/>
  <c r="S34" i="7"/>
  <c r="S23" i="7"/>
  <c r="N41" i="6"/>
  <c r="O41" i="6"/>
  <c r="T39" i="6"/>
  <c r="O35" i="6"/>
  <c r="T40" i="6"/>
  <c r="T41" i="6"/>
  <c r="O31" i="6"/>
  <c r="T42" i="6"/>
  <c r="O32" i="6"/>
  <c r="T43" i="6"/>
  <c r="O34" i="6"/>
  <c r="T44" i="6"/>
  <c r="T45" i="6"/>
  <c r="S39" i="6"/>
  <c r="S40" i="6"/>
  <c r="S41" i="6"/>
  <c r="S42" i="6"/>
  <c r="S43" i="6"/>
  <c r="S44" i="6"/>
  <c r="S45" i="6"/>
  <c r="M45" i="6"/>
  <c r="N45" i="6"/>
  <c r="C42" i="6"/>
  <c r="D42" i="6"/>
  <c r="E42" i="6"/>
  <c r="F42" i="6"/>
  <c r="G42" i="6"/>
  <c r="H42" i="6"/>
  <c r="I42" i="6"/>
  <c r="J42" i="6"/>
  <c r="K42" i="6"/>
  <c r="L42" i="6"/>
  <c r="M42" i="6"/>
  <c r="N42" i="6"/>
  <c r="C43" i="6"/>
  <c r="D43" i="6"/>
  <c r="E43" i="6"/>
  <c r="F43" i="6"/>
  <c r="G43" i="6"/>
  <c r="H43" i="6"/>
  <c r="I43" i="6"/>
  <c r="J43" i="6"/>
  <c r="K43" i="6"/>
  <c r="L43" i="6"/>
  <c r="M43" i="6"/>
  <c r="N43" i="6"/>
  <c r="M41" i="6"/>
  <c r="L41" i="6"/>
  <c r="K41" i="6"/>
  <c r="J41" i="6"/>
  <c r="I41" i="6"/>
  <c r="H41" i="6"/>
  <c r="G41" i="6"/>
  <c r="F41" i="6"/>
  <c r="E41" i="6"/>
  <c r="D41" i="6"/>
  <c r="C41" i="6"/>
  <c r="B41" i="6"/>
  <c r="S38" i="6"/>
  <c r="O38" i="6"/>
  <c r="T26" i="6"/>
  <c r="T27" i="6"/>
  <c r="T28" i="6"/>
  <c r="T29" i="6"/>
  <c r="T30" i="6"/>
  <c r="T31" i="6"/>
  <c r="T32" i="6"/>
  <c r="T33" i="6"/>
  <c r="T34" i="6"/>
  <c r="S26" i="6"/>
  <c r="S27" i="6"/>
  <c r="S28" i="6"/>
  <c r="S29" i="6"/>
  <c r="S30" i="6"/>
  <c r="S31" i="6"/>
  <c r="S32" i="6"/>
  <c r="S33" i="6"/>
  <c r="S34" i="6"/>
  <c r="S23" i="6"/>
  <c r="N41" i="5"/>
  <c r="O41" i="5"/>
  <c r="T39" i="5"/>
  <c r="O35" i="5"/>
  <c r="T40" i="5"/>
  <c r="T41" i="5"/>
  <c r="O31" i="5"/>
  <c r="T42" i="5"/>
  <c r="O32" i="5"/>
  <c r="T43" i="5"/>
  <c r="O34" i="5"/>
  <c r="T44" i="5"/>
  <c r="T45" i="5"/>
  <c r="S39" i="5"/>
  <c r="S40" i="5"/>
  <c r="S41" i="5"/>
  <c r="S42" i="5"/>
  <c r="S43" i="5"/>
  <c r="S44" i="5"/>
  <c r="S45" i="5"/>
  <c r="M45" i="5"/>
  <c r="N45" i="5"/>
  <c r="C42" i="5"/>
  <c r="D42" i="5"/>
  <c r="E42" i="5"/>
  <c r="M42" i="5"/>
  <c r="L42" i="5"/>
  <c r="K42" i="5"/>
  <c r="J42" i="5"/>
  <c r="I42" i="5"/>
  <c r="H42" i="5"/>
  <c r="S33" i="5"/>
  <c r="G42" i="5"/>
  <c r="S27" i="5"/>
  <c r="F42" i="5"/>
  <c r="M41" i="5"/>
  <c r="L41" i="5"/>
  <c r="K41" i="5"/>
  <c r="J41" i="5"/>
  <c r="I41" i="5"/>
  <c r="H41" i="5"/>
  <c r="G41" i="5"/>
  <c r="F41" i="5"/>
  <c r="E41" i="5"/>
  <c r="D41" i="5"/>
  <c r="C41" i="5"/>
  <c r="B41" i="5"/>
  <c r="S38" i="5"/>
  <c r="O38" i="5"/>
  <c r="S26" i="5"/>
  <c r="S32" i="5"/>
  <c r="S31" i="5"/>
  <c r="S30" i="5"/>
  <c r="S29" i="5"/>
  <c r="S28" i="5"/>
  <c r="N41" i="4"/>
  <c r="O41" i="4"/>
  <c r="T39" i="4"/>
  <c r="O35" i="4"/>
  <c r="T40" i="4"/>
  <c r="T41" i="4"/>
  <c r="O31" i="4"/>
  <c r="T42" i="4"/>
  <c r="O32" i="4"/>
  <c r="T43" i="4"/>
  <c r="O34" i="4"/>
  <c r="T44" i="4"/>
  <c r="T45" i="4"/>
  <c r="S39" i="4"/>
  <c r="S40" i="4"/>
  <c r="S41" i="4"/>
  <c r="S42" i="4"/>
  <c r="S43" i="4"/>
  <c r="S44" i="4"/>
  <c r="S45" i="4"/>
  <c r="M45" i="4"/>
  <c r="N45" i="4"/>
  <c r="C42" i="4"/>
  <c r="E42" i="4"/>
  <c r="F42" i="4"/>
  <c r="K42" i="4"/>
  <c r="D42" i="4"/>
  <c r="G42" i="4"/>
  <c r="H42" i="4"/>
  <c r="I42" i="4"/>
  <c r="J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M41" i="4"/>
  <c r="L41" i="4"/>
  <c r="K41" i="4"/>
  <c r="J41" i="4"/>
  <c r="I41" i="4"/>
  <c r="H41" i="4"/>
  <c r="G41" i="4"/>
  <c r="F41" i="4"/>
  <c r="E41" i="4"/>
  <c r="D41" i="4"/>
  <c r="C41" i="4"/>
  <c r="B41" i="4"/>
  <c r="S38" i="4"/>
  <c r="O38" i="4"/>
  <c r="T26" i="4"/>
  <c r="T27" i="4"/>
  <c r="T28" i="4"/>
  <c r="T29" i="4"/>
  <c r="T30" i="4"/>
  <c r="T31" i="4"/>
  <c r="T32" i="4"/>
  <c r="T33" i="4"/>
  <c r="T34" i="4"/>
  <c r="S26" i="4"/>
  <c r="S27" i="4"/>
  <c r="S28" i="4"/>
  <c r="S29" i="4"/>
  <c r="S31" i="4"/>
  <c r="S30" i="4"/>
  <c r="S32" i="4"/>
  <c r="S33" i="4"/>
  <c r="S34" i="4"/>
  <c r="S23" i="4"/>
  <c r="N41" i="3"/>
  <c r="S39" i="3"/>
  <c r="S43" i="3"/>
  <c r="M45" i="3"/>
  <c r="S44" i="3"/>
  <c r="C42" i="3"/>
  <c r="D42" i="3"/>
  <c r="E42" i="3"/>
  <c r="F42" i="3"/>
  <c r="G42" i="3"/>
  <c r="H42" i="3"/>
  <c r="I42" i="3"/>
  <c r="J42" i="3"/>
  <c r="K42" i="3"/>
  <c r="L42" i="3"/>
  <c r="M42" i="3"/>
  <c r="N42" i="3"/>
  <c r="S27" i="3"/>
  <c r="S42" i="3"/>
  <c r="M41" i="3"/>
  <c r="L41" i="3"/>
  <c r="K41" i="3"/>
  <c r="J41" i="3"/>
  <c r="I41" i="3"/>
  <c r="H41" i="3"/>
  <c r="G41" i="3"/>
  <c r="F41" i="3"/>
  <c r="E41" i="3"/>
  <c r="D41" i="3"/>
  <c r="C41" i="3"/>
  <c r="B41" i="3"/>
  <c r="S26" i="3"/>
  <c r="S33" i="3"/>
  <c r="S32" i="3"/>
  <c r="S31" i="3"/>
  <c r="S30" i="3"/>
  <c r="S29" i="3"/>
  <c r="S28" i="3"/>
  <c r="N41" i="2"/>
  <c r="O41" i="2"/>
  <c r="T39" i="2"/>
  <c r="T40" i="2"/>
  <c r="T41" i="2"/>
  <c r="T42" i="2"/>
  <c r="T43" i="2"/>
  <c r="T44" i="2"/>
  <c r="T45" i="2"/>
  <c r="S39" i="2"/>
  <c r="S40" i="2"/>
  <c r="S41" i="2"/>
  <c r="S42" i="2"/>
  <c r="S43" i="2"/>
  <c r="S44" i="2"/>
  <c r="S45" i="2"/>
  <c r="M45" i="2"/>
  <c r="N45" i="2"/>
  <c r="C42" i="2"/>
  <c r="D42" i="2"/>
  <c r="M42" i="2"/>
  <c r="L42" i="2"/>
  <c r="K42" i="2"/>
  <c r="J42" i="2"/>
  <c r="I42" i="2"/>
  <c r="H42" i="2"/>
  <c r="S33" i="2"/>
  <c r="G42" i="2"/>
  <c r="F42" i="2"/>
  <c r="M41" i="2"/>
  <c r="L41" i="2"/>
  <c r="K41" i="2"/>
  <c r="J41" i="2"/>
  <c r="I41" i="2"/>
  <c r="H41" i="2"/>
  <c r="G41" i="2"/>
  <c r="F41" i="2"/>
  <c r="E41" i="2"/>
  <c r="D41" i="2"/>
  <c r="C41" i="2"/>
  <c r="B41" i="2"/>
  <c r="S38" i="2"/>
  <c r="S26" i="2"/>
  <c r="S32" i="2"/>
  <c r="S31" i="2"/>
  <c r="S29" i="2"/>
  <c r="S28" i="2"/>
  <c r="G42" i="41"/>
  <c r="N42" i="41"/>
  <c r="E43" i="41"/>
  <c r="T30" i="41"/>
  <c r="S23" i="15"/>
  <c r="L43" i="15"/>
  <c r="H43" i="15"/>
  <c r="T33" i="15"/>
  <c r="G43" i="15"/>
  <c r="T27" i="15"/>
  <c r="K43" i="15"/>
  <c r="C43" i="15"/>
  <c r="F43" i="15"/>
  <c r="T29" i="15"/>
  <c r="J43" i="15"/>
  <c r="T28" i="15"/>
  <c r="E43" i="15"/>
  <c r="T30" i="15"/>
  <c r="D43" i="15"/>
  <c r="I43" i="15"/>
  <c r="T32" i="15"/>
  <c r="M43" i="15"/>
  <c r="T26" i="15"/>
  <c r="T31" i="15"/>
  <c r="T34" i="15"/>
  <c r="C43" i="14"/>
  <c r="M43" i="14"/>
  <c r="T26" i="14"/>
  <c r="S23" i="14"/>
  <c r="S27" i="14"/>
  <c r="S34" i="14"/>
  <c r="F43" i="14"/>
  <c r="T29" i="14"/>
  <c r="K43" i="14"/>
  <c r="J43" i="14"/>
  <c r="T28" i="14"/>
  <c r="D43" i="14"/>
  <c r="E43" i="14"/>
  <c r="T30" i="14"/>
  <c r="H43" i="14"/>
  <c r="T33" i="14"/>
  <c r="L43" i="14"/>
  <c r="M43" i="19"/>
  <c r="T26" i="19"/>
  <c r="J43" i="19"/>
  <c r="T28" i="19"/>
  <c r="F43" i="19"/>
  <c r="T29" i="19"/>
  <c r="E43" i="19"/>
  <c r="T30" i="19"/>
  <c r="C43" i="19"/>
  <c r="T31" i="19"/>
  <c r="I43" i="19"/>
  <c r="T32" i="19"/>
  <c r="H43" i="19"/>
  <c r="T33" i="19"/>
  <c r="T34" i="19"/>
  <c r="S23" i="19"/>
  <c r="K43" i="19"/>
  <c r="D43" i="19"/>
  <c r="L43" i="19"/>
  <c r="S31" i="36"/>
  <c r="S29" i="9"/>
  <c r="S31" i="9"/>
  <c r="S28" i="9"/>
  <c r="S32" i="9"/>
  <c r="S27" i="23"/>
  <c r="O38" i="30"/>
  <c r="T45" i="30"/>
  <c r="S39" i="30"/>
  <c r="S45" i="30"/>
  <c r="K43" i="40"/>
  <c r="C43" i="40"/>
  <c r="H43" i="40"/>
  <c r="T33" i="40"/>
  <c r="N43" i="15"/>
  <c r="T31" i="14"/>
  <c r="T34" i="14"/>
  <c r="N43" i="14"/>
  <c r="N43" i="19"/>
  <c r="T31" i="40"/>
  <c r="T34" i="40"/>
  <c r="N43" i="40"/>
  <c r="M42" i="23"/>
  <c r="S26" i="23"/>
  <c r="S34" i="23"/>
  <c r="N42" i="23"/>
  <c r="M43" i="23"/>
  <c r="T26" i="23"/>
  <c r="E43" i="23"/>
  <c r="T30" i="23"/>
  <c r="J43" i="23"/>
  <c r="T28" i="23"/>
  <c r="G43" i="23"/>
  <c r="T27" i="23"/>
  <c r="H43" i="23"/>
  <c r="T33" i="23"/>
  <c r="F43" i="23"/>
  <c r="T29" i="23"/>
  <c r="S23" i="23"/>
  <c r="D43" i="23"/>
  <c r="K43" i="23"/>
  <c r="L43" i="23"/>
  <c r="I43" i="23"/>
  <c r="T32" i="23"/>
  <c r="C43" i="23"/>
  <c r="T31" i="23"/>
  <c r="T34" i="23"/>
  <c r="N43" i="23"/>
  <c r="N45" i="36"/>
  <c r="S38" i="36"/>
  <c r="O31" i="17"/>
  <c r="O32" i="17"/>
  <c r="O34" i="17"/>
  <c r="O35" i="17"/>
  <c r="O38" i="17"/>
  <c r="O41" i="17"/>
  <c r="T40" i="17"/>
  <c r="T41" i="17"/>
  <c r="T42" i="17"/>
  <c r="T43" i="17"/>
  <c r="T44" i="17"/>
  <c r="T39" i="17"/>
  <c r="T45" i="17"/>
  <c r="S43" i="17"/>
  <c r="S45" i="17"/>
  <c r="O32" i="3"/>
  <c r="T43" i="3"/>
  <c r="O41" i="3"/>
  <c r="T39" i="3"/>
  <c r="O35" i="3"/>
  <c r="T40" i="3"/>
  <c r="T41" i="3"/>
  <c r="O31" i="3"/>
  <c r="T42" i="3"/>
  <c r="O34" i="3"/>
  <c r="T44" i="3"/>
  <c r="T45" i="3"/>
  <c r="S40" i="3"/>
  <c r="S41" i="3"/>
  <c r="S45" i="3"/>
  <c r="N45" i="3"/>
  <c r="S38" i="3"/>
  <c r="O38" i="3"/>
  <c r="O34" i="27"/>
  <c r="T44" i="27"/>
  <c r="E42" i="27"/>
  <c r="S30" i="27"/>
  <c r="S34" i="27"/>
  <c r="N42" i="27"/>
  <c r="C43" i="27"/>
  <c r="T31" i="27"/>
  <c r="L43" i="27"/>
  <c r="H43" i="27"/>
  <c r="T33" i="27"/>
  <c r="K43" i="27"/>
  <c r="D43" i="27"/>
  <c r="G43" i="27"/>
  <c r="T27" i="27"/>
  <c r="J43" i="27"/>
  <c r="T28" i="27"/>
  <c r="F43" i="27"/>
  <c r="T29" i="27"/>
  <c r="E43" i="27"/>
  <c r="T30" i="27"/>
  <c r="I43" i="27"/>
  <c r="T32" i="27"/>
  <c r="M43" i="27"/>
  <c r="T26" i="27"/>
  <c r="T34" i="27"/>
  <c r="S23" i="27"/>
  <c r="N43" i="27"/>
  <c r="S43" i="27"/>
  <c r="M41" i="27"/>
  <c r="N41" i="27"/>
  <c r="O31" i="27"/>
  <c r="T42" i="27"/>
  <c r="O35" i="27"/>
  <c r="T40" i="27"/>
  <c r="T41" i="27"/>
  <c r="O32" i="27"/>
  <c r="T43" i="27"/>
  <c r="O41" i="27"/>
  <c r="T39" i="27"/>
  <c r="T45" i="27"/>
  <c r="S42" i="27"/>
  <c r="S40" i="27"/>
  <c r="S41" i="27"/>
  <c r="S39" i="27"/>
  <c r="S45" i="27"/>
  <c r="O38" i="27"/>
  <c r="S34" i="5"/>
  <c r="N42" i="5"/>
  <c r="M43" i="5"/>
  <c r="T26" i="5"/>
  <c r="N42" i="29"/>
  <c r="D43" i="29"/>
  <c r="N42" i="25"/>
  <c r="L43" i="25"/>
  <c r="S34" i="24"/>
  <c r="N42" i="24"/>
  <c r="D43" i="24"/>
  <c r="N42" i="22"/>
  <c r="S23" i="22"/>
  <c r="S27" i="22"/>
  <c r="S34" i="22"/>
  <c r="O38" i="22"/>
  <c r="T43" i="22"/>
  <c r="T45" i="22"/>
  <c r="E43" i="34"/>
  <c r="T30" i="34"/>
  <c r="D43" i="34"/>
  <c r="S23" i="34"/>
  <c r="M43" i="34"/>
  <c r="T26" i="34"/>
  <c r="I43" i="34"/>
  <c r="T32" i="34"/>
  <c r="S30" i="34"/>
  <c r="G43" i="34"/>
  <c r="T27" i="34"/>
  <c r="S27" i="34"/>
  <c r="H43" i="34"/>
  <c r="T33" i="34"/>
  <c r="L43" i="34"/>
  <c r="K43" i="34"/>
  <c r="C43" i="34"/>
  <c r="F43" i="34"/>
  <c r="T29" i="34"/>
  <c r="J43" i="34"/>
  <c r="T28" i="34"/>
  <c r="T40" i="36"/>
  <c r="O41" i="36"/>
  <c r="T39" i="36"/>
  <c r="N42" i="50"/>
  <c r="I43" i="50"/>
  <c r="T32" i="50"/>
  <c r="N42" i="46"/>
  <c r="C43" i="46"/>
  <c r="N42" i="31"/>
  <c r="C43" i="31"/>
  <c r="S30" i="9"/>
  <c r="S34" i="28"/>
  <c r="N42" i="28"/>
  <c r="E43" i="28"/>
  <c r="T30" i="28"/>
  <c r="D43" i="25"/>
  <c r="M43" i="25"/>
  <c r="T26" i="25"/>
  <c r="J43" i="25"/>
  <c r="T28" i="25"/>
  <c r="C43" i="25"/>
  <c r="T31" i="25"/>
  <c r="S34" i="25"/>
  <c r="E43" i="25"/>
  <c r="T30" i="25"/>
  <c r="F43" i="25"/>
  <c r="T29" i="25"/>
  <c r="C43" i="18"/>
  <c r="T31" i="18"/>
  <c r="S23" i="18"/>
  <c r="H43" i="18"/>
  <c r="T33" i="18"/>
  <c r="M43" i="18"/>
  <c r="T26" i="18"/>
  <c r="I43" i="18"/>
  <c r="T32" i="18"/>
  <c r="L43" i="18"/>
  <c r="D43" i="18"/>
  <c r="F43" i="18"/>
  <c r="T29" i="18"/>
  <c r="K43" i="18"/>
  <c r="J43" i="18"/>
  <c r="T28" i="18"/>
  <c r="E43" i="18"/>
  <c r="T30" i="18"/>
  <c r="S34" i="18"/>
  <c r="G43" i="18"/>
  <c r="T27" i="18"/>
  <c r="S31" i="10"/>
  <c r="S34" i="10"/>
  <c r="N42" i="10"/>
  <c r="C43" i="10"/>
  <c r="H43" i="8"/>
  <c r="T33" i="8"/>
  <c r="G43" i="8"/>
  <c r="T27" i="8"/>
  <c r="S34" i="8"/>
  <c r="L43" i="8"/>
  <c r="S23" i="8"/>
  <c r="C43" i="8"/>
  <c r="F43" i="8"/>
  <c r="T29" i="8"/>
  <c r="J43" i="8"/>
  <c r="T28" i="8"/>
  <c r="E43" i="8"/>
  <c r="T30" i="8"/>
  <c r="K43" i="8"/>
  <c r="D43" i="8"/>
  <c r="I43" i="8"/>
  <c r="T32" i="8"/>
  <c r="J43" i="3"/>
  <c r="T28" i="3"/>
  <c r="H43" i="3"/>
  <c r="T33" i="3"/>
  <c r="L43" i="3"/>
  <c r="S34" i="3"/>
  <c r="E43" i="3"/>
  <c r="T30" i="3"/>
  <c r="G43" i="3"/>
  <c r="T27" i="3"/>
  <c r="K43" i="3"/>
  <c r="S23" i="3"/>
  <c r="D43" i="3"/>
  <c r="I43" i="3"/>
  <c r="T32" i="3"/>
  <c r="M43" i="3"/>
  <c r="T26" i="3"/>
  <c r="C43" i="3"/>
  <c r="F43" i="3"/>
  <c r="T29" i="3"/>
  <c r="S27" i="2"/>
  <c r="S45" i="20"/>
  <c r="T45" i="20"/>
  <c r="J43" i="20"/>
  <c r="T28" i="20"/>
  <c r="E43" i="20"/>
  <c r="T30" i="20"/>
  <c r="M43" i="20"/>
  <c r="T26" i="20"/>
  <c r="I43" i="20"/>
  <c r="T32" i="20"/>
  <c r="D43" i="20"/>
  <c r="C43" i="20"/>
  <c r="K43" i="20"/>
  <c r="F43" i="20"/>
  <c r="T29" i="20"/>
  <c r="G43" i="20"/>
  <c r="T27" i="20"/>
  <c r="S23" i="20"/>
  <c r="L43" i="20"/>
  <c r="H43" i="20"/>
  <c r="T33" i="20"/>
  <c r="S27" i="20"/>
  <c r="S34" i="20"/>
  <c r="O38" i="20"/>
  <c r="J43" i="49"/>
  <c r="T28" i="49"/>
  <c r="K43" i="49"/>
  <c r="M43" i="49"/>
  <c r="T26" i="49"/>
  <c r="F43" i="49"/>
  <c r="T29" i="49"/>
  <c r="G43" i="49"/>
  <c r="T27" i="49"/>
  <c r="C43" i="49"/>
  <c r="L43" i="49"/>
  <c r="H43" i="49"/>
  <c r="T33" i="49"/>
  <c r="D43" i="49"/>
  <c r="E43" i="49"/>
  <c r="T30" i="49"/>
  <c r="S23" i="49"/>
  <c r="N42" i="45"/>
  <c r="S27" i="41"/>
  <c r="S34" i="41"/>
  <c r="S23" i="41"/>
  <c r="D43" i="41"/>
  <c r="L43" i="41"/>
  <c r="M43" i="41"/>
  <c r="T26" i="41"/>
  <c r="F43" i="41"/>
  <c r="T29" i="41"/>
  <c r="H43" i="41"/>
  <c r="T33" i="41"/>
  <c r="J43" i="41"/>
  <c r="T28" i="41"/>
  <c r="C43" i="41"/>
  <c r="K43" i="41"/>
  <c r="I43" i="41"/>
  <c r="T32" i="41"/>
  <c r="N42" i="26"/>
  <c r="G43" i="26"/>
  <c r="T27" i="26"/>
  <c r="S27" i="26"/>
  <c r="S34" i="26"/>
  <c r="K41" i="24"/>
  <c r="B47" i="32"/>
  <c r="K43" i="5"/>
  <c r="S23" i="5"/>
  <c r="E43" i="5"/>
  <c r="T30" i="5"/>
  <c r="I43" i="5"/>
  <c r="T32" i="5"/>
  <c r="D43" i="5"/>
  <c r="F43" i="5"/>
  <c r="T29" i="5"/>
  <c r="G43" i="5"/>
  <c r="T27" i="5"/>
  <c r="C43" i="5"/>
  <c r="T31" i="5"/>
  <c r="J43" i="5"/>
  <c r="T28" i="5"/>
  <c r="H43" i="5"/>
  <c r="T33" i="5"/>
  <c r="T34" i="5"/>
  <c r="L43" i="5"/>
  <c r="C43" i="29"/>
  <c r="T31" i="29"/>
  <c r="L43" i="29"/>
  <c r="J43" i="29"/>
  <c r="T28" i="29"/>
  <c r="K43" i="29"/>
  <c r="F43" i="29"/>
  <c r="T29" i="29"/>
  <c r="I43" i="29"/>
  <c r="T32" i="29"/>
  <c r="M43" i="29"/>
  <c r="T26" i="29"/>
  <c r="S23" i="29"/>
  <c r="G43" i="29"/>
  <c r="T27" i="29"/>
  <c r="H43" i="29"/>
  <c r="T33" i="29"/>
  <c r="E43" i="29"/>
  <c r="T30" i="29"/>
  <c r="K43" i="25"/>
  <c r="I43" i="25"/>
  <c r="T32" i="25"/>
  <c r="S23" i="25"/>
  <c r="H43" i="25"/>
  <c r="T33" i="25"/>
  <c r="G43" i="25"/>
  <c r="T27" i="25"/>
  <c r="M43" i="24"/>
  <c r="T26" i="24"/>
  <c r="K43" i="24"/>
  <c r="S23" i="24"/>
  <c r="J43" i="24"/>
  <c r="T28" i="24"/>
  <c r="G43" i="24"/>
  <c r="T27" i="24"/>
  <c r="H43" i="24"/>
  <c r="T33" i="24"/>
  <c r="F43" i="24"/>
  <c r="T29" i="24"/>
  <c r="C43" i="24"/>
  <c r="E43" i="24"/>
  <c r="T30" i="24"/>
  <c r="I43" i="24"/>
  <c r="T32" i="24"/>
  <c r="L43" i="24"/>
  <c r="M43" i="22"/>
  <c r="T26" i="22"/>
  <c r="J43" i="22"/>
  <c r="T28" i="22"/>
  <c r="L43" i="22"/>
  <c r="F43" i="22"/>
  <c r="T29" i="22"/>
  <c r="C43" i="22"/>
  <c r="I43" i="22"/>
  <c r="T32" i="22"/>
  <c r="D43" i="22"/>
  <c r="K43" i="22"/>
  <c r="H43" i="22"/>
  <c r="T33" i="22"/>
  <c r="E43" i="22"/>
  <c r="T30" i="22"/>
  <c r="G43" i="22"/>
  <c r="T27" i="22"/>
  <c r="T31" i="22"/>
  <c r="T31" i="24"/>
  <c r="T31" i="34"/>
  <c r="T34" i="34"/>
  <c r="S34" i="34"/>
  <c r="N43" i="34"/>
  <c r="J43" i="46"/>
  <c r="T28" i="46"/>
  <c r="F43" i="46"/>
  <c r="T29" i="46"/>
  <c r="H43" i="46"/>
  <c r="T33" i="46"/>
  <c r="I43" i="46"/>
  <c r="T32" i="46"/>
  <c r="K43" i="46"/>
  <c r="G43" i="46"/>
  <c r="T27" i="46"/>
  <c r="D43" i="46"/>
  <c r="M43" i="46"/>
  <c r="T26" i="46"/>
  <c r="S23" i="46"/>
  <c r="L43" i="46"/>
  <c r="E43" i="46"/>
  <c r="T30" i="46"/>
  <c r="T31" i="46"/>
  <c r="D43" i="31"/>
  <c r="E43" i="31"/>
  <c r="F43" i="31"/>
  <c r="G43" i="31"/>
  <c r="H43" i="31"/>
  <c r="I43" i="31"/>
  <c r="J43" i="31"/>
  <c r="K43" i="31"/>
  <c r="L43" i="31"/>
  <c r="M43" i="31"/>
  <c r="N43" i="31"/>
  <c r="T31" i="31"/>
  <c r="S23" i="31"/>
  <c r="T28" i="31"/>
  <c r="T29" i="31"/>
  <c r="T27" i="31"/>
  <c r="T33" i="31"/>
  <c r="T26" i="31"/>
  <c r="T32" i="31"/>
  <c r="T30" i="31"/>
  <c r="L43" i="28"/>
  <c r="H43" i="28"/>
  <c r="T33" i="28"/>
  <c r="S23" i="28"/>
  <c r="M43" i="28"/>
  <c r="T26" i="28"/>
  <c r="I43" i="28"/>
  <c r="T32" i="28"/>
  <c r="D43" i="28"/>
  <c r="J43" i="28"/>
  <c r="T28" i="28"/>
  <c r="F43" i="28"/>
  <c r="T29" i="28"/>
  <c r="C43" i="28"/>
  <c r="K43" i="28"/>
  <c r="G43" i="28"/>
  <c r="T27" i="28"/>
  <c r="T34" i="25"/>
  <c r="N43" i="18"/>
  <c r="T34" i="18"/>
  <c r="M43" i="10"/>
  <c r="T26" i="10"/>
  <c r="I43" i="10"/>
  <c r="T32" i="10"/>
  <c r="E43" i="10"/>
  <c r="T30" i="10"/>
  <c r="K43" i="10"/>
  <c r="D43" i="10"/>
  <c r="H43" i="10"/>
  <c r="T33" i="10"/>
  <c r="J43" i="10"/>
  <c r="T28" i="10"/>
  <c r="F43" i="10"/>
  <c r="T29" i="10"/>
  <c r="G43" i="10"/>
  <c r="T27" i="10"/>
  <c r="S23" i="10"/>
  <c r="L43" i="10"/>
  <c r="T31" i="10"/>
  <c r="T31" i="8"/>
  <c r="T34" i="8"/>
  <c r="N43" i="8"/>
  <c r="T31" i="3"/>
  <c r="T34" i="3"/>
  <c r="N43" i="3"/>
  <c r="N43" i="20"/>
  <c r="T31" i="20"/>
  <c r="T34" i="20"/>
  <c r="N43" i="49"/>
  <c r="T31" i="49"/>
  <c r="T34" i="49"/>
  <c r="K43" i="45"/>
  <c r="E43" i="45"/>
  <c r="T30" i="45"/>
  <c r="F43" i="45"/>
  <c r="T29" i="45"/>
  <c r="J43" i="45"/>
  <c r="T28" i="45"/>
  <c r="S23" i="45"/>
  <c r="L43" i="45"/>
  <c r="H43" i="45"/>
  <c r="T33" i="45"/>
  <c r="G43" i="45"/>
  <c r="T27" i="45"/>
  <c r="D43" i="45"/>
  <c r="M43" i="45"/>
  <c r="T26" i="45"/>
  <c r="I43" i="45"/>
  <c r="T32" i="45"/>
  <c r="C43" i="45"/>
  <c r="G43" i="41"/>
  <c r="T27" i="41"/>
  <c r="T31" i="41"/>
  <c r="T34" i="41"/>
  <c r="L43" i="26"/>
  <c r="C43" i="26"/>
  <c r="F43" i="26"/>
  <c r="T29" i="26"/>
  <c r="D43" i="26"/>
  <c r="K43" i="26"/>
  <c r="E43" i="26"/>
  <c r="T30" i="26"/>
  <c r="M43" i="26"/>
  <c r="T26" i="26"/>
  <c r="S23" i="26"/>
  <c r="J43" i="26"/>
  <c r="T28" i="26"/>
  <c r="I43" i="26"/>
  <c r="T32" i="26"/>
  <c r="H43" i="26"/>
  <c r="T33" i="26"/>
  <c r="M43" i="44"/>
  <c r="T26" i="44"/>
  <c r="S30" i="44"/>
  <c r="N45" i="13"/>
  <c r="S38" i="13"/>
  <c r="N43" i="5"/>
  <c r="T34" i="10"/>
  <c r="T34" i="29"/>
  <c r="N43" i="29"/>
  <c r="T34" i="46"/>
  <c r="N43" i="25"/>
  <c r="N43" i="24"/>
  <c r="T34" i="24"/>
  <c r="T34" i="22"/>
  <c r="N43" i="22"/>
  <c r="N43" i="46"/>
  <c r="N43" i="41"/>
  <c r="T34" i="31"/>
  <c r="T31" i="28"/>
  <c r="T34" i="28"/>
  <c r="N43" i="28"/>
  <c r="N43" i="10"/>
  <c r="N43" i="45"/>
  <c r="T31" i="45"/>
  <c r="T34" i="45"/>
  <c r="N43" i="26"/>
  <c r="T31" i="26"/>
  <c r="T34" i="26"/>
  <c r="S31" i="44"/>
  <c r="S34" i="44"/>
  <c r="S43" i="36"/>
  <c r="S45" i="36"/>
  <c r="O32" i="36"/>
  <c r="O38" i="36"/>
  <c r="T43" i="36"/>
  <c r="T45" i="36"/>
  <c r="E42" i="36"/>
  <c r="N42" i="36"/>
  <c r="S30" i="36"/>
  <c r="S34" i="36"/>
  <c r="K43" i="36"/>
  <c r="S23" i="36"/>
  <c r="F43" i="36"/>
  <c r="T29" i="36"/>
  <c r="L43" i="36"/>
  <c r="M43" i="36"/>
  <c r="T26" i="36"/>
  <c r="D43" i="36"/>
  <c r="I43" i="36"/>
  <c r="T32" i="36"/>
  <c r="C43" i="36"/>
  <c r="H43" i="36"/>
  <c r="T33" i="36"/>
  <c r="G43" i="36"/>
  <c r="T27" i="36"/>
  <c r="J43" i="36"/>
  <c r="T28" i="36"/>
  <c r="E43" i="36"/>
  <c r="T30" i="36"/>
  <c r="N43" i="36"/>
  <c r="T31" i="36"/>
  <c r="T34" i="36"/>
  <c r="S27" i="11"/>
  <c r="S34" i="11"/>
  <c r="T41" i="11"/>
  <c r="T45" i="11"/>
  <c r="O38" i="11"/>
  <c r="O31" i="21"/>
  <c r="O32" i="21"/>
  <c r="O34" i="21"/>
  <c r="O35" i="21"/>
  <c r="O38" i="21"/>
  <c r="O31" i="38"/>
  <c r="O32" i="38"/>
  <c r="O34" i="38"/>
  <c r="O35" i="38"/>
  <c r="O38" i="38"/>
  <c r="G43" i="11"/>
  <c r="T27" i="11"/>
  <c r="M43" i="11"/>
  <c r="T26" i="11"/>
  <c r="J43" i="11"/>
  <c r="T28" i="11"/>
  <c r="L43" i="11"/>
  <c r="H43" i="11"/>
  <c r="T33" i="11"/>
  <c r="I43" i="11"/>
  <c r="T32" i="11"/>
  <c r="D43" i="11"/>
  <c r="C43" i="11"/>
  <c r="S23" i="11"/>
  <c r="K43" i="11"/>
  <c r="F43" i="11"/>
  <c r="T29" i="11"/>
  <c r="E43" i="11"/>
  <c r="T30" i="11"/>
  <c r="M42" i="9"/>
  <c r="N45" i="32"/>
  <c r="S38" i="32"/>
  <c r="L43" i="50"/>
  <c r="H43" i="50"/>
  <c r="T33" i="50"/>
  <c r="D43" i="50"/>
  <c r="K43" i="50"/>
  <c r="C43" i="50"/>
  <c r="F43" i="50"/>
  <c r="T29" i="50"/>
  <c r="E43" i="50"/>
  <c r="T30" i="50"/>
  <c r="G43" i="50"/>
  <c r="T27" i="50"/>
  <c r="J43" i="50"/>
  <c r="T28" i="50"/>
  <c r="S23" i="50"/>
  <c r="M43" i="50"/>
  <c r="T26" i="50"/>
  <c r="N45" i="19"/>
  <c r="S38" i="19"/>
  <c r="N41" i="21"/>
  <c r="M45" i="21"/>
  <c r="N45" i="21"/>
  <c r="S38" i="21"/>
  <c r="S43" i="21"/>
  <c r="F43" i="44"/>
  <c r="T29" i="44"/>
  <c r="H43" i="44"/>
  <c r="T33" i="44"/>
  <c r="I43" i="44"/>
  <c r="T32" i="44"/>
  <c r="S23" i="44"/>
  <c r="J43" i="44"/>
  <c r="T28" i="44"/>
  <c r="L43" i="44"/>
  <c r="E43" i="44"/>
  <c r="T30" i="44"/>
  <c r="D43" i="44"/>
  <c r="C43" i="44"/>
  <c r="G43" i="44"/>
  <c r="T27" i="44"/>
  <c r="S30" i="13"/>
  <c r="S34" i="13"/>
  <c r="N42" i="13"/>
  <c r="G42" i="33"/>
  <c r="N42" i="38"/>
  <c r="H43" i="38"/>
  <c r="T33" i="38"/>
  <c r="T42" i="38"/>
  <c r="N42" i="35"/>
  <c r="C43" i="35"/>
  <c r="S30" i="38"/>
  <c r="S33" i="38"/>
  <c r="S34" i="38"/>
  <c r="N42" i="42"/>
  <c r="E43" i="42"/>
  <c r="T30" i="42"/>
  <c r="N42" i="39"/>
  <c r="E43" i="39"/>
  <c r="T30" i="39"/>
  <c r="S30" i="39"/>
  <c r="S34" i="39"/>
  <c r="N42" i="2"/>
  <c r="E43" i="2"/>
  <c r="T30" i="2"/>
  <c r="S30" i="2"/>
  <c r="S34" i="2"/>
  <c r="N42" i="47"/>
  <c r="J43" i="47"/>
  <c r="T28" i="47"/>
  <c r="S27" i="47"/>
  <c r="S34" i="47"/>
  <c r="T31" i="11"/>
  <c r="T34" i="11"/>
  <c r="N43" i="11"/>
  <c r="N42" i="9"/>
  <c r="M43" i="9"/>
  <c r="T26" i="9"/>
  <c r="S26" i="9"/>
  <c r="S34" i="9"/>
  <c r="T31" i="50"/>
  <c r="T34" i="50"/>
  <c r="N43" i="50"/>
  <c r="E43" i="38"/>
  <c r="T30" i="38"/>
  <c r="T41" i="38"/>
  <c r="T40" i="21"/>
  <c r="T44" i="21"/>
  <c r="T41" i="21"/>
  <c r="T42" i="21"/>
  <c r="O41" i="21"/>
  <c r="T39" i="21"/>
  <c r="T43" i="21"/>
  <c r="S39" i="21"/>
  <c r="S45" i="21"/>
  <c r="T45" i="21"/>
  <c r="M42" i="21"/>
  <c r="S26" i="21"/>
  <c r="S34" i="21"/>
  <c r="N43" i="44"/>
  <c r="T31" i="44"/>
  <c r="T34" i="44"/>
  <c r="G43" i="13"/>
  <c r="T27" i="13"/>
  <c r="F43" i="13"/>
  <c r="T29" i="13"/>
  <c r="L43" i="13"/>
  <c r="I43" i="13"/>
  <c r="T32" i="13"/>
  <c r="M43" i="13"/>
  <c r="T26" i="13"/>
  <c r="C43" i="13"/>
  <c r="D43" i="13"/>
  <c r="K43" i="13"/>
  <c r="S23" i="13"/>
  <c r="J43" i="13"/>
  <c r="T28" i="13"/>
  <c r="H43" i="13"/>
  <c r="T33" i="13"/>
  <c r="E43" i="13"/>
  <c r="T30" i="13"/>
  <c r="S27" i="33"/>
  <c r="S34" i="33"/>
  <c r="N42" i="33"/>
  <c r="G43" i="33"/>
  <c r="T27" i="33"/>
  <c r="I43" i="38"/>
  <c r="T32" i="38"/>
  <c r="L43" i="38"/>
  <c r="D43" i="38"/>
  <c r="C43" i="38"/>
  <c r="J43" i="38"/>
  <c r="T28" i="38"/>
  <c r="K43" i="38"/>
  <c r="F43" i="38"/>
  <c r="T29" i="38"/>
  <c r="O41" i="38"/>
  <c r="T39" i="38"/>
  <c r="M43" i="38"/>
  <c r="T26" i="38"/>
  <c r="S23" i="38"/>
  <c r="T40" i="38"/>
  <c r="G43" i="38"/>
  <c r="T27" i="38"/>
  <c r="T44" i="38"/>
  <c r="T31" i="35"/>
  <c r="S23" i="35"/>
  <c r="L43" i="35"/>
  <c r="H43" i="35"/>
  <c r="T33" i="35"/>
  <c r="D43" i="35"/>
  <c r="M43" i="35"/>
  <c r="T26" i="35"/>
  <c r="I43" i="35"/>
  <c r="T32" i="35"/>
  <c r="E43" i="35"/>
  <c r="T30" i="35"/>
  <c r="J43" i="35"/>
  <c r="T28" i="35"/>
  <c r="F43" i="35"/>
  <c r="T29" i="35"/>
  <c r="K43" i="35"/>
  <c r="G43" i="35"/>
  <c r="T27" i="35"/>
  <c r="I43" i="42"/>
  <c r="T32" i="42"/>
  <c r="L43" i="42"/>
  <c r="H43" i="42"/>
  <c r="T33" i="42"/>
  <c r="D43" i="42"/>
  <c r="S23" i="42"/>
  <c r="M43" i="42"/>
  <c r="T26" i="42"/>
  <c r="J43" i="42"/>
  <c r="T28" i="42"/>
  <c r="F43" i="42"/>
  <c r="T29" i="42"/>
  <c r="C43" i="42"/>
  <c r="K43" i="42"/>
  <c r="G43" i="42"/>
  <c r="T27" i="42"/>
  <c r="G43" i="39"/>
  <c r="T27" i="39"/>
  <c r="H43" i="39"/>
  <c r="T33" i="39"/>
  <c r="F43" i="39"/>
  <c r="T29" i="39"/>
  <c r="S23" i="39"/>
  <c r="C43" i="39"/>
  <c r="M43" i="39"/>
  <c r="T26" i="39"/>
  <c r="K43" i="39"/>
  <c r="J43" i="39"/>
  <c r="T28" i="39"/>
  <c r="I43" i="39"/>
  <c r="T32" i="39"/>
  <c r="D43" i="39"/>
  <c r="L43" i="39"/>
  <c r="M43" i="2"/>
  <c r="T26" i="2"/>
  <c r="C43" i="2"/>
  <c r="G43" i="2"/>
  <c r="T27" i="2"/>
  <c r="H43" i="2"/>
  <c r="T33" i="2"/>
  <c r="K43" i="2"/>
  <c r="I43" i="2"/>
  <c r="T32" i="2"/>
  <c r="F43" i="2"/>
  <c r="T29" i="2"/>
  <c r="D43" i="2"/>
  <c r="S23" i="2"/>
  <c r="J43" i="2"/>
  <c r="T28" i="2"/>
  <c r="L43" i="2"/>
  <c r="L43" i="47"/>
  <c r="S23" i="47"/>
  <c r="K43" i="47"/>
  <c r="E43" i="47"/>
  <c r="T30" i="47"/>
  <c r="G43" i="47"/>
  <c r="T27" i="47"/>
  <c r="C43" i="47"/>
  <c r="M43" i="47"/>
  <c r="T26" i="47"/>
  <c r="F43" i="47"/>
  <c r="T29" i="47"/>
  <c r="D43" i="47"/>
  <c r="I43" i="47"/>
  <c r="T32" i="47"/>
  <c r="H43" i="47"/>
  <c r="T33" i="47"/>
  <c r="T31" i="47"/>
  <c r="C43" i="9"/>
  <c r="K43" i="9"/>
  <c r="I43" i="9"/>
  <c r="T32" i="9"/>
  <c r="F43" i="9"/>
  <c r="T29" i="9"/>
  <c r="G43" i="9"/>
  <c r="T27" i="9"/>
  <c r="L43" i="9"/>
  <c r="E43" i="9"/>
  <c r="T30" i="9"/>
  <c r="J43" i="9"/>
  <c r="T28" i="9"/>
  <c r="D43" i="9"/>
  <c r="H43" i="9"/>
  <c r="T33" i="9"/>
  <c r="S23" i="9"/>
  <c r="N43" i="47"/>
  <c r="T43" i="38"/>
  <c r="T45" i="38"/>
  <c r="N43" i="38"/>
  <c r="N42" i="21"/>
  <c r="I43" i="21"/>
  <c r="T32" i="21"/>
  <c r="T31" i="13"/>
  <c r="T34" i="13"/>
  <c r="N43" i="13"/>
  <c r="C43" i="33"/>
  <c r="M43" i="33"/>
  <c r="T26" i="33"/>
  <c r="D43" i="33"/>
  <c r="F43" i="33"/>
  <c r="T29" i="33"/>
  <c r="L43" i="33"/>
  <c r="S23" i="33"/>
  <c r="H43" i="33"/>
  <c r="T33" i="33"/>
  <c r="J43" i="33"/>
  <c r="T28" i="33"/>
  <c r="E43" i="33"/>
  <c r="T30" i="33"/>
  <c r="K43" i="33"/>
  <c r="I43" i="33"/>
  <c r="T32" i="33"/>
  <c r="T31" i="38"/>
  <c r="T34" i="38"/>
  <c r="N43" i="35"/>
  <c r="T34" i="35"/>
  <c r="T31" i="42"/>
  <c r="T34" i="42"/>
  <c r="N43" i="42"/>
  <c r="T31" i="39"/>
  <c r="T34" i="39"/>
  <c r="N43" i="39"/>
  <c r="T31" i="2"/>
  <c r="T34" i="2"/>
  <c r="N43" i="2"/>
  <c r="N42" i="32"/>
  <c r="T34" i="47"/>
  <c r="T31" i="9"/>
  <c r="T34" i="9"/>
  <c r="N43" i="9"/>
  <c r="M43" i="21"/>
  <c r="T26" i="21"/>
  <c r="H43" i="21"/>
  <c r="T33" i="21"/>
  <c r="S23" i="21"/>
  <c r="K43" i="21"/>
  <c r="F43" i="21"/>
  <c r="T29" i="21"/>
  <c r="J43" i="21"/>
  <c r="T28" i="21"/>
  <c r="D43" i="21"/>
  <c r="L43" i="21"/>
  <c r="G43" i="21"/>
  <c r="T27" i="21"/>
  <c r="C43" i="21"/>
  <c r="T31" i="21"/>
  <c r="E43" i="21"/>
  <c r="T30" i="21"/>
  <c r="N43" i="33"/>
  <c r="T31" i="33"/>
  <c r="T34" i="33"/>
  <c r="E43" i="32"/>
  <c r="T30" i="32"/>
  <c r="J43" i="32"/>
  <c r="T28" i="32"/>
  <c r="S23" i="32"/>
  <c r="H43" i="32"/>
  <c r="T33" i="32"/>
  <c r="L43" i="32"/>
  <c r="G43" i="32"/>
  <c r="T27" i="32"/>
  <c r="C43" i="32"/>
  <c r="D43" i="32"/>
  <c r="M43" i="32"/>
  <c r="T26" i="32"/>
  <c r="I43" i="32"/>
  <c r="T32" i="32"/>
  <c r="K43" i="32"/>
  <c r="F43" i="32"/>
  <c r="T29" i="32"/>
  <c r="T34" i="21"/>
  <c r="N43" i="21"/>
  <c r="T31" i="32"/>
  <c r="T34" i="32"/>
  <c r="N43" i="32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Thomas Andersson</author>
    <author>www.statistikdatabasen.scb.se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234 m3 lätt eldningsolja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892 ton pellets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  <author>Thomas Andersson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1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663529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>
  <authors>
    <author>www.statistikdatabasen.scb.se</author>
    <author>Thomas Andersson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A45" authorId="1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Värme förbrukas även i Partille och Ale</t>
        </r>
      </text>
    </comment>
  </commentList>
</comments>
</file>

<file path=xl/comments3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4.xml><?xml version="1.0" encoding="utf-8"?>
<comments xmlns="http://schemas.openxmlformats.org/spreadsheetml/2006/main">
  <authors>
    <author>Thomas Andersson</author>
    <author>www.statistikdatabasen.scb.se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Använt bränsle redovisat i fjärrvärmeproduktion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  <author>Thomas Andersson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Thomas Andersson:</t>
        </r>
        <r>
          <rPr>
            <sz val="9"/>
            <color indexed="81"/>
            <rFont val="Tahoma"/>
            <family val="2"/>
          </rPr>
          <t xml:space="preserve">
Solvärme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<sst xmlns="http://schemas.openxmlformats.org/spreadsheetml/2006/main" count="4866" uniqueCount="126">
  <si>
    <t>Elproduktion och bränsleanvändning (MWh) efter tid, region, produktionssätt och bränsletyp</t>
  </si>
  <si>
    <t>1401 Härryda</t>
  </si>
  <si>
    <t>Elproduktion</t>
  </si>
  <si>
    <t>Olja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</si>
  <si>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</si>
  <si>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</si>
  <si>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</si>
  <si>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</si>
  <si>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</si>
  <si>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</si>
  <si>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</si>
  <si>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</si>
  <si>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</si>
  <si>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</si>
  <si>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</si>
  <si>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</si>
  <si>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</si>
  <si>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</si>
  <si>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</si>
  <si>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</si>
  <si>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</si>
  <si>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</si>
  <si>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</si>
  <si>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</si>
  <si>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</si>
  <si>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</si>
  <si>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</si>
  <si>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</si>
  <si>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</si>
  <si>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</si>
  <si>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</si>
  <si>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</si>
  <si>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</si>
  <si>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</si>
  <si>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</si>
  <si>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</si>
  <si>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</si>
  <si>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</si>
  <si>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</si>
  <si>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</si>
  <si>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</si>
  <si>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</si>
  <si>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</si>
  <si>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</si>
  <si>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</si>
  <si>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</si>
  <si>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</si>
  <si>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</si>
  <si>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</si>
  <si>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</si>
  <si>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</si>
  <si>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</si>
  <si>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</si>
  <si>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</si>
  <si>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</si>
  <si>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</si>
  <si>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</si>
  <si>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</si>
  <si>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</si>
  <si>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</si>
  <si>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</si>
  <si>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</si>
  <si>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</si>
  <si>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</si>
  <si>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</si>
  <si>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</si>
  <si>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</si>
  <si>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</si>
  <si>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</si>
  <si>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</si>
  <si>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</si>
  <si>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</si>
  <si>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</si>
  <si>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</si>
  <si>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</si>
  <si>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</si>
  <si>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</si>
  <si>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</si>
  <si>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</si>
  <si>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</si>
  <si>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</si>
  <si>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</si>
  <si>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</si>
  <si>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</si>
  <si>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</si>
  <si>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</si>
  <si>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</si>
  <si>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</si>
  <si>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</si>
  <si>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</si>
  <si>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</si>
  <si>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</si>
  <si>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</si>
  <si>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</si>
  <si>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</si>
  <si>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</si>
  <si>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</si>
  <si>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</si>
  <si>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</si>
  <si>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</si>
  <si>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</si>
  <si>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</si>
  <si>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</si>
  <si>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</si>
  <si>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</si>
  <si>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</si>
  <si>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</si>
  <si>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</si>
  <si>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</si>
  <si>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</si>
  <si>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</si>
  <si>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Köpt</t>
  </si>
  <si>
    <t>Såld</t>
  </si>
  <si>
    <t>Sålt</t>
  </si>
  <si>
    <t>Köpt Värme</t>
  </si>
  <si>
    <t>Dist förluster Göteborg Ale Partille</t>
  </si>
  <si>
    <t>preemraff</t>
  </si>
  <si>
    <t>Brännolja</t>
  </si>
  <si>
    <t>Bränngas</t>
  </si>
  <si>
    <t>ton</t>
  </si>
  <si>
    <t>värmevärde</t>
  </si>
  <si>
    <t>Krackerkoks</t>
  </si>
  <si>
    <t>MWh</t>
  </si>
  <si>
    <t>miljörapport fel data! Ny information via mail</t>
  </si>
  <si>
    <t>Västra Götalands län</t>
  </si>
  <si>
    <t>Kol/koks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</si>
</sst>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#,##0.000"/>
    <numFmt numFmtId="168" formatCode="#,##0.0000"/>
    <numFmt numFmtId="169" formatCode="#,##0.000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i/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9" fontId="25" fillId="0" borderId="0" applyFont="0" applyFill="0" applyBorder="0" applyAlignment="0" applyProtection="0"/>
    <xf numFmtId="0" fontId="22" fillId="3" borderId="0" applyNumberFormat="0" applyBorder="0" applyAlignment="0" applyProtection="0"/>
    <xf numFmtId="0" fontId="25" fillId="0" borderId="0"/>
    <xf numFmtId="0" fontId="6" fillId="0" borderId="0"/>
    <xf numFmtId="0" fontId="26" fillId="0" borderId="0" applyNumberFormat="0" applyBorder="0" applyAlignment="0"/>
    <xf numFmtId="9" fontId="26" fillId="0" borderId="0" applyFont="0" applyFill="0" applyBorder="0" applyAlignment="0" applyProtection="0"/>
    <xf numFmtId="0" fontId="34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Border="0" applyAlignment="0"/>
  </cellStyleXfs>
  <cellXfs count="154">
    <xf numFmtId="0" fontId="0" fillId="0" borderId="0" xfId="0"/>
    <xf numFmtId="0" fontId="12" fillId="0" borderId="0" xfId="0" applyFont="1" applyFill="1" applyProtection="1"/>
    <xf numFmtId="0" fontId="0" fillId="0" borderId="0" xfId="0" applyFill="1" applyProtection="1"/>
    <xf numFmtId="0" fontId="13" fillId="0" borderId="0" xfId="0" applyFont="1"/>
    <xf numFmtId="0" fontId="14" fillId="0" borderId="0" xfId="0" applyFont="1"/>
    <xf numFmtId="0" fontId="15" fillId="0" borderId="0" xfId="0" applyFont="1" applyFill="1" applyProtection="1"/>
    <xf numFmtId="3" fontId="0" fillId="0" borderId="0" xfId="0" applyNumberFormat="1"/>
    <xf numFmtId="0" fontId="0" fillId="0" borderId="0" xfId="0"/>
    <xf numFmtId="0" fontId="15" fillId="0" borderId="0" xfId="0" applyFont="1" applyFill="1" applyProtection="1"/>
    <xf numFmtId="3" fontId="16" fillId="0" borderId="0" xfId="0" applyNumberFormat="1" applyFont="1"/>
    <xf numFmtId="3" fontId="0" fillId="0" borderId="0" xfId="0" applyNumberFormat="1" applyFill="1" applyProtection="1"/>
    <xf numFmtId="3" fontId="17" fillId="0" borderId="0" xfId="0" applyNumberFormat="1" applyFont="1" applyFill="1" applyProtection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0" fontId="0" fillId="0" borderId="0" xfId="0" applyNumberFormat="1"/>
    <xf numFmtId="165" fontId="18" fillId="0" borderId="0" xfId="0" applyNumberFormat="1" applyFont="1"/>
    <xf numFmtId="165" fontId="13" fillId="0" borderId="0" xfId="0" applyNumberFormat="1" applyFont="1"/>
    <xf numFmtId="3" fontId="16" fillId="0" borderId="0" xfId="0" applyNumberFormat="1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0" fontId="19" fillId="0" borderId="0" xfId="0" applyFont="1"/>
    <xf numFmtId="3" fontId="19" fillId="0" borderId="0" xfId="0" applyNumberFormat="1" applyFont="1"/>
    <xf numFmtId="3" fontId="18" fillId="0" borderId="0" xfId="0" applyNumberFormat="1" applyFont="1"/>
    <xf numFmtId="3" fontId="18" fillId="2" borderId="0" xfId="0" applyNumberFormat="1" applyFont="1" applyFill="1"/>
    <xf numFmtId="3" fontId="20" fillId="2" borderId="0" xfId="0" applyNumberFormat="1" applyFont="1" applyFill="1"/>
    <xf numFmtId="3" fontId="0" fillId="2" borderId="0" xfId="0" applyNumberFormat="1" applyFill="1"/>
    <xf numFmtId="0" fontId="16" fillId="0" borderId="0" xfId="0" applyFont="1"/>
    <xf numFmtId="0" fontId="16" fillId="0" borderId="0" xfId="0" applyFont="1" applyAlignment="1">
      <alignment horizontal="right"/>
    </xf>
    <xf numFmtId="1" fontId="0" fillId="0" borderId="0" xfId="0" applyNumberFormat="1"/>
    <xf numFmtId="165" fontId="18" fillId="0" borderId="0" xfId="0" applyNumberFormat="1" applyFont="1"/>
    <xf numFmtId="165" fontId="11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20" fillId="0" borderId="0" xfId="0" applyNumberFormat="1" applyFont="1"/>
    <xf numFmtId="0" fontId="11" fillId="0" borderId="0" xfId="0" applyFont="1"/>
    <xf numFmtId="165" fontId="10" fillId="0" borderId="0" xfId="0" applyNumberFormat="1" applyFont="1"/>
    <xf numFmtId="0" fontId="10" fillId="0" borderId="0" xfId="0" applyFont="1"/>
    <xf numFmtId="3" fontId="22" fillId="3" borderId="0" xfId="2" applyNumberFormat="1" applyFont="1"/>
    <xf numFmtId="3" fontId="22" fillId="3" borderId="0" xfId="2" applyNumberFormat="1"/>
    <xf numFmtId="3" fontId="0" fillId="0" borderId="0" xfId="0" applyNumberFormat="1"/>
    <xf numFmtId="3" fontId="22" fillId="3" borderId="0" xfId="2" applyNumberFormat="1" applyAlignment="1">
      <alignment horizontal="right"/>
    </xf>
    <xf numFmtId="3" fontId="22" fillId="3" borderId="0" xfId="2" applyNumberFormat="1" applyFont="1" applyAlignment="1">
      <alignment horizontal="right"/>
    </xf>
    <xf numFmtId="0" fontId="22" fillId="3" borderId="0" xfId="2" applyFont="1"/>
    <xf numFmtId="3" fontId="22" fillId="3" borderId="0" xfId="2" applyNumberFormat="1" applyProtection="1"/>
    <xf numFmtId="0" fontId="9" fillId="0" borderId="0" xfId="0" applyFont="1" applyFill="1" applyProtection="1"/>
    <xf numFmtId="0" fontId="26" fillId="0" borderId="0" xfId="0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Fill="1" applyProtection="1"/>
    <xf numFmtId="3" fontId="26" fillId="0" borderId="0" xfId="0" applyNumberFormat="1" applyFont="1" applyFill="1" applyProtection="1"/>
    <xf numFmtId="0" fontId="22" fillId="3" borderId="0" xfId="2" applyFont="1" applyAlignment="1" applyProtection="1">
      <alignment horizontal="right"/>
    </xf>
    <xf numFmtId="3" fontId="22" fillId="3" borderId="0" xfId="2" applyNumberFormat="1" applyFont="1" applyBorder="1"/>
    <xf numFmtId="164" fontId="9" fillId="0" borderId="0" xfId="0" applyNumberFormat="1" applyFont="1"/>
    <xf numFmtId="4" fontId="9" fillId="0" borderId="0" xfId="0" applyNumberFormat="1" applyFont="1"/>
    <xf numFmtId="165" fontId="9" fillId="0" borderId="0" xfId="0" applyNumberFormat="1" applyFont="1"/>
    <xf numFmtId="10" fontId="9" fillId="0" borderId="0" xfId="0" applyNumberFormat="1" applyFont="1"/>
    <xf numFmtId="165" fontId="27" fillId="0" borderId="0" xfId="0" applyNumberFormat="1" applyFont="1"/>
    <xf numFmtId="165" fontId="26" fillId="0" borderId="0" xfId="0" applyNumberFormat="1" applyFont="1"/>
    <xf numFmtId="166" fontId="9" fillId="0" borderId="0" xfId="0" applyNumberFormat="1" applyFont="1"/>
    <xf numFmtId="2" fontId="9" fillId="0" borderId="0" xfId="0" applyNumberFormat="1" applyFont="1"/>
    <xf numFmtId="0" fontId="28" fillId="0" borderId="0" xfId="0" applyFont="1"/>
    <xf numFmtId="3" fontId="28" fillId="0" borderId="0" xfId="0" applyNumberFormat="1" applyFont="1"/>
    <xf numFmtId="3" fontId="27" fillId="0" borderId="0" xfId="0" applyNumberFormat="1" applyFont="1"/>
    <xf numFmtId="3" fontId="27" fillId="2" borderId="0" xfId="0" applyNumberFormat="1" applyFont="1" applyFill="1"/>
    <xf numFmtId="3" fontId="29" fillId="2" borderId="0" xfId="0" applyNumberFormat="1" applyFont="1" applyFill="1"/>
    <xf numFmtId="3" fontId="9" fillId="2" borderId="0" xfId="0" applyNumberFormat="1" applyFont="1" applyFill="1"/>
    <xf numFmtId="1" fontId="9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9" fontId="29" fillId="0" borderId="0" xfId="0" applyNumberFormat="1" applyFont="1"/>
    <xf numFmtId="167" fontId="9" fillId="0" borderId="0" xfId="0" applyNumberFormat="1" applyFont="1" applyFill="1" applyProtection="1"/>
    <xf numFmtId="0" fontId="30" fillId="0" borderId="0" xfId="0" applyFont="1" applyFill="1" applyProtection="1"/>
    <xf numFmtId="3" fontId="8" fillId="0" borderId="0" xfId="0" applyNumberFormat="1" applyFont="1" applyFill="1" applyProtection="1"/>
    <xf numFmtId="3" fontId="16" fillId="0" borderId="0" xfId="0" applyNumberFormat="1" applyFont="1" applyFill="1" applyProtection="1"/>
    <xf numFmtId="0" fontId="31" fillId="0" borderId="0" xfId="0" applyFont="1"/>
    <xf numFmtId="168" fontId="0" fillId="0" borderId="0" xfId="0" applyNumberFormat="1" applyFill="1" applyProtection="1"/>
    <xf numFmtId="169" fontId="0" fillId="0" borderId="0" xfId="0" applyNumberFormat="1" applyFill="1" applyProtection="1"/>
    <xf numFmtId="1" fontId="7" fillId="0" borderId="0" xfId="0" applyNumberFormat="1" applyFont="1"/>
    <xf numFmtId="0" fontId="22" fillId="3" borderId="0" xfId="2" applyFont="1" applyProtection="1"/>
    <xf numFmtId="0" fontId="7" fillId="0" borderId="0" xfId="0" applyFont="1" applyFill="1" applyProtection="1"/>
    <xf numFmtId="1" fontId="22" fillId="3" borderId="0" xfId="2" applyNumberFormat="1"/>
    <xf numFmtId="1" fontId="22" fillId="3" borderId="0" xfId="2" applyNumberFormat="1" applyProtection="1"/>
    <xf numFmtId="0" fontId="5" fillId="0" borderId="0" xfId="4" applyFont="1"/>
    <xf numFmtId="3" fontId="5" fillId="0" borderId="0" xfId="0" applyNumberFormat="1" applyFont="1" applyFill="1" applyProtection="1"/>
    <xf numFmtId="0" fontId="5" fillId="0" borderId="0" xfId="0" applyFont="1"/>
    <xf numFmtId="0" fontId="32" fillId="0" borderId="0" xfId="0" applyFont="1" applyFill="1" applyProtection="1"/>
    <xf numFmtId="0" fontId="22" fillId="3" borderId="0" xfId="2"/>
    <xf numFmtId="3" fontId="33" fillId="0" borderId="0" xfId="0" applyNumberFormat="1" applyFont="1"/>
    <xf numFmtId="169" fontId="0" fillId="0" borderId="0" xfId="0" applyNumberFormat="1"/>
    <xf numFmtId="0" fontId="14" fillId="0" borderId="0" xfId="0" applyFont="1" applyAlignment="1">
      <alignment horizontal="right"/>
    </xf>
    <xf numFmtId="3" fontId="34" fillId="3" borderId="0" xfId="7" applyNumberFormat="1"/>
    <xf numFmtId="1" fontId="0" fillId="0" borderId="0" xfId="0" applyNumberFormat="1" applyFill="1" applyProtection="1"/>
    <xf numFmtId="0" fontId="4" fillId="0" borderId="0" xfId="0" applyFont="1"/>
    <xf numFmtId="3" fontId="3" fillId="0" borderId="0" xfId="0" applyNumberFormat="1" applyFont="1" applyFill="1" applyProtection="1"/>
    <xf numFmtId="0" fontId="2" fillId="0" borderId="0" xfId="0" applyFont="1"/>
    <xf numFmtId="0" fontId="35" fillId="0" borderId="0" xfId="0" applyFont="1" applyFill="1" applyProtection="1"/>
    <xf numFmtId="0" fontId="0" fillId="0" borderId="0" xfId="0" applyFont="1" applyFill="1" applyProtection="1"/>
    <xf numFmtId="0" fontId="36" fillId="0" borderId="0" xfId="0" applyFont="1"/>
    <xf numFmtId="0" fontId="14" fillId="0" borderId="0" xfId="0" applyFont="1" applyFill="1" applyProtection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Fill="1" applyProtection="1"/>
    <xf numFmtId="3" fontId="37" fillId="0" borderId="0" xfId="0" applyNumberFormat="1" applyFont="1" applyFill="1" applyProtection="1"/>
    <xf numFmtId="164" fontId="0" fillId="0" borderId="0" xfId="0" applyNumberFormat="1" applyFont="1"/>
    <xf numFmtId="4" fontId="0" fillId="0" borderId="0" xfId="0" applyNumberFormat="1" applyFont="1"/>
    <xf numFmtId="165" fontId="0" fillId="0" borderId="0" xfId="0" applyNumberFormat="1" applyFont="1"/>
    <xf numFmtId="10" fontId="0" fillId="0" borderId="0" xfId="0" applyNumberFormat="1" applyFont="1"/>
    <xf numFmtId="165" fontId="38" fillId="0" borderId="0" xfId="0" applyNumberFormat="1" applyFont="1"/>
    <xf numFmtId="165" fontId="36" fillId="0" borderId="0" xfId="0" applyNumberFormat="1" applyFont="1"/>
    <xf numFmtId="1" fontId="39" fillId="0" borderId="0" xfId="0" applyNumberFormat="1" applyFont="1" applyFill="1" applyBorder="1" applyAlignment="1">
      <alignment horizontal="center"/>
    </xf>
    <xf numFmtId="166" fontId="0" fillId="0" borderId="0" xfId="0" applyNumberFormat="1" applyFont="1"/>
    <xf numFmtId="2" fontId="0" fillId="0" borderId="0" xfId="0" applyNumberFormat="1" applyFont="1"/>
    <xf numFmtId="0" fontId="40" fillId="0" borderId="0" xfId="0" applyFont="1"/>
    <xf numFmtId="3" fontId="40" fillId="0" borderId="0" xfId="0" applyNumberFormat="1" applyFont="1"/>
    <xf numFmtId="3" fontId="38" fillId="0" borderId="0" xfId="0" applyNumberFormat="1" applyFont="1"/>
    <xf numFmtId="3" fontId="38" fillId="2" borderId="0" xfId="0" applyNumberFormat="1" applyFont="1" applyFill="1"/>
    <xf numFmtId="3" fontId="41" fillId="2" borderId="0" xfId="0" applyNumberFormat="1" applyFont="1" applyFill="1"/>
    <xf numFmtId="3" fontId="0" fillId="2" borderId="0" xfId="0" applyNumberFormat="1" applyFont="1" applyFill="1"/>
    <xf numFmtId="1" fontId="0" fillId="0" borderId="0" xfId="0" applyNumberFormat="1" applyFont="1"/>
    <xf numFmtId="3" fontId="41" fillId="0" borderId="0" xfId="0" applyNumberFormat="1" applyFont="1"/>
    <xf numFmtId="0" fontId="41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9" fontId="41" fillId="0" borderId="0" xfId="0" applyNumberFormat="1" applyFont="1"/>
    <xf numFmtId="0" fontId="13" fillId="0" borderId="0" xfId="0" applyFont="1" applyBorder="1"/>
    <xf numFmtId="0" fontId="0" fillId="0" borderId="0" xfId="0" applyFill="1" applyBorder="1" applyProtection="1"/>
    <xf numFmtId="0" fontId="0" fillId="0" borderId="0" xfId="0" applyBorder="1"/>
    <xf numFmtId="167" fontId="0" fillId="0" borderId="0" xfId="0" applyNumberFormat="1" applyFill="1" applyProtection="1"/>
    <xf numFmtId="0" fontId="1" fillId="0" borderId="0" xfId="0" applyFont="1"/>
    <xf numFmtId="1" fontId="22" fillId="3" borderId="0" xfId="2" applyNumberFormat="1" applyAlignment="1">
      <alignment horizontal="right"/>
    </xf>
    <xf numFmtId="0" fontId="30" fillId="0" borderId="0" xfId="0" applyFont="1"/>
    <xf numFmtId="0" fontId="13" fillId="0" borderId="0" xfId="14" applyFont="1"/>
    <xf numFmtId="164" fontId="26" fillId="0" borderId="0" xfId="14" applyNumberFormat="1"/>
    <xf numFmtId="4" fontId="26" fillId="0" borderId="0" xfId="14" applyNumberFormat="1"/>
    <xf numFmtId="165" fontId="26" fillId="0" borderId="0" xfId="14" applyNumberFormat="1"/>
    <xf numFmtId="10" fontId="26" fillId="0" borderId="0" xfId="14" applyNumberFormat="1"/>
    <xf numFmtId="165" fontId="18" fillId="0" borderId="0" xfId="14" applyNumberFormat="1" applyFont="1"/>
    <xf numFmtId="165" fontId="13" fillId="0" borderId="0" xfId="14" applyNumberFormat="1" applyFont="1"/>
    <xf numFmtId="0" fontId="26" fillId="0" borderId="0" xfId="14" applyFill="1" applyProtection="1"/>
    <xf numFmtId="0" fontId="26" fillId="0" borderId="0" xfId="14"/>
    <xf numFmtId="0" fontId="19" fillId="0" borderId="0" xfId="14" applyFont="1"/>
    <xf numFmtId="3" fontId="19" fillId="0" borderId="0" xfId="14" applyNumberFormat="1" applyFont="1"/>
    <xf numFmtId="166" fontId="26" fillId="0" borderId="0" xfId="14" applyNumberFormat="1"/>
    <xf numFmtId="3" fontId="18" fillId="0" borderId="0" xfId="14" applyNumberFormat="1" applyFont="1"/>
    <xf numFmtId="3" fontId="18" fillId="2" borderId="0" xfId="14" applyNumberFormat="1" applyFont="1" applyFill="1"/>
    <xf numFmtId="3" fontId="20" fillId="2" borderId="0" xfId="14" applyNumberFormat="1" applyFont="1" applyFill="1"/>
    <xf numFmtId="2" fontId="26" fillId="0" borderId="0" xfId="14" applyNumberFormat="1"/>
    <xf numFmtId="3" fontId="26" fillId="0" borderId="0" xfId="14" applyNumberFormat="1"/>
    <xf numFmtId="3" fontId="26" fillId="2" borderId="0" xfId="14" applyNumberFormat="1" applyFill="1"/>
  </cellXfs>
  <cellStyles count="15">
    <cellStyle name="Bra 2" xfId="7"/>
    <cellStyle name="Followed Hyperlink" xfId="9" builtinId="9" hidden="1"/>
    <cellStyle name="Followed Hyperlink" xfId="11" builtinId="9" hidden="1"/>
    <cellStyle name="Followed Hyperlink" xfId="13" builtinId="9" hidden="1"/>
    <cellStyle name="Good" xfId="2" builtinId="26" customBuilti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 2 2" xfId="14"/>
    <cellStyle name="Normal 3" xfId="4"/>
    <cellStyle name="Normal 4" xfId="5"/>
    <cellStyle name="Procent 2" xfId="1"/>
    <cellStyle name="Procent 3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" Type="http://schemas.openxmlformats.org/officeDocument/2006/relationships/worksheet" Target="worksheets/sheet26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34" Type="http://schemas.openxmlformats.org/officeDocument/2006/relationships/worksheet" Target="worksheets/sheet34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24" Type="http://schemas.openxmlformats.org/officeDocument/2006/relationships/worksheet" Target="worksheets/sheet24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56" Type="http://schemas.openxmlformats.org/officeDocument/2006/relationships/styles" Target="styles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51" Type="http://schemas.openxmlformats.org/officeDocument/2006/relationships/worksheet" Target="worksheets/sheet5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7" Type="http://schemas.openxmlformats.org/officeDocument/2006/relationships/worksheet" Target="worksheets/sheet17.xml"/><Relationship Id="rId46" Type="http://schemas.openxmlformats.org/officeDocument/2006/relationships/worksheet" Target="worksheets/sheet46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5" Type="http://schemas.openxmlformats.org/officeDocument/2006/relationships/worksheet" Target="worksheets/sheet25.xml"/><Relationship Id="rId12" Type="http://schemas.openxmlformats.org/officeDocument/2006/relationships/worksheet" Target="worksheets/sheet12.xml"/><Relationship Id="rId59" Type="http://schemas.openxmlformats.org/officeDocument/2006/relationships/customXml" Target="../customXml/item1.xml"/><Relationship Id="rId54" Type="http://schemas.openxmlformats.org/officeDocument/2006/relationships/worksheet" Target="worksheets/sheet54.xml"/><Relationship Id="rId41" Type="http://schemas.openxmlformats.org/officeDocument/2006/relationships/worksheet" Target="worksheets/sheet41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7" Type="http://schemas.openxmlformats.org/officeDocument/2006/relationships/sharedStrings" Target="sharedStrings.xml"/><Relationship Id="rId49" Type="http://schemas.openxmlformats.org/officeDocument/2006/relationships/worksheet" Target="worksheets/sheet49.xml"/><Relationship Id="rId36" Type="http://schemas.openxmlformats.org/officeDocument/2006/relationships/worksheet" Target="worksheets/sheet3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2" Type="http://schemas.openxmlformats.org/officeDocument/2006/relationships/worksheet" Target="worksheets/sheet52.xml"/><Relationship Id="rId44" Type="http://schemas.openxmlformats.org/officeDocument/2006/relationships/worksheet" Target="worksheets/sheet44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Relationship Id="rId2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Relationship Id="rId2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Relationship Id="rId2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4.vml"/><Relationship Id="rId2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5.vml"/><Relationship Id="rId2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6.vml"/><Relationship Id="rId2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8.vml"/><Relationship Id="rId2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9.vml"/><Relationship Id="rId2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0.vml"/><Relationship Id="rId2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1.vml"/><Relationship Id="rId2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2.vml"/><Relationship Id="rId2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3.vml"/><Relationship Id="rId2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4.vml"/><Relationship Id="rId2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5.vml"/><Relationship Id="rId2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6.vml"/><Relationship Id="rId2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7.vml"/><Relationship Id="rId2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8.vml"/><Relationship Id="rId2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9.vml"/><Relationship Id="rId2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0.vml"/><Relationship Id="rId2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1.vml"/><Relationship Id="rId2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2.vml"/><Relationship Id="rId2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3.vml"/><Relationship Id="rId2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4.vml"/><Relationship Id="rId2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5.vml"/><Relationship Id="rId2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6.vml"/><Relationship Id="rId2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7.vml"/><Relationship Id="rId2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8.vml"/><Relationship Id="rId2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9.vml"/><Relationship Id="rId2" Type="http://schemas.openxmlformats.org/officeDocument/2006/relationships/comments" Target="../comments4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="125" zoomScaleNormal="125" zoomScalePageLayoutView="125" workbookViewId="0">
      <selection activeCell="B11" sqref="B11"/>
    </sheetView>
  </sheetViews>
  <sheetFormatPr baseColWidth="10" defaultRowHeight="15" x14ac:dyDescent="0"/>
  <cols>
    <col min="1" max="1" width="20.33203125" style="7" customWidth="1"/>
    <col min="2" max="12" width="10.83203125" style="7"/>
    <col min="13" max="13" width="12" style="7" customWidth="1"/>
    <col min="14" max="14" width="11.83203125" style="7" customWidth="1"/>
    <col min="15" max="18" width="10.83203125" style="7"/>
    <col min="19" max="19" width="11.83203125" style="7" customWidth="1"/>
    <col min="20" max="16384" width="10.83203125" style="7"/>
  </cols>
  <sheetData>
    <row r="1" spans="1:14">
      <c r="A1" s="135" t="s">
        <v>0</v>
      </c>
    </row>
    <row r="2" spans="1:14">
      <c r="A2" s="135" t="s">
        <v>124</v>
      </c>
    </row>
    <row r="3" spans="1:14">
      <c r="A3" s="7">
        <v>2013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33</v>
      </c>
      <c r="H3" s="7" t="s">
        <v>7</v>
      </c>
      <c r="I3" s="7" t="s">
        <v>6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6" spans="1:14">
      <c r="A6" s="7" t="s">
        <v>13</v>
      </c>
      <c r="B6" s="42">
        <v>1260324.0992534449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</row>
    <row r="7" spans="1:14">
      <c r="A7" s="7" t="s">
        <v>14</v>
      </c>
      <c r="B7" s="42">
        <v>3332</v>
      </c>
      <c r="C7" s="42">
        <v>12733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f t="shared" ref="N7:N9" si="0">SUM(C7:M7)</f>
        <v>12733</v>
      </c>
    </row>
    <row r="8" spans="1:14">
      <c r="A8" s="7" t="s">
        <v>15</v>
      </c>
      <c r="B8" s="42">
        <v>1916763.054597032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>
        <f t="shared" si="0"/>
        <v>0</v>
      </c>
    </row>
    <row r="9" spans="1:14">
      <c r="A9" s="7" t="s">
        <v>16</v>
      </c>
      <c r="B9" s="42">
        <v>1547811.9999999995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>
        <f t="shared" si="0"/>
        <v>0</v>
      </c>
    </row>
    <row r="10" spans="1:14">
      <c r="A10" s="7" t="s">
        <v>17</v>
      </c>
      <c r="B10" s="42">
        <f>SUM(B6:B9)</f>
        <v>4728231.1538504772</v>
      </c>
      <c r="C10" s="42">
        <f>SUM(C6:C9)</f>
        <v>12733</v>
      </c>
      <c r="D10" s="42">
        <v>0</v>
      </c>
      <c r="E10" s="42">
        <v>0</v>
      </c>
      <c r="F10" s="42">
        <v>0</v>
      </c>
      <c r="G10" s="42">
        <f>SUM(G6:G9)</f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f>SUM(N6:N9)</f>
        <v>12733</v>
      </c>
    </row>
    <row r="11" spans="1:14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>
      <c r="A13" s="135" t="s">
        <v>18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>
      <c r="B15" s="42" t="s">
        <v>19</v>
      </c>
      <c r="C15" s="42" t="s">
        <v>3</v>
      </c>
      <c r="D15" s="42" t="s">
        <v>4</v>
      </c>
      <c r="E15" s="42" t="s">
        <v>5</v>
      </c>
      <c r="F15" s="42" t="s">
        <v>20</v>
      </c>
      <c r="G15" s="42" t="s">
        <v>33</v>
      </c>
      <c r="H15" s="42" t="s">
        <v>7</v>
      </c>
      <c r="I15" s="42" t="s">
        <v>6</v>
      </c>
      <c r="J15" s="42" t="s">
        <v>8</v>
      </c>
      <c r="K15" s="42" t="s">
        <v>9</v>
      </c>
      <c r="L15" s="42" t="s">
        <v>10</v>
      </c>
      <c r="M15" s="42" t="s">
        <v>11</v>
      </c>
      <c r="N15" s="42" t="s">
        <v>12</v>
      </c>
    </row>
    <row r="16" spans="1:14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>
      <c r="A17" s="7" t="s">
        <v>21</v>
      </c>
      <c r="B17" s="42">
        <v>3799923.2</v>
      </c>
      <c r="C17" s="42">
        <v>69614</v>
      </c>
      <c r="D17" s="42">
        <v>0</v>
      </c>
      <c r="E17" s="42">
        <v>1445106</v>
      </c>
      <c r="F17" s="42">
        <v>71884</v>
      </c>
      <c r="G17" s="42">
        <v>2264773</v>
      </c>
      <c r="H17" s="42">
        <v>0</v>
      </c>
      <c r="I17" s="42">
        <v>0</v>
      </c>
      <c r="J17" s="42">
        <v>104170</v>
      </c>
      <c r="K17" s="42">
        <v>1244224</v>
      </c>
      <c r="L17" s="42">
        <v>0</v>
      </c>
      <c r="M17" s="42">
        <v>0</v>
      </c>
      <c r="N17" s="42">
        <f>SUM(C17:M17)</f>
        <v>5199771</v>
      </c>
    </row>
    <row r="18" spans="1:20">
      <c r="A18" s="7" t="s">
        <v>22</v>
      </c>
      <c r="B18" s="42">
        <v>3689133.8</v>
      </c>
      <c r="C18" s="42">
        <v>73902</v>
      </c>
      <c r="D18" s="42">
        <v>0</v>
      </c>
      <c r="E18" s="42">
        <v>96115</v>
      </c>
      <c r="F18" s="42">
        <v>105809</v>
      </c>
      <c r="G18" s="42">
        <v>1701800.2</v>
      </c>
      <c r="H18" s="42">
        <v>25133</v>
      </c>
      <c r="I18" s="42">
        <v>0</v>
      </c>
      <c r="J18" s="42">
        <v>22837</v>
      </c>
      <c r="K18" s="42">
        <v>907200</v>
      </c>
      <c r="L18" s="42">
        <v>0</v>
      </c>
      <c r="M18" s="42">
        <v>149596</v>
      </c>
      <c r="N18" s="42">
        <f t="shared" ref="N18:N20" si="1">SUM(C18:M18)</f>
        <v>3082392.2</v>
      </c>
    </row>
    <row r="19" spans="1:20">
      <c r="A19" s="7" t="s">
        <v>23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f t="shared" si="1"/>
        <v>0</v>
      </c>
    </row>
    <row r="20" spans="1:20">
      <c r="A20" s="7" t="s">
        <v>24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f t="shared" si="1"/>
        <v>0</v>
      </c>
    </row>
    <row r="21" spans="1:20">
      <c r="A21" s="7" t="s">
        <v>25</v>
      </c>
      <c r="B21" s="42">
        <v>1297049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</row>
    <row r="22" spans="1:20">
      <c r="A22" s="7" t="s">
        <v>26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</row>
    <row r="23" spans="1:20">
      <c r="A23" s="7" t="s">
        <v>17</v>
      </c>
      <c r="B23" s="42">
        <v>8786306</v>
      </c>
      <c r="C23" s="42">
        <f>SUM(C17:C22)</f>
        <v>143516</v>
      </c>
      <c r="D23" s="42">
        <f t="shared" ref="D23:N23" si="2">SUM(D17:D22)</f>
        <v>0</v>
      </c>
      <c r="E23" s="42">
        <f t="shared" si="2"/>
        <v>1541221</v>
      </c>
      <c r="F23" s="42">
        <f t="shared" si="2"/>
        <v>177693</v>
      </c>
      <c r="G23" s="42">
        <f t="shared" si="2"/>
        <v>3966573.2</v>
      </c>
      <c r="H23" s="42">
        <f t="shared" si="2"/>
        <v>25133</v>
      </c>
      <c r="I23" s="42">
        <f t="shared" si="2"/>
        <v>0</v>
      </c>
      <c r="J23" s="42">
        <f t="shared" si="2"/>
        <v>127007</v>
      </c>
      <c r="K23" s="42">
        <f t="shared" si="2"/>
        <v>2151424</v>
      </c>
      <c r="L23" s="42">
        <f t="shared" si="2"/>
        <v>0</v>
      </c>
      <c r="M23" s="42">
        <f t="shared" si="2"/>
        <v>149596</v>
      </c>
      <c r="N23" s="42">
        <f t="shared" si="2"/>
        <v>8282163.2000000002</v>
      </c>
      <c r="R23" s="136" t="s">
        <v>27</v>
      </c>
      <c r="S23" s="137">
        <f>N42/1000</f>
        <v>62765.592409635443</v>
      </c>
      <c r="T23" s="136"/>
    </row>
    <row r="24" spans="1:20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R24" s="136"/>
      <c r="S24" s="136"/>
      <c r="T24" s="136"/>
    </row>
    <row r="25" spans="1:20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R25" s="136"/>
      <c r="S25" s="136" t="s">
        <v>28</v>
      </c>
      <c r="T25" s="136" t="s">
        <v>29</v>
      </c>
    </row>
    <row r="26" spans="1:20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R26" s="136" t="s">
        <v>11</v>
      </c>
      <c r="S26" s="138">
        <f>M42/1000</f>
        <v>18863.746420746556</v>
      </c>
      <c r="T26" s="139">
        <f>M43</f>
        <v>0.30054279258026562</v>
      </c>
    </row>
    <row r="27" spans="1:20">
      <c r="A27" s="135" t="s">
        <v>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R27" s="42" t="s">
        <v>33</v>
      </c>
      <c r="S27" s="138">
        <f>G42/1000</f>
        <v>6470.7578150763084</v>
      </c>
      <c r="T27" s="140">
        <f>G43</f>
        <v>0.10309402917517835</v>
      </c>
    </row>
    <row r="28" spans="1:20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R28" s="136" t="s">
        <v>8</v>
      </c>
      <c r="S28" s="138">
        <f>J42/1000</f>
        <v>127.00700000000001</v>
      </c>
      <c r="T28" s="139">
        <f>J43</f>
        <v>2.0235131243738977E-3</v>
      </c>
    </row>
    <row r="29" spans="1:20">
      <c r="B29" s="42" t="s">
        <v>31</v>
      </c>
      <c r="C29" s="42" t="s">
        <v>3</v>
      </c>
      <c r="D29" s="42" t="s">
        <v>4</v>
      </c>
      <c r="E29" s="42" t="s">
        <v>5</v>
      </c>
      <c r="F29" s="42" t="s">
        <v>32</v>
      </c>
      <c r="G29" s="42" t="s">
        <v>33</v>
      </c>
      <c r="H29" s="42" t="s">
        <v>7</v>
      </c>
      <c r="I29" s="42" t="s">
        <v>6</v>
      </c>
      <c r="J29" s="42" t="s">
        <v>8</v>
      </c>
      <c r="K29" s="42" t="s">
        <v>9</v>
      </c>
      <c r="L29" s="42" t="s">
        <v>10</v>
      </c>
      <c r="M29" s="42" t="s">
        <v>11</v>
      </c>
      <c r="N29" s="42" t="s">
        <v>34</v>
      </c>
      <c r="R29" s="136" t="s">
        <v>9</v>
      </c>
      <c r="S29" s="138">
        <f>K42/1000</f>
        <v>2661.8</v>
      </c>
      <c r="T29" s="139">
        <f>K43</f>
        <v>4.240858562487454E-2</v>
      </c>
    </row>
    <row r="30" spans="1:20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R30" s="136" t="s">
        <v>32</v>
      </c>
      <c r="S30" s="138">
        <f>F42/1000</f>
        <v>1508.8899848188269</v>
      </c>
      <c r="T30" s="139">
        <f>F43</f>
        <v>2.4040081944437922E-2</v>
      </c>
    </row>
    <row r="31" spans="1:20">
      <c r="A31" s="7" t="s">
        <v>36</v>
      </c>
      <c r="B31" s="42">
        <v>0</v>
      </c>
      <c r="C31" s="42">
        <v>437018.1517016592</v>
      </c>
      <c r="D31" s="42">
        <v>0</v>
      </c>
      <c r="E31" s="42">
        <v>0</v>
      </c>
      <c r="F31" s="42">
        <v>44763.2194647492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494079.58791430225</v>
      </c>
      <c r="N31" s="42">
        <f>SUM(B31:M31)</f>
        <v>975860.95908071066</v>
      </c>
      <c r="O31" s="141">
        <f>N31/N$39</f>
        <v>1.574212564884887E-2</v>
      </c>
      <c r="P31" s="142" t="s">
        <v>37</v>
      </c>
      <c r="Q31" s="136"/>
      <c r="R31" s="136" t="s">
        <v>35</v>
      </c>
      <c r="S31" s="137">
        <f>E42/1000</f>
        <v>16484.493584682674</v>
      </c>
      <c r="T31" s="139">
        <f>E43</f>
        <v>0.26263583201920138</v>
      </c>
    </row>
    <row r="32" spans="1:20">
      <c r="A32" s="7" t="s">
        <v>39</v>
      </c>
      <c r="B32" s="42">
        <v>859369.47361376672</v>
      </c>
      <c r="C32" s="42">
        <v>958123.71150909818</v>
      </c>
      <c r="D32" s="42">
        <v>494869.74110032298</v>
      </c>
      <c r="E32" s="42">
        <v>14877172.584682673</v>
      </c>
      <c r="F32" s="42">
        <v>23373.9383507776</v>
      </c>
      <c r="G32" s="42">
        <v>759366.18888888881</v>
      </c>
      <c r="H32" s="42">
        <v>6334</v>
      </c>
      <c r="I32" s="42">
        <v>324530</v>
      </c>
      <c r="J32" s="42">
        <v>0</v>
      </c>
      <c r="K32" s="42">
        <v>510376</v>
      </c>
      <c r="L32" s="42">
        <v>0</v>
      </c>
      <c r="M32" s="42">
        <v>6340876.7911905982</v>
      </c>
      <c r="N32" s="42">
        <f t="shared" ref="N32:N38" si="3">SUM(B32:M32)</f>
        <v>25154392.429336127</v>
      </c>
      <c r="O32" s="141">
        <f>N32/N$39</f>
        <v>0.40577871525477371</v>
      </c>
      <c r="P32" s="142" t="s">
        <v>40</v>
      </c>
      <c r="Q32" s="136"/>
      <c r="R32" s="136" t="s">
        <v>125</v>
      </c>
      <c r="S32" s="137">
        <f>D42/1000</f>
        <v>494.86974110032298</v>
      </c>
      <c r="T32" s="139">
        <f>D43</f>
        <v>7.8844112212084084E-3</v>
      </c>
    </row>
    <row r="33" spans="1:20">
      <c r="A33" s="7" t="s">
        <v>42</v>
      </c>
      <c r="B33" s="42">
        <v>1171613.340172084</v>
      </c>
      <c r="C33" s="42">
        <v>122626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1490709.0276219626</v>
      </c>
      <c r="N33" s="42">
        <f t="shared" si="3"/>
        <v>2784948.3677940466</v>
      </c>
      <c r="O33" s="141">
        <f>N33/N$39</f>
        <v>4.4925464763617508E-2</v>
      </c>
      <c r="P33" s="142" t="s">
        <v>43</v>
      </c>
      <c r="Q33" s="136"/>
      <c r="R33" s="136" t="s">
        <v>6</v>
      </c>
      <c r="S33" s="137">
        <f>I42/1000</f>
        <v>324.52999999999997</v>
      </c>
      <c r="T33" s="139">
        <f>I43</f>
        <v>5.1705080369826937E-3</v>
      </c>
    </row>
    <row r="34" spans="1:20">
      <c r="A34" s="7" t="s">
        <v>44</v>
      </c>
      <c r="B34" s="42">
        <v>0</v>
      </c>
      <c r="C34" s="42">
        <v>13085126</v>
      </c>
      <c r="D34" s="42">
        <v>0</v>
      </c>
      <c r="E34" s="42">
        <v>66100</v>
      </c>
      <c r="F34" s="42">
        <v>1263059.8270033002</v>
      </c>
      <c r="G34" s="42">
        <v>0</v>
      </c>
      <c r="H34" s="42">
        <v>141900</v>
      </c>
      <c r="I34" s="42">
        <v>0</v>
      </c>
      <c r="J34" s="42">
        <v>0</v>
      </c>
      <c r="K34" s="42">
        <v>0</v>
      </c>
      <c r="L34" s="42">
        <v>0</v>
      </c>
      <c r="M34" s="42">
        <v>399072.17299669975</v>
      </c>
      <c r="N34" s="42">
        <f t="shared" si="3"/>
        <v>14955258</v>
      </c>
      <c r="O34" s="141">
        <f>N34/N$39</f>
        <v>0.24125112123425024</v>
      </c>
      <c r="P34" s="142" t="s">
        <v>45</v>
      </c>
      <c r="Q34" s="136"/>
      <c r="R34" s="136" t="s">
        <v>38</v>
      </c>
      <c r="S34" s="138">
        <f>C42/1000</f>
        <v>15656.130863210756</v>
      </c>
      <c r="T34" s="140">
        <f>C43</f>
        <v>0.24943811190424311</v>
      </c>
    </row>
    <row r="35" spans="1:20">
      <c r="A35" s="7" t="s">
        <v>46</v>
      </c>
      <c r="B35" s="42">
        <v>1031570.4362141491</v>
      </c>
      <c r="C35" s="42">
        <v>839359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4357911.2973390985</v>
      </c>
      <c r="N35" s="42">
        <f t="shared" si="3"/>
        <v>6228840.7335532475</v>
      </c>
      <c r="O35" s="141">
        <f>N35/N$39</f>
        <v>0.10048070123292362</v>
      </c>
      <c r="P35" s="142" t="s">
        <v>47</v>
      </c>
      <c r="Q35" s="142"/>
      <c r="R35" s="136" t="s">
        <v>10</v>
      </c>
      <c r="S35" s="138">
        <f>L42/1000</f>
        <v>0</v>
      </c>
      <c r="T35" s="140">
        <f>L43</f>
        <v>0</v>
      </c>
    </row>
    <row r="36" spans="1:20">
      <c r="A36" s="7" t="s">
        <v>48</v>
      </c>
      <c r="B36" s="42">
        <v>599782.69999999995</v>
      </c>
      <c r="C36" s="42">
        <v>40095</v>
      </c>
      <c r="D36" s="42">
        <v>0</v>
      </c>
      <c r="E36" s="42">
        <v>0</v>
      </c>
      <c r="F36" s="42">
        <v>0</v>
      </c>
      <c r="G36" s="42">
        <v>1744818.4261874198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4026812</v>
      </c>
      <c r="N36" s="42">
        <f t="shared" si="3"/>
        <v>6411508.1261874195</v>
      </c>
      <c r="O36" s="142"/>
      <c r="P36" s="142"/>
      <c r="Q36" s="136"/>
      <c r="R36" s="136" t="s">
        <v>7</v>
      </c>
      <c r="S36" s="138">
        <f>H42/1000</f>
        <v>173.36699999999999</v>
      </c>
      <c r="T36" s="139">
        <f>H43</f>
        <v>2.7621343692342116E-3</v>
      </c>
    </row>
    <row r="37" spans="1:20">
      <c r="A37" s="7" t="s">
        <v>49</v>
      </c>
      <c r="B37" s="42">
        <v>4073567.89</v>
      </c>
      <c r="C37" s="42">
        <v>17534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1015880.4795102534</v>
      </c>
      <c r="N37" s="42">
        <f t="shared" si="3"/>
        <v>5106982.3695102539</v>
      </c>
      <c r="O37" s="142"/>
      <c r="P37" s="142"/>
      <c r="Q37" s="136"/>
      <c r="R37" s="136"/>
      <c r="S37" s="138">
        <f>SUM(S26:S36)</f>
        <v>62765.592409635443</v>
      </c>
      <c r="T37" s="139">
        <f>SUM(T26:T36)</f>
        <v>1</v>
      </c>
    </row>
    <row r="38" spans="1:20">
      <c r="A38" s="7" t="s">
        <v>50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372627.64342708531</v>
      </c>
      <c r="N38" s="42">
        <f t="shared" si="3"/>
        <v>372627.64342708531</v>
      </c>
      <c r="O38" s="142">
        <f>SUM(O31:O35)</f>
        <v>0.80817812813441403</v>
      </c>
      <c r="P38" s="142"/>
      <c r="Q38" s="136"/>
      <c r="R38" s="143"/>
      <c r="S38" s="143"/>
      <c r="T38" s="143"/>
    </row>
    <row r="39" spans="1:20">
      <c r="A39" s="7" t="s">
        <v>17</v>
      </c>
      <c r="B39" s="42">
        <f>SUM(B31:B38)</f>
        <v>7735903.8399999999</v>
      </c>
      <c r="C39" s="42">
        <f t="shared" ref="C39:N39" si="4">SUM(C31:C38)</f>
        <v>15499881.863210756</v>
      </c>
      <c r="D39" s="42">
        <f t="shared" si="4"/>
        <v>494869.74110032298</v>
      </c>
      <c r="E39" s="42">
        <f t="shared" si="4"/>
        <v>14943272.584682673</v>
      </c>
      <c r="F39" s="42">
        <f t="shared" si="4"/>
        <v>1331196.9848188269</v>
      </c>
      <c r="G39" s="42">
        <f t="shared" si="4"/>
        <v>2504184.6150763086</v>
      </c>
      <c r="H39" s="42">
        <f t="shared" si="4"/>
        <v>148234</v>
      </c>
      <c r="I39" s="42">
        <f t="shared" si="4"/>
        <v>324530</v>
      </c>
      <c r="J39" s="42">
        <f t="shared" si="4"/>
        <v>0</v>
      </c>
      <c r="K39" s="42">
        <f t="shared" si="4"/>
        <v>510376</v>
      </c>
      <c r="L39" s="42">
        <f t="shared" si="4"/>
        <v>0</v>
      </c>
      <c r="M39" s="42">
        <f t="shared" si="4"/>
        <v>18497969.000000004</v>
      </c>
      <c r="N39" s="42">
        <f t="shared" si="4"/>
        <v>61990418.628888898</v>
      </c>
      <c r="R39" s="144"/>
      <c r="S39" s="144"/>
      <c r="T39" s="144"/>
    </row>
    <row r="40" spans="1:20">
      <c r="R40" s="144"/>
      <c r="S40" s="144" t="s">
        <v>28</v>
      </c>
      <c r="T40" s="144" t="s">
        <v>29</v>
      </c>
    </row>
    <row r="41" spans="1:20">
      <c r="A41" s="145" t="s">
        <v>54</v>
      </c>
      <c r="B41" s="146">
        <f>B38+B37+B36</f>
        <v>4673350.59</v>
      </c>
      <c r="C41" s="146">
        <f t="shared" ref="C41:N41" si="5">C38+C37+C36</f>
        <v>57629</v>
      </c>
      <c r="D41" s="146">
        <f t="shared" si="5"/>
        <v>0</v>
      </c>
      <c r="E41" s="146">
        <f t="shared" si="5"/>
        <v>0</v>
      </c>
      <c r="F41" s="146">
        <f t="shared" si="5"/>
        <v>0</v>
      </c>
      <c r="G41" s="146">
        <f t="shared" si="5"/>
        <v>1744818.4261874198</v>
      </c>
      <c r="H41" s="146">
        <f t="shared" si="5"/>
        <v>0</v>
      </c>
      <c r="I41" s="146">
        <f t="shared" si="5"/>
        <v>0</v>
      </c>
      <c r="J41" s="146">
        <f t="shared" si="5"/>
        <v>0</v>
      </c>
      <c r="K41" s="146">
        <f t="shared" si="5"/>
        <v>0</v>
      </c>
      <c r="L41" s="146">
        <f t="shared" si="5"/>
        <v>0</v>
      </c>
      <c r="M41" s="146">
        <f t="shared" si="5"/>
        <v>5415320.1229373384</v>
      </c>
      <c r="N41" s="146">
        <f t="shared" si="5"/>
        <v>11891118.139124759</v>
      </c>
      <c r="O41" s="141">
        <f>N41/N$39</f>
        <v>0.19182187186558594</v>
      </c>
      <c r="P41" s="141" t="s">
        <v>55</v>
      </c>
      <c r="R41" s="144" t="s">
        <v>51</v>
      </c>
      <c r="S41" s="147">
        <f>N45/1000</f>
        <v>2530.2396800000006</v>
      </c>
      <c r="T41" s="144"/>
    </row>
    <row r="42" spans="1:20">
      <c r="A42" s="148" t="s">
        <v>57</v>
      </c>
      <c r="B42" s="146"/>
      <c r="C42" s="149">
        <f>C39+C23+C10</f>
        <v>15656130.863210756</v>
      </c>
      <c r="D42" s="149">
        <f t="shared" ref="D42:L42" si="6">D39+D23+D10</f>
        <v>494869.74110032298</v>
      </c>
      <c r="E42" s="149">
        <f t="shared" si="6"/>
        <v>16484493.584682673</v>
      </c>
      <c r="F42" s="149">
        <f t="shared" si="6"/>
        <v>1508889.9848188269</v>
      </c>
      <c r="G42" s="149">
        <f t="shared" si="6"/>
        <v>6470757.8150763083</v>
      </c>
      <c r="H42" s="149">
        <f t="shared" si="6"/>
        <v>173367</v>
      </c>
      <c r="I42" s="149">
        <f t="shared" si="6"/>
        <v>324530</v>
      </c>
      <c r="J42" s="149">
        <f t="shared" si="6"/>
        <v>127007</v>
      </c>
      <c r="K42" s="149">
        <f t="shared" si="6"/>
        <v>2661800</v>
      </c>
      <c r="L42" s="149">
        <f t="shared" si="6"/>
        <v>0</v>
      </c>
      <c r="M42" s="149">
        <f>M39+M23-B6+M45-B7</f>
        <v>18863746.420746557</v>
      </c>
      <c r="N42" s="150">
        <f>SUM(C42:M42)</f>
        <v>62765592.40963544</v>
      </c>
      <c r="O42" s="144"/>
      <c r="P42" s="144"/>
      <c r="R42" s="144" t="s">
        <v>52</v>
      </c>
      <c r="S42" s="151">
        <f>N41/1000</f>
        <v>11891.118139124759</v>
      </c>
      <c r="T42" s="139">
        <f>O41</f>
        <v>0.19182187186558594</v>
      </c>
    </row>
    <row r="43" spans="1:20">
      <c r="A43" s="148" t="s">
        <v>58</v>
      </c>
      <c r="B43" s="146"/>
      <c r="C43" s="141">
        <f t="shared" ref="C43:M43" si="7">C42/$N42</f>
        <v>0.24943811190424311</v>
      </c>
      <c r="D43" s="141">
        <f t="shared" si="7"/>
        <v>7.8844112212084084E-3</v>
      </c>
      <c r="E43" s="141">
        <f t="shared" si="7"/>
        <v>0.26263583201920138</v>
      </c>
      <c r="F43" s="141">
        <f t="shared" si="7"/>
        <v>2.4040081944437922E-2</v>
      </c>
      <c r="G43" s="141">
        <f t="shared" si="7"/>
        <v>0.10309402917517835</v>
      </c>
      <c r="H43" s="141">
        <f t="shared" si="7"/>
        <v>2.7621343692342116E-3</v>
      </c>
      <c r="I43" s="141">
        <f t="shared" si="7"/>
        <v>5.1705080369826937E-3</v>
      </c>
      <c r="J43" s="141">
        <f t="shared" si="7"/>
        <v>2.0235131243738977E-3</v>
      </c>
      <c r="K43" s="141">
        <f t="shared" si="7"/>
        <v>4.240858562487454E-2</v>
      </c>
      <c r="L43" s="141">
        <f t="shared" si="7"/>
        <v>0</v>
      </c>
      <c r="M43" s="141">
        <f t="shared" si="7"/>
        <v>0.30054279258026562</v>
      </c>
      <c r="N43" s="141">
        <f>SUM(C43:M43)</f>
        <v>1</v>
      </c>
      <c r="O43" s="144"/>
      <c r="P43" s="144"/>
      <c r="R43" s="144" t="s">
        <v>53</v>
      </c>
      <c r="S43" s="151">
        <f>N35/1000</f>
        <v>6228.8407335532474</v>
      </c>
      <c r="T43" s="140">
        <f>O35</f>
        <v>0.10048070123292362</v>
      </c>
    </row>
    <row r="44" spans="1:20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44"/>
      <c r="P44" s="144"/>
      <c r="R44" s="144" t="s">
        <v>56</v>
      </c>
      <c r="S44" s="151">
        <f>N33/1000</f>
        <v>2784.9483677940466</v>
      </c>
      <c r="T44" s="139">
        <f>O33</f>
        <v>4.4925464763617508E-2</v>
      </c>
    </row>
    <row r="45" spans="1:20">
      <c r="A45" s="152" t="s">
        <v>61</v>
      </c>
      <c r="B45" s="152">
        <f>B23-B39</f>
        <v>1050402.1600000001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3">
        <f>M39*0.08</f>
        <v>1479837.5200000003</v>
      </c>
      <c r="N45" s="150">
        <f>B45+M45</f>
        <v>2530239.6800000006</v>
      </c>
      <c r="O45" s="144"/>
      <c r="P45" s="144"/>
      <c r="R45" s="144" t="s">
        <v>37</v>
      </c>
      <c r="S45" s="151">
        <f>N31/1000</f>
        <v>975.8609590807107</v>
      </c>
      <c r="T45" s="139">
        <f>O31</f>
        <v>1.574212564884887E-2</v>
      </c>
    </row>
    <row r="46" spans="1:20">
      <c r="R46" s="144" t="s">
        <v>59</v>
      </c>
      <c r="S46" s="151">
        <f>N32/1000</f>
        <v>25154.392429336127</v>
      </c>
      <c r="T46" s="140">
        <f>O32</f>
        <v>0.40577871525477371</v>
      </c>
    </row>
    <row r="47" spans="1:20">
      <c r="M47" s="42"/>
      <c r="R47" s="144" t="s">
        <v>60</v>
      </c>
      <c r="S47" s="151">
        <f>N34/1000</f>
        <v>14955.258</v>
      </c>
      <c r="T47" s="140">
        <f>O34</f>
        <v>0.24125112123425024</v>
      </c>
    </row>
    <row r="48" spans="1:20">
      <c r="D48" s="42"/>
      <c r="M48" s="42"/>
      <c r="R48" s="144" t="s">
        <v>62</v>
      </c>
      <c r="S48" s="151">
        <f>SUM(S42:S47)</f>
        <v>61990.418628888889</v>
      </c>
      <c r="T48" s="139">
        <f>SUM(T42:T47)</f>
        <v>1</v>
      </c>
    </row>
    <row r="52" spans="13:13">
      <c r="M52" s="42"/>
    </row>
    <row r="53" spans="13:13">
      <c r="M53" s="4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70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89421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89421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10153</v>
      </c>
      <c r="C18" s="9">
        <v>149</v>
      </c>
      <c r="D18" s="9">
        <v>0</v>
      </c>
      <c r="E18" s="9">
        <v>0</v>
      </c>
      <c r="F18" s="9">
        <v>0</v>
      </c>
      <c r="G18" s="9">
        <v>10762</v>
      </c>
      <c r="H18" s="9">
        <v>0</v>
      </c>
      <c r="I18" s="9"/>
      <c r="J18" s="9"/>
      <c r="K18" s="9"/>
      <c r="L18" s="9"/>
      <c r="M18" s="9"/>
      <c r="N18" s="9">
        <v>10911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10153</v>
      </c>
      <c r="C23" s="9">
        <v>149</v>
      </c>
      <c r="D23" s="9">
        <v>0</v>
      </c>
      <c r="E23" s="9">
        <v>0</v>
      </c>
      <c r="F23" s="9">
        <v>0</v>
      </c>
      <c r="G23" s="9">
        <v>10762</v>
      </c>
      <c r="H23" s="9">
        <v>0</v>
      </c>
      <c r="I23" s="9"/>
      <c r="J23" s="9"/>
      <c r="K23" s="9"/>
      <c r="L23" s="9"/>
      <c r="M23" s="9"/>
      <c r="N23" s="9">
        <v>10911</v>
      </c>
      <c r="O23" s="3"/>
      <c r="P23" s="3"/>
      <c r="Q23" s="3"/>
      <c r="R23" s="3" t="s">
        <v>27</v>
      </c>
      <c r="S23" s="12">
        <f>N42/1000</f>
        <v>526.88963999999999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186.28164000000001</v>
      </c>
      <c r="T26" s="14">
        <f>M43</f>
        <v>0.35354963517597349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54.155999999999999</v>
      </c>
      <c r="T27" s="15">
        <f>G43</f>
        <v>0.10278433259761949</v>
      </c>
    </row>
    <row r="28" spans="1:20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24.097000000000001</v>
      </c>
      <c r="T29" s="14">
        <f>F43</f>
        <v>4.5734435013753544E-2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5.2850000000000001</v>
      </c>
      <c r="T30" s="14">
        <f>E43</f>
        <v>1.003056351610937E-2</v>
      </c>
    </row>
    <row r="31" spans="1:20">
      <c r="A31" s="5" t="s">
        <v>36</v>
      </c>
      <c r="B31" s="9">
        <v>0</v>
      </c>
      <c r="C31" s="9">
        <v>9580</v>
      </c>
      <c r="D31" s="9">
        <v>0</v>
      </c>
      <c r="E31" s="9">
        <v>0</v>
      </c>
      <c r="F31" s="9">
        <v>1007</v>
      </c>
      <c r="G31" s="9">
        <v>0</v>
      </c>
      <c r="H31" s="9">
        <v>0</v>
      </c>
      <c r="I31" s="9"/>
      <c r="J31" s="9"/>
      <c r="K31" s="9"/>
      <c r="L31" s="9"/>
      <c r="M31" s="9">
        <v>13534</v>
      </c>
      <c r="N31" s="9">
        <v>24121</v>
      </c>
      <c r="O31" s="16">
        <f>N31/N$39</f>
        <v>4.7185608594780062E-2</v>
      </c>
      <c r="P31" s="17" t="s">
        <v>37</v>
      </c>
      <c r="Q31" s="3"/>
      <c r="R31" s="3" t="s">
        <v>38</v>
      </c>
      <c r="S31" s="13">
        <f>C42/1000</f>
        <v>257.07</v>
      </c>
      <c r="T31" s="15">
        <f>C43</f>
        <v>0.48790103369654408</v>
      </c>
    </row>
    <row r="32" spans="1:20">
      <c r="A32" s="5" t="s">
        <v>39</v>
      </c>
      <c r="B32" s="9">
        <v>0</v>
      </c>
      <c r="C32" s="43">
        <v>2000</v>
      </c>
      <c r="D32" s="9">
        <v>0</v>
      </c>
      <c r="E32" s="43">
        <f>N32-SUM(F32:M32,B32:D32)</f>
        <v>5285</v>
      </c>
      <c r="F32" s="9">
        <v>171</v>
      </c>
      <c r="G32" s="43">
        <v>5000</v>
      </c>
      <c r="H32" s="9">
        <v>0</v>
      </c>
      <c r="I32" s="9"/>
      <c r="J32" s="9"/>
      <c r="K32" s="9"/>
      <c r="L32" s="9"/>
      <c r="M32" s="9">
        <v>18741</v>
      </c>
      <c r="N32" s="9">
        <v>31197</v>
      </c>
      <c r="O32" s="16">
        <f>N32/N$39</f>
        <v>6.1027711592859073E-2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3148</v>
      </c>
      <c r="C33" s="9">
        <v>232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11053</v>
      </c>
      <c r="N33" s="9">
        <v>14432</v>
      </c>
      <c r="O33" s="16">
        <f>N33/N$39</f>
        <v>2.8231943254420043E-2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242705</v>
      </c>
      <c r="D34" s="9">
        <v>0</v>
      </c>
      <c r="E34" s="9">
        <v>0</v>
      </c>
      <c r="F34" s="9">
        <v>22919</v>
      </c>
      <c r="G34" s="9">
        <v>0</v>
      </c>
      <c r="H34" s="9">
        <v>0</v>
      </c>
      <c r="I34" s="9"/>
      <c r="J34" s="9"/>
      <c r="K34" s="9"/>
      <c r="L34" s="9"/>
      <c r="M34" s="9">
        <v>468</v>
      </c>
      <c r="N34" s="9">
        <v>266092</v>
      </c>
      <c r="O34" s="16">
        <f>N34/N$39</f>
        <v>0.52053036616235715</v>
      </c>
      <c r="P34" s="17" t="s">
        <v>45</v>
      </c>
      <c r="Q34" s="3"/>
      <c r="R34" s="3"/>
      <c r="S34" s="13">
        <f>SUM(S26:S33)</f>
        <v>526.8896400000001</v>
      </c>
      <c r="T34" s="14">
        <f>SUM(T26:T33)</f>
        <v>1</v>
      </c>
    </row>
    <row r="35" spans="1:47">
      <c r="A35" s="5" t="s">
        <v>46</v>
      </c>
      <c r="B35" s="9">
        <v>1581</v>
      </c>
      <c r="C35" s="9">
        <v>1206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33966</v>
      </c>
      <c r="N35" s="9">
        <v>36753</v>
      </c>
      <c r="O35" s="16">
        <f>N35/N$39</f>
        <v>7.1896383760372773E-2</v>
      </c>
      <c r="P35" s="17" t="s">
        <v>47</v>
      </c>
      <c r="Q35" s="17"/>
    </row>
    <row r="36" spans="1:47">
      <c r="A36" s="5" t="s">
        <v>48</v>
      </c>
      <c r="B36" s="9">
        <v>132</v>
      </c>
      <c r="C36" s="43">
        <v>850</v>
      </c>
      <c r="D36" s="9">
        <v>0</v>
      </c>
      <c r="E36" s="9">
        <v>0</v>
      </c>
      <c r="F36" s="9">
        <v>0</v>
      </c>
      <c r="G36" s="43">
        <f>N36-M36-C36-B36</f>
        <v>38394</v>
      </c>
      <c r="H36" s="9">
        <v>0</v>
      </c>
      <c r="I36" s="9"/>
      <c r="J36" s="9"/>
      <c r="K36" s="9"/>
      <c r="L36" s="9"/>
      <c r="M36" s="9">
        <v>60638</v>
      </c>
      <c r="N36" s="9">
        <v>100014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4154</v>
      </c>
      <c r="C37" s="9">
        <v>348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4956</v>
      </c>
      <c r="N37" s="9">
        <v>9458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29127</v>
      </c>
      <c r="N38" s="9">
        <v>29127</v>
      </c>
      <c r="O38" s="17">
        <f>SUM(O31:O35)</f>
        <v>0.72887201336478913</v>
      </c>
      <c r="P38" s="17"/>
      <c r="Q38" s="3"/>
      <c r="R38" s="7" t="s">
        <v>51</v>
      </c>
      <c r="S38" s="19">
        <f>N45/1000</f>
        <v>14.936639999999999</v>
      </c>
      <c r="T38" s="7"/>
    </row>
    <row r="39" spans="1:47">
      <c r="A39" s="5" t="s">
        <v>17</v>
      </c>
      <c r="B39" s="9">
        <v>9015</v>
      </c>
      <c r="C39" s="43">
        <f>SUM(C31:C38)</f>
        <v>256921</v>
      </c>
      <c r="D39" s="9">
        <v>0</v>
      </c>
      <c r="E39" s="43">
        <f>SUM(E31:E38)</f>
        <v>5285</v>
      </c>
      <c r="F39" s="9">
        <v>24097</v>
      </c>
      <c r="G39" s="43">
        <f>SUM(G31:G38)</f>
        <v>43394</v>
      </c>
      <c r="H39" s="9">
        <v>0</v>
      </c>
      <c r="I39" s="9"/>
      <c r="J39" s="9"/>
      <c r="K39" s="9"/>
      <c r="L39" s="9"/>
      <c r="M39" s="9">
        <v>172483</v>
      </c>
      <c r="N39" s="9">
        <v>511194</v>
      </c>
      <c r="O39" s="3"/>
      <c r="P39" s="3"/>
      <c r="Q39" s="3"/>
      <c r="R39" s="7" t="s">
        <v>52</v>
      </c>
      <c r="S39" s="20">
        <f>N41/1000</f>
        <v>138.59899999999999</v>
      </c>
      <c r="T39" s="14">
        <f>O41</f>
        <v>0.27112798663521087</v>
      </c>
    </row>
    <row r="40" spans="1:47">
      <c r="R40" s="7" t="s">
        <v>53</v>
      </c>
      <c r="S40" s="20">
        <f>N35/1000</f>
        <v>36.753</v>
      </c>
      <c r="T40" s="15">
        <f>O35</f>
        <v>7.1896383760372773E-2</v>
      </c>
    </row>
    <row r="41" spans="1:47">
      <c r="A41" s="21" t="s">
        <v>54</v>
      </c>
      <c r="B41" s="22">
        <f>B38+B37+B36</f>
        <v>4286</v>
      </c>
      <c r="C41" s="22">
        <f t="shared" ref="C41:N41" si="0">C38+C37+C36</f>
        <v>1198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38394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94721</v>
      </c>
      <c r="N41" s="22">
        <f t="shared" si="0"/>
        <v>138599</v>
      </c>
      <c r="O41" s="16">
        <f>N41/N$39</f>
        <v>0.27112798663521087</v>
      </c>
      <c r="P41" s="16" t="s">
        <v>55</v>
      </c>
      <c r="Q41" s="7"/>
      <c r="R41" s="7" t="s">
        <v>56</v>
      </c>
      <c r="S41" s="20">
        <f>N33/1000</f>
        <v>14.432</v>
      </c>
      <c r="T41" s="14">
        <f>O33</f>
        <v>2.8231943254420043E-2</v>
      </c>
    </row>
    <row r="42" spans="1:47">
      <c r="A42" s="23" t="s">
        <v>57</v>
      </c>
      <c r="B42" s="22"/>
      <c r="C42" s="24">
        <f>C39+C23+C10</f>
        <v>257070</v>
      </c>
      <c r="D42" s="24">
        <f t="shared" ref="D42:L42" si="1">D39+D23+D10</f>
        <v>0</v>
      </c>
      <c r="E42" s="24">
        <f t="shared" si="1"/>
        <v>5285</v>
      </c>
      <c r="F42" s="24">
        <f t="shared" si="1"/>
        <v>24097</v>
      </c>
      <c r="G42" s="24">
        <f t="shared" si="1"/>
        <v>54156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186281.64</v>
      </c>
      <c r="N42" s="25">
        <f>SUM(C42:M42)</f>
        <v>526889.64</v>
      </c>
      <c r="O42" s="7"/>
      <c r="P42" s="7"/>
      <c r="Q42" s="7"/>
      <c r="R42" s="7" t="s">
        <v>37</v>
      </c>
      <c r="S42" s="20">
        <f>N31/1000</f>
        <v>24.120999999999999</v>
      </c>
      <c r="T42" s="14">
        <f>O31</f>
        <v>4.7185608594780062E-2</v>
      </c>
    </row>
    <row r="43" spans="1:47">
      <c r="A43" s="23" t="s">
        <v>58</v>
      </c>
      <c r="B43" s="22"/>
      <c r="C43" s="16">
        <f t="shared" ref="C43:M43" si="2">C42/$N42</f>
        <v>0.48790103369654408</v>
      </c>
      <c r="D43" s="16">
        <f t="shared" si="2"/>
        <v>0</v>
      </c>
      <c r="E43" s="16">
        <f t="shared" si="2"/>
        <v>1.003056351610937E-2</v>
      </c>
      <c r="F43" s="16">
        <f t="shared" si="2"/>
        <v>4.5734435013753544E-2</v>
      </c>
      <c r="G43" s="16">
        <f t="shared" si="2"/>
        <v>0.10278433259761949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0.35354963517597349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31.196999999999999</v>
      </c>
      <c r="T43" s="15">
        <f>O32</f>
        <v>6.1027711592859073E-2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266.09199999999998</v>
      </c>
      <c r="T44" s="15">
        <f>O34</f>
        <v>0.52053036616235715</v>
      </c>
    </row>
    <row r="45" spans="1:47">
      <c r="A45" s="6" t="s">
        <v>61</v>
      </c>
      <c r="B45" s="6">
        <f>B23-B39</f>
        <v>1138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13798.64</v>
      </c>
      <c r="N45" s="25">
        <f>B45+M45</f>
        <v>14936.64</v>
      </c>
      <c r="O45" s="7"/>
      <c r="P45" s="7"/>
      <c r="Q45" s="7"/>
      <c r="R45" s="7" t="s">
        <v>62</v>
      </c>
      <c r="S45" s="20">
        <f>SUM(S39:S44)</f>
        <v>511.19399999999996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71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128489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128489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8709</v>
      </c>
      <c r="C18" s="9">
        <v>408</v>
      </c>
      <c r="D18" s="9">
        <v>0</v>
      </c>
      <c r="E18" s="9">
        <v>0</v>
      </c>
      <c r="F18" s="9">
        <v>0</v>
      </c>
      <c r="G18" s="9">
        <v>9690</v>
      </c>
      <c r="H18" s="9">
        <v>0</v>
      </c>
      <c r="I18" s="9"/>
      <c r="J18" s="9"/>
      <c r="K18" s="9"/>
      <c r="L18" s="9"/>
      <c r="M18" s="9"/>
      <c r="N18" s="9">
        <v>10098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8709</v>
      </c>
      <c r="C23" s="9">
        <v>408</v>
      </c>
      <c r="D23" s="9">
        <v>0</v>
      </c>
      <c r="E23" s="9">
        <v>0</v>
      </c>
      <c r="F23" s="9">
        <v>0</v>
      </c>
      <c r="G23" s="9">
        <v>9690</v>
      </c>
      <c r="H23" s="9">
        <v>0</v>
      </c>
      <c r="I23" s="9"/>
      <c r="J23" s="9"/>
      <c r="K23" s="9"/>
      <c r="L23" s="9"/>
      <c r="M23" s="9"/>
      <c r="N23" s="9">
        <v>10098</v>
      </c>
      <c r="O23" s="3"/>
      <c r="P23" s="3"/>
      <c r="Q23" s="3"/>
      <c r="R23" s="3" t="s">
        <v>27</v>
      </c>
      <c r="S23" s="12">
        <f>N42/1000</f>
        <v>143.9734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51.8994</v>
      </c>
      <c r="T26" s="14">
        <f>M43</f>
        <v>0.36047908849829208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64.245999999999995</v>
      </c>
      <c r="T27" s="15">
        <f>G43</f>
        <v>0.44623520733691086</v>
      </c>
    </row>
    <row r="28" spans="1:20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1.762</v>
      </c>
      <c r="T29" s="14">
        <f>F43</f>
        <v>1.22383718103483E-2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1579</v>
      </c>
      <c r="D31" s="9">
        <v>0</v>
      </c>
      <c r="E31" s="9">
        <v>0</v>
      </c>
      <c r="F31" s="43">
        <f>F39-F34</f>
        <v>137</v>
      </c>
      <c r="G31" s="9">
        <v>0</v>
      </c>
      <c r="H31" s="9">
        <v>0</v>
      </c>
      <c r="I31" s="9"/>
      <c r="J31" s="9"/>
      <c r="K31" s="9"/>
      <c r="L31" s="9"/>
      <c r="M31" s="9">
        <v>4024</v>
      </c>
      <c r="N31" s="43">
        <f>SUM(B31:M31)</f>
        <v>5740</v>
      </c>
      <c r="O31" s="16">
        <f>N31/N$39</f>
        <v>4.1734831133893188E-2</v>
      </c>
      <c r="P31" s="17" t="s">
        <v>37</v>
      </c>
      <c r="Q31" s="3"/>
      <c r="R31" s="3" t="s">
        <v>38</v>
      </c>
      <c r="S31" s="13">
        <f>C42/1000</f>
        <v>26.065999999999999</v>
      </c>
      <c r="T31" s="15">
        <f>C43</f>
        <v>0.18104733235444881</v>
      </c>
    </row>
    <row r="32" spans="1:20">
      <c r="A32" s="5" t="s">
        <v>39</v>
      </c>
      <c r="B32" s="9">
        <v>0</v>
      </c>
      <c r="C32" s="9">
        <v>2607</v>
      </c>
      <c r="D32" s="9">
        <v>0</v>
      </c>
      <c r="E32" s="9">
        <v>0</v>
      </c>
      <c r="F32" s="43">
        <v>0</v>
      </c>
      <c r="G32" s="43">
        <v>35000</v>
      </c>
      <c r="H32" s="9">
        <v>0</v>
      </c>
      <c r="I32" s="9"/>
      <c r="J32" s="9"/>
      <c r="K32" s="9"/>
      <c r="L32" s="9"/>
      <c r="M32" s="9">
        <v>8211</v>
      </c>
      <c r="N32" s="43">
        <f>SUM(B32:M32)</f>
        <v>45818</v>
      </c>
      <c r="O32" s="16">
        <f>N32/N$39</f>
        <v>0.33313701966772097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3106</v>
      </c>
      <c r="C33" s="9">
        <v>426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4862</v>
      </c>
      <c r="N33" s="9">
        <v>8394</v>
      </c>
      <c r="O33" s="16">
        <f>N33/N$39</f>
        <v>6.103173737594067E-2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19827</v>
      </c>
      <c r="D34" s="9">
        <v>0</v>
      </c>
      <c r="E34" s="9">
        <v>0</v>
      </c>
      <c r="F34" s="9">
        <v>1625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21452</v>
      </c>
      <c r="O34" s="16">
        <f>N34/N$39</f>
        <v>0.15597484276729559</v>
      </c>
      <c r="P34" s="17" t="s">
        <v>45</v>
      </c>
      <c r="Q34" s="3"/>
      <c r="R34" s="3"/>
      <c r="S34" s="13">
        <f>SUM(S26:S33)</f>
        <v>143.9734</v>
      </c>
      <c r="T34" s="14">
        <f>SUM(T26:T33)</f>
        <v>1</v>
      </c>
    </row>
    <row r="35" spans="1:47">
      <c r="A35" s="5" t="s">
        <v>46</v>
      </c>
      <c r="B35" s="9">
        <v>1117</v>
      </c>
      <c r="C35" s="9">
        <v>274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9380</v>
      </c>
      <c r="N35" s="9">
        <v>10770</v>
      </c>
      <c r="O35" s="16">
        <f>N35/N$39</f>
        <v>7.8307339949830954E-2</v>
      </c>
      <c r="P35" s="17" t="s">
        <v>47</v>
      </c>
      <c r="Q35" s="17"/>
    </row>
    <row r="36" spans="1:47">
      <c r="A36" s="5" t="s">
        <v>48</v>
      </c>
      <c r="B36" s="9">
        <v>181</v>
      </c>
      <c r="C36" s="9">
        <v>438</v>
      </c>
      <c r="D36" s="9">
        <v>0</v>
      </c>
      <c r="E36" s="9">
        <v>0</v>
      </c>
      <c r="F36" s="9">
        <v>0</v>
      </c>
      <c r="G36" s="9">
        <v>19556</v>
      </c>
      <c r="H36" s="9">
        <v>0</v>
      </c>
      <c r="I36" s="9"/>
      <c r="J36" s="9"/>
      <c r="K36" s="9"/>
      <c r="L36" s="9"/>
      <c r="M36" s="9">
        <v>16570</v>
      </c>
      <c r="N36" s="9">
        <v>36746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3100</v>
      </c>
      <c r="C37" s="9">
        <v>507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1984</v>
      </c>
      <c r="N37" s="9">
        <v>5591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3024</v>
      </c>
      <c r="N38" s="9">
        <v>3024</v>
      </c>
      <c r="O38" s="17">
        <f>SUM(O31:O35)</f>
        <v>0.67018577089468134</v>
      </c>
      <c r="P38" s="17"/>
      <c r="Q38" s="3"/>
      <c r="R38" s="7" t="s">
        <v>51</v>
      </c>
      <c r="S38" s="19">
        <f>N45/1000</f>
        <v>5.0493999999999994</v>
      </c>
      <c r="T38" s="7"/>
    </row>
    <row r="39" spans="1:47">
      <c r="A39" s="5" t="s">
        <v>17</v>
      </c>
      <c r="B39" s="9">
        <v>7504</v>
      </c>
      <c r="C39" s="9">
        <v>25658</v>
      </c>
      <c r="D39" s="9">
        <v>0</v>
      </c>
      <c r="E39" s="9">
        <v>0</v>
      </c>
      <c r="F39" s="9">
        <v>1762</v>
      </c>
      <c r="G39" s="43">
        <f>SUM(G31:G38)</f>
        <v>54556</v>
      </c>
      <c r="H39" s="9">
        <v>0</v>
      </c>
      <c r="I39" s="9"/>
      <c r="J39" s="9"/>
      <c r="K39" s="9"/>
      <c r="L39" s="9"/>
      <c r="M39" s="9">
        <v>48055</v>
      </c>
      <c r="N39" s="43">
        <f>SUM(B39:M39)</f>
        <v>137535</v>
      </c>
      <c r="O39" s="3"/>
      <c r="P39" s="3"/>
      <c r="Q39" s="3"/>
      <c r="R39" s="7" t="s">
        <v>52</v>
      </c>
      <c r="S39" s="20">
        <f>N41/1000</f>
        <v>45.360999999999997</v>
      </c>
      <c r="T39" s="14">
        <f>O41</f>
        <v>0.32981422910531866</v>
      </c>
    </row>
    <row r="40" spans="1:47">
      <c r="R40" s="7" t="s">
        <v>53</v>
      </c>
      <c r="S40" s="20">
        <f>N35/1000</f>
        <v>10.77</v>
      </c>
      <c r="T40" s="15">
        <f>O35</f>
        <v>7.8307339949830954E-2</v>
      </c>
    </row>
    <row r="41" spans="1:47">
      <c r="A41" s="21" t="s">
        <v>54</v>
      </c>
      <c r="B41" s="22">
        <f>B38+B37+B36</f>
        <v>3281</v>
      </c>
      <c r="C41" s="22">
        <f t="shared" ref="C41:N41" si="0">C38+C37+C36</f>
        <v>945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19556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21578</v>
      </c>
      <c r="N41" s="22">
        <f t="shared" si="0"/>
        <v>45361</v>
      </c>
      <c r="O41" s="16">
        <f>N41/N$39</f>
        <v>0.32981422910531866</v>
      </c>
      <c r="P41" s="16" t="s">
        <v>55</v>
      </c>
      <c r="Q41" s="7"/>
      <c r="R41" s="7" t="s">
        <v>56</v>
      </c>
      <c r="S41" s="20">
        <f>N33/1000</f>
        <v>8.3940000000000001</v>
      </c>
      <c r="T41" s="14">
        <f>O33</f>
        <v>6.103173737594067E-2</v>
      </c>
    </row>
    <row r="42" spans="1:47">
      <c r="A42" s="23" t="s">
        <v>57</v>
      </c>
      <c r="B42" s="22"/>
      <c r="C42" s="24">
        <f>C39+C23+C10</f>
        <v>26066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1762</v>
      </c>
      <c r="G42" s="24">
        <f t="shared" si="1"/>
        <v>64246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51899.4</v>
      </c>
      <c r="N42" s="25">
        <f>SUM(C42:M42)</f>
        <v>143973.4</v>
      </c>
      <c r="O42" s="7"/>
      <c r="P42" s="7"/>
      <c r="Q42" s="7"/>
      <c r="R42" s="7" t="s">
        <v>37</v>
      </c>
      <c r="S42" s="20">
        <f>N31/1000</f>
        <v>5.74</v>
      </c>
      <c r="T42" s="14">
        <f>O31</f>
        <v>4.1734831133893188E-2</v>
      </c>
    </row>
    <row r="43" spans="1:47">
      <c r="A43" s="23" t="s">
        <v>58</v>
      </c>
      <c r="B43" s="22"/>
      <c r="C43" s="16">
        <f t="shared" ref="C43:M43" si="2">C42/$N42</f>
        <v>0.18104733235444881</v>
      </c>
      <c r="D43" s="16">
        <f t="shared" si="2"/>
        <v>0</v>
      </c>
      <c r="E43" s="16">
        <f t="shared" si="2"/>
        <v>0</v>
      </c>
      <c r="F43" s="16">
        <f t="shared" si="2"/>
        <v>1.22383718103483E-2</v>
      </c>
      <c r="G43" s="16">
        <f t="shared" si="2"/>
        <v>0.44623520733691086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0.36047908849829208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45.817999999999998</v>
      </c>
      <c r="T43" s="15">
        <f>O32</f>
        <v>0.33313701966772097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21.452000000000002</v>
      </c>
      <c r="T44" s="15">
        <f>O34</f>
        <v>0.15597484276729559</v>
      </c>
    </row>
    <row r="45" spans="1:47">
      <c r="A45" s="6" t="s">
        <v>61</v>
      </c>
      <c r="B45" s="6">
        <f>B23-B39</f>
        <v>1205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3844.4</v>
      </c>
      <c r="N45" s="25">
        <f>B45+M45</f>
        <v>5049.3999999999996</v>
      </c>
      <c r="O45" s="7"/>
      <c r="P45" s="7"/>
      <c r="Q45" s="7"/>
      <c r="R45" s="7" t="s">
        <v>62</v>
      </c>
      <c r="S45" s="20">
        <f>SUM(S39:S44)</f>
        <v>137.535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3" width="8.83203125" style="2"/>
    <col min="14" max="14" width="10.8320312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72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43">
        <v>4095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56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4151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78">
        <v>0</v>
      </c>
      <c r="H17" s="9">
        <v>0</v>
      </c>
      <c r="I17" s="9"/>
      <c r="J17" s="9"/>
      <c r="K17" s="9"/>
      <c r="L17" s="9"/>
      <c r="M17" s="9"/>
      <c r="N17" s="2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v>4570</v>
      </c>
      <c r="C18" s="9">
        <v>0</v>
      </c>
      <c r="D18" s="9">
        <v>0</v>
      </c>
      <c r="E18" s="9">
        <v>0</v>
      </c>
      <c r="F18" s="9">
        <v>0</v>
      </c>
      <c r="G18" s="41">
        <v>5000</v>
      </c>
      <c r="H18" s="9">
        <v>0</v>
      </c>
      <c r="I18" s="9"/>
      <c r="J18" s="9"/>
      <c r="K18" s="9"/>
      <c r="L18" s="9"/>
      <c r="M18" s="9"/>
      <c r="N18" s="41">
        <v>5000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6">
        <v>4570</v>
      </c>
      <c r="C23" s="9">
        <v>0</v>
      </c>
      <c r="D23" s="9">
        <v>0</v>
      </c>
      <c r="E23" s="9">
        <v>0</v>
      </c>
      <c r="F23" s="9">
        <v>0</v>
      </c>
      <c r="G23" s="41">
        <f>SUM(G17:G22)</f>
        <v>5000</v>
      </c>
      <c r="H23" s="9">
        <v>0</v>
      </c>
      <c r="I23" s="9"/>
      <c r="J23" s="9"/>
      <c r="K23" s="9"/>
      <c r="L23" s="9"/>
      <c r="M23" s="9"/>
      <c r="N23" s="41">
        <v>5000</v>
      </c>
      <c r="O23" s="3"/>
      <c r="P23" s="3"/>
      <c r="Q23" s="3"/>
      <c r="R23" s="3" t="s">
        <v>27</v>
      </c>
      <c r="S23" s="12">
        <f>N42/1000</f>
        <v>160.50667999999999</v>
      </c>
      <c r="T23" s="3"/>
    </row>
    <row r="24" spans="1:20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79.29468</v>
      </c>
      <c r="T26" s="14">
        <f>M43</f>
        <v>0.49402728908229859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26.414999999999999</v>
      </c>
      <c r="T27" s="15">
        <f>G43</f>
        <v>0.16457258975140474</v>
      </c>
    </row>
    <row r="28" spans="1:20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4.17</v>
      </c>
      <c r="T29" s="14">
        <f>F43</f>
        <v>2.5980227115781102E-2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43">
        <v>4352</v>
      </c>
      <c r="D31" s="9">
        <v>0</v>
      </c>
      <c r="E31" s="9">
        <v>0</v>
      </c>
      <c r="F31" s="43">
        <v>448</v>
      </c>
      <c r="G31" s="9">
        <v>0</v>
      </c>
      <c r="H31" s="9">
        <v>0</v>
      </c>
      <c r="I31" s="9"/>
      <c r="J31" s="9"/>
      <c r="K31" s="9"/>
      <c r="L31" s="9"/>
      <c r="M31" s="9">
        <v>7977</v>
      </c>
      <c r="N31" s="43">
        <f>SUM(C31:M31)</f>
        <v>12777</v>
      </c>
      <c r="O31" s="16">
        <f>N31/N$39</f>
        <v>8.3147866151263128E-2</v>
      </c>
      <c r="P31" s="17" t="s">
        <v>37</v>
      </c>
      <c r="Q31" s="3"/>
      <c r="R31" s="3" t="s">
        <v>38</v>
      </c>
      <c r="S31" s="13">
        <f>C42/1000</f>
        <v>50.627000000000002</v>
      </c>
      <c r="T31" s="15">
        <f>C43</f>
        <v>0.31541989405051557</v>
      </c>
    </row>
    <row r="32" spans="1:20">
      <c r="A32" s="5" t="s">
        <v>39</v>
      </c>
      <c r="B32" s="9">
        <v>0</v>
      </c>
      <c r="C32" s="43">
        <f>C39-C31-SUM(C33:C38)</f>
        <v>2265</v>
      </c>
      <c r="D32" s="9">
        <v>0</v>
      </c>
      <c r="E32" s="9">
        <v>0</v>
      </c>
      <c r="F32" s="43">
        <f>F39-F34-F31</f>
        <v>25</v>
      </c>
      <c r="G32" s="9">
        <v>0</v>
      </c>
      <c r="H32" s="9">
        <v>0</v>
      </c>
      <c r="I32" s="9"/>
      <c r="J32" s="9"/>
      <c r="K32" s="9"/>
      <c r="L32" s="9"/>
      <c r="M32" s="9">
        <v>22834</v>
      </c>
      <c r="N32" s="43">
        <f>N39-SUM(N33:N38,N31)</f>
        <v>25124</v>
      </c>
      <c r="O32" s="16">
        <f>N32/N$39</f>
        <v>0.16349745552041439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f>B39-B37</f>
        <v>3903</v>
      </c>
      <c r="C33" s="9">
        <v>22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8490</v>
      </c>
      <c r="N33" s="41">
        <f>8512+B33</f>
        <v>12415</v>
      </c>
      <c r="O33" s="16">
        <f>N33/N$39</f>
        <v>8.0792107557950354E-2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43601</v>
      </c>
      <c r="D34" s="9">
        <v>0</v>
      </c>
      <c r="E34" s="9">
        <v>0</v>
      </c>
      <c r="F34" s="9">
        <v>3697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47298</v>
      </c>
      <c r="O34" s="16">
        <f>N34/N$39</f>
        <v>0.30779743079145677</v>
      </c>
      <c r="P34" s="17" t="s">
        <v>45</v>
      </c>
      <c r="Q34" s="3"/>
      <c r="R34" s="3"/>
      <c r="S34" s="13">
        <f>SUM(S26:S33)</f>
        <v>160.50667999999999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139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7939</v>
      </c>
      <c r="N35" s="9">
        <v>8078</v>
      </c>
      <c r="O35" s="16">
        <f>N35/N$39</f>
        <v>5.2568557781161741E-2</v>
      </c>
      <c r="P35" s="17" t="s">
        <v>47</v>
      </c>
      <c r="Q35" s="17"/>
    </row>
    <row r="36" spans="1:47">
      <c r="A36" s="5" t="s">
        <v>48</v>
      </c>
      <c r="B36" s="9">
        <v>0</v>
      </c>
      <c r="C36" s="9">
        <v>248</v>
      </c>
      <c r="D36" s="9">
        <v>0</v>
      </c>
      <c r="E36" s="9">
        <v>0</v>
      </c>
      <c r="F36" s="9">
        <v>0</v>
      </c>
      <c r="G36" s="9">
        <v>21415</v>
      </c>
      <c r="H36" s="9">
        <v>0</v>
      </c>
      <c r="I36" s="9"/>
      <c r="J36" s="9"/>
      <c r="K36" s="9"/>
      <c r="L36" s="9"/>
      <c r="M36" s="9">
        <v>20985</v>
      </c>
      <c r="N36" s="9">
        <v>42647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f>62+68</f>
        <v>130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2433</v>
      </c>
      <c r="N37" s="41">
        <f>2433+B37</f>
        <v>2563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2764</v>
      </c>
      <c r="N38" s="9">
        <v>2764</v>
      </c>
      <c r="O38" s="17">
        <f>SUM(O31:O35)</f>
        <v>0.68780341780224641</v>
      </c>
      <c r="P38" s="17"/>
      <c r="Q38" s="3"/>
      <c r="R38" s="7" t="s">
        <v>51</v>
      </c>
      <c r="S38" s="19">
        <f>N45/1000</f>
        <v>6.4106800000000002</v>
      </c>
      <c r="T38" s="7"/>
    </row>
    <row r="39" spans="1:47">
      <c r="A39" s="5" t="s">
        <v>17</v>
      </c>
      <c r="B39" s="41">
        <v>4033</v>
      </c>
      <c r="C39" s="9">
        <v>50627</v>
      </c>
      <c r="D39" s="9">
        <v>0</v>
      </c>
      <c r="E39" s="9">
        <v>0</v>
      </c>
      <c r="F39" s="9">
        <v>4170</v>
      </c>
      <c r="G39" s="9">
        <v>21415</v>
      </c>
      <c r="H39" s="9">
        <v>0</v>
      </c>
      <c r="I39" s="9"/>
      <c r="J39" s="9"/>
      <c r="K39" s="9"/>
      <c r="L39" s="9"/>
      <c r="M39" s="9">
        <v>73421</v>
      </c>
      <c r="N39" s="41">
        <f>149633+B39</f>
        <v>153666</v>
      </c>
      <c r="O39" s="3"/>
      <c r="P39" s="3"/>
      <c r="Q39" s="3"/>
      <c r="R39" s="7" t="s">
        <v>52</v>
      </c>
      <c r="S39" s="20">
        <f>N41/1000</f>
        <v>47.973999999999997</v>
      </c>
      <c r="T39" s="14">
        <f>O41</f>
        <v>0.31219658219775359</v>
      </c>
    </row>
    <row r="40" spans="1:47">
      <c r="M40" s="10"/>
      <c r="N40" s="10"/>
      <c r="R40" s="7" t="s">
        <v>53</v>
      </c>
      <c r="S40" s="20">
        <f>N35/1000</f>
        <v>8.0779999999999994</v>
      </c>
      <c r="T40" s="15">
        <f>O35</f>
        <v>5.2568557781161741E-2</v>
      </c>
    </row>
    <row r="41" spans="1:47">
      <c r="A41" s="21" t="s">
        <v>54</v>
      </c>
      <c r="B41" s="22">
        <f>B38+B37+B36</f>
        <v>130</v>
      </c>
      <c r="C41" s="22">
        <f t="shared" ref="C41:N41" si="0">C38+C37+C36</f>
        <v>248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21415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26182</v>
      </c>
      <c r="N41" s="22">
        <f t="shared" si="0"/>
        <v>47974</v>
      </c>
      <c r="O41" s="16">
        <f>N41/N$39</f>
        <v>0.31219658219775359</v>
      </c>
      <c r="P41" s="16" t="s">
        <v>55</v>
      </c>
      <c r="Q41" s="7"/>
      <c r="R41" s="7" t="s">
        <v>56</v>
      </c>
      <c r="S41" s="20">
        <f>N33/1000</f>
        <v>12.414999999999999</v>
      </c>
      <c r="T41" s="14">
        <f>O33</f>
        <v>8.0792107557950354E-2</v>
      </c>
    </row>
    <row r="42" spans="1:47">
      <c r="A42" s="23" t="s">
        <v>57</v>
      </c>
      <c r="B42" s="22"/>
      <c r="C42" s="24">
        <f>C39+C23+C10</f>
        <v>50627</v>
      </c>
      <c r="D42" s="24">
        <f t="shared" ref="D42:L42" si="1">D39+D23+D10</f>
        <v>0</v>
      </c>
      <c r="E42" s="24">
        <f t="shared" si="1"/>
        <v>0</v>
      </c>
      <c r="F42" s="24">
        <f t="shared" si="1"/>
        <v>4170</v>
      </c>
      <c r="G42" s="24">
        <f t="shared" si="1"/>
        <v>26415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79294.679999999993</v>
      </c>
      <c r="N42" s="25">
        <f>SUM(C42:M42)</f>
        <v>160506.68</v>
      </c>
      <c r="O42" s="7"/>
      <c r="P42" s="7"/>
      <c r="Q42" s="7"/>
      <c r="R42" s="7" t="s">
        <v>37</v>
      </c>
      <c r="S42" s="20">
        <f>N31/1000</f>
        <v>12.776999999999999</v>
      </c>
      <c r="T42" s="14">
        <f>O31</f>
        <v>8.3147866151263128E-2</v>
      </c>
    </row>
    <row r="43" spans="1:47">
      <c r="A43" s="23" t="s">
        <v>58</v>
      </c>
      <c r="B43" s="22"/>
      <c r="C43" s="16">
        <f t="shared" ref="C43:M43" si="2">C42/$N42</f>
        <v>0.31541989405051557</v>
      </c>
      <c r="D43" s="16">
        <f t="shared" si="2"/>
        <v>0</v>
      </c>
      <c r="E43" s="16">
        <f t="shared" si="2"/>
        <v>0</v>
      </c>
      <c r="F43" s="16">
        <f t="shared" si="2"/>
        <v>2.5980227115781102E-2</v>
      </c>
      <c r="G43" s="16">
        <f t="shared" si="2"/>
        <v>0.16457258975140474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0.49402728908229859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25.123999999999999</v>
      </c>
      <c r="T43" s="15">
        <f>O32</f>
        <v>0.16349745552041439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47.298000000000002</v>
      </c>
      <c r="T44" s="15">
        <f>O34</f>
        <v>0.30779743079145677</v>
      </c>
    </row>
    <row r="45" spans="1:47">
      <c r="A45" s="6" t="s">
        <v>61</v>
      </c>
      <c r="B45" s="6">
        <f>B23-B39</f>
        <v>537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5873.68</v>
      </c>
      <c r="N45" s="25">
        <f>B45+M45</f>
        <v>6410.68</v>
      </c>
      <c r="O45" s="7"/>
      <c r="P45" s="7"/>
      <c r="Q45" s="7"/>
      <c r="R45" s="7" t="s">
        <v>62</v>
      </c>
      <c r="S45" s="20">
        <f>SUM(S39:S44)</f>
        <v>153.666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9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4" width="8.83203125" style="2"/>
    <col min="15" max="15" width="11.6640625" style="2" bestFit="1" customWidth="1"/>
    <col min="16" max="17" width="8.83203125" style="2"/>
    <col min="18" max="18" width="9.83203125" style="2" bestFit="1" customWidth="1"/>
    <col min="19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73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A16" s="5" t="s">
        <v>111</v>
      </c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0">
        <v>4684</v>
      </c>
      <c r="C18" s="40">
        <v>2330.64</v>
      </c>
      <c r="D18" s="9">
        <v>0</v>
      </c>
      <c r="E18" s="9">
        <v>0</v>
      </c>
      <c r="F18" s="9">
        <v>0</v>
      </c>
      <c r="G18" s="40">
        <v>4281.6000000000004</v>
      </c>
      <c r="H18" s="9">
        <v>0</v>
      </c>
      <c r="I18" s="9"/>
      <c r="J18" s="9"/>
      <c r="K18" s="9"/>
      <c r="L18" s="9"/>
      <c r="M18" s="9"/>
      <c r="N18" s="40">
        <f>SUM(C18:H18)</f>
        <v>6612.24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46">
        <v>35177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0">
        <f>SUM(B17:B22)</f>
        <v>39861</v>
      </c>
      <c r="C23" s="41">
        <f>SUM(C17:C22)</f>
        <v>2330.64</v>
      </c>
      <c r="D23" s="9">
        <v>0</v>
      </c>
      <c r="E23" s="9">
        <v>0</v>
      </c>
      <c r="F23" s="9">
        <v>0</v>
      </c>
      <c r="G23" s="41">
        <f>SUM(G17:G22)</f>
        <v>4281.6000000000004</v>
      </c>
      <c r="H23" s="9">
        <v>0</v>
      </c>
      <c r="I23" s="9"/>
      <c r="J23" s="9"/>
      <c r="K23" s="9"/>
      <c r="L23" s="9"/>
      <c r="M23" s="9"/>
      <c r="N23" s="40">
        <f>SUM(N17:N22)</f>
        <v>6612.24</v>
      </c>
      <c r="O23" s="3"/>
      <c r="P23" s="3"/>
      <c r="Q23" s="3"/>
      <c r="R23" s="3" t="s">
        <v>27</v>
      </c>
      <c r="S23" s="12">
        <f>N42/1000</f>
        <v>730.97875999999997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289.24452000000002</v>
      </c>
      <c r="T26" s="14">
        <f>M43</f>
        <v>0.39569483523707311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31.926599999999997</v>
      </c>
      <c r="T27" s="15">
        <f>G43</f>
        <v>4.3676508466538755E-2</v>
      </c>
    </row>
    <row r="28" spans="1:20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12.132999999999999</v>
      </c>
      <c r="T29" s="14">
        <f>F43</f>
        <v>1.6598293498979368E-2</v>
      </c>
    </row>
    <row r="30" spans="1:20">
      <c r="A30" s="5" t="s">
        <v>112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227.09100000000001</v>
      </c>
      <c r="T30" s="14">
        <f>E43</f>
        <v>0.31066702950438668</v>
      </c>
    </row>
    <row r="31" spans="1:20">
      <c r="A31" s="5" t="s">
        <v>36</v>
      </c>
      <c r="B31" s="9">
        <v>0</v>
      </c>
      <c r="C31" s="9">
        <v>6960</v>
      </c>
      <c r="D31" s="9">
        <v>0</v>
      </c>
      <c r="E31" s="9">
        <v>0</v>
      </c>
      <c r="F31" s="9">
        <v>752</v>
      </c>
      <c r="G31" s="9">
        <v>0</v>
      </c>
      <c r="H31" s="9">
        <v>0</v>
      </c>
      <c r="I31" s="9"/>
      <c r="J31" s="9"/>
      <c r="K31" s="9"/>
      <c r="L31" s="9"/>
      <c r="M31" s="9">
        <v>4968</v>
      </c>
      <c r="N31" s="9">
        <v>12681</v>
      </c>
      <c r="O31" s="16">
        <f>N31/N$39</f>
        <v>1.6529582752193125E-2</v>
      </c>
      <c r="P31" s="17" t="s">
        <v>37</v>
      </c>
      <c r="Q31" s="3"/>
      <c r="R31" s="3" t="s">
        <v>38</v>
      </c>
      <c r="S31" s="13">
        <f>C42/1000</f>
        <v>170.58364</v>
      </c>
      <c r="T31" s="15">
        <f>C43</f>
        <v>0.23336333329302211</v>
      </c>
    </row>
    <row r="32" spans="1:20">
      <c r="A32" s="5" t="s">
        <v>39</v>
      </c>
      <c r="B32" s="41">
        <v>3611</v>
      </c>
      <c r="C32" s="43">
        <f>C39-SUM(C31,C33:C38)</f>
        <v>30980</v>
      </c>
      <c r="D32" s="9">
        <v>0</v>
      </c>
      <c r="E32" s="43">
        <f>N32-SUM(F32:M32,B32:D32)</f>
        <v>227091</v>
      </c>
      <c r="F32" s="9">
        <v>93</v>
      </c>
      <c r="G32" s="43">
        <v>0</v>
      </c>
      <c r="H32" s="9">
        <v>0</v>
      </c>
      <c r="I32" s="9"/>
      <c r="J32" s="9"/>
      <c r="K32" s="9"/>
      <c r="L32" s="9"/>
      <c r="M32" s="9">
        <v>101429</v>
      </c>
      <c r="N32" s="41">
        <f>359593+B32</f>
        <v>363204</v>
      </c>
      <c r="O32" s="16">
        <f>N32/N$39</f>
        <v>0.47343352842264425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0">
        <f>20973-B35</f>
        <v>16973</v>
      </c>
      <c r="C33" s="9">
        <v>50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17934</v>
      </c>
      <c r="N33" s="41">
        <f>17984+B33</f>
        <v>34957</v>
      </c>
      <c r="O33" s="16">
        <f>N33/N$39</f>
        <v>4.556617177418304E-2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129343</v>
      </c>
      <c r="D34" s="9">
        <v>0</v>
      </c>
      <c r="E34" s="9">
        <v>0</v>
      </c>
      <c r="F34" s="9">
        <v>11288</v>
      </c>
      <c r="G34" s="9">
        <v>0</v>
      </c>
      <c r="H34" s="9">
        <v>0</v>
      </c>
      <c r="I34" s="9"/>
      <c r="J34" s="9"/>
      <c r="K34" s="9"/>
      <c r="L34" s="9"/>
      <c r="M34" s="9">
        <v>704</v>
      </c>
      <c r="N34" s="9">
        <v>141335</v>
      </c>
      <c r="O34" s="16">
        <f>N34/N$39</f>
        <v>0.18422904962394254</v>
      </c>
      <c r="P34" s="17" t="s">
        <v>45</v>
      </c>
      <c r="Q34" s="3"/>
      <c r="R34" s="3"/>
      <c r="S34" s="13">
        <f>SUM(S26:S33)</f>
        <v>730.97875999999997</v>
      </c>
      <c r="T34" s="14">
        <f>SUM(T26:T33)</f>
        <v>1</v>
      </c>
    </row>
    <row r="35" spans="1:47">
      <c r="A35" s="5" t="s">
        <v>46</v>
      </c>
      <c r="B35" s="40">
        <v>4000</v>
      </c>
      <c r="C35" s="9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19896</v>
      </c>
      <c r="N35" s="41">
        <f>19906+B35</f>
        <v>23906</v>
      </c>
      <c r="O35" s="16">
        <f>N35/N$39</f>
        <v>3.1161281071991866E-2</v>
      </c>
      <c r="P35" s="17" t="s">
        <v>47</v>
      </c>
      <c r="Q35" s="17"/>
    </row>
    <row r="36" spans="1:47">
      <c r="A36" s="5" t="s">
        <v>48</v>
      </c>
      <c r="B36" s="40">
        <v>4635</v>
      </c>
      <c r="C36" s="43">
        <v>850</v>
      </c>
      <c r="D36" s="9">
        <v>0</v>
      </c>
      <c r="E36" s="9">
        <v>0</v>
      </c>
      <c r="F36" s="9">
        <v>0</v>
      </c>
      <c r="G36" s="43">
        <f>N36-SUM(H36:M36,B36:F36)</f>
        <v>27645</v>
      </c>
      <c r="H36" s="9">
        <v>0</v>
      </c>
      <c r="I36" s="9"/>
      <c r="J36" s="9"/>
      <c r="K36" s="9"/>
      <c r="L36" s="9"/>
      <c r="M36" s="9">
        <v>99799</v>
      </c>
      <c r="N36" s="41">
        <f>128294+B36</f>
        <v>132929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0">
        <v>35010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20747</v>
      </c>
      <c r="N37" s="41">
        <f>20807+B37</f>
        <v>55817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2342</v>
      </c>
      <c r="N38" s="9">
        <v>2342</v>
      </c>
      <c r="O38" s="17">
        <f>SUM(O31:O36)</f>
        <v>0.75091961364495474</v>
      </c>
      <c r="P38" s="17"/>
      <c r="Q38" s="3"/>
      <c r="R38" s="7" t="s">
        <v>51</v>
      </c>
      <c r="S38" s="19">
        <f>N45/1000</f>
        <v>-2.9424799999999998</v>
      </c>
      <c r="T38" s="7"/>
    </row>
    <row r="39" spans="1:47">
      <c r="A39" s="5" t="s">
        <v>17</v>
      </c>
      <c r="B39" s="41">
        <f>SUM(B31:B38)</f>
        <v>64229</v>
      </c>
      <c r="C39" s="9">
        <v>168253</v>
      </c>
      <c r="D39" s="9">
        <v>0</v>
      </c>
      <c r="E39" s="43">
        <f>SUM(E31:E38)</f>
        <v>227091</v>
      </c>
      <c r="F39" s="9">
        <v>12133</v>
      </c>
      <c r="G39" s="43">
        <f>SUM(G31:G38)</f>
        <v>27645</v>
      </c>
      <c r="H39" s="9">
        <v>0</v>
      </c>
      <c r="I39" s="9"/>
      <c r="J39" s="9"/>
      <c r="K39" s="9"/>
      <c r="L39" s="9"/>
      <c r="M39" s="9">
        <v>267819</v>
      </c>
      <c r="N39" s="41">
        <f>702941+B39</f>
        <v>767170</v>
      </c>
      <c r="O39" s="3"/>
      <c r="P39" s="3"/>
      <c r="Q39" s="3"/>
      <c r="R39" s="7" t="s">
        <v>52</v>
      </c>
      <c r="S39" s="20">
        <f>N41/1000</f>
        <v>191.08799999999999</v>
      </c>
      <c r="T39" s="14">
        <f>O41</f>
        <v>0.24908168984710038</v>
      </c>
    </row>
    <row r="40" spans="1:47">
      <c r="B40" s="10"/>
      <c r="I40" s="10"/>
      <c r="N40" s="9"/>
      <c r="R40" s="7" t="s">
        <v>53</v>
      </c>
      <c r="S40" s="20">
        <f>N35/1000</f>
        <v>23.905999999999999</v>
      </c>
      <c r="T40" s="15">
        <f>O35</f>
        <v>3.1161281071991866E-2</v>
      </c>
    </row>
    <row r="41" spans="1:47">
      <c r="A41" s="21" t="s">
        <v>54</v>
      </c>
      <c r="B41" s="22">
        <f>B38+B37+B36</f>
        <v>39645</v>
      </c>
      <c r="C41" s="22">
        <f t="shared" ref="C41:N41" si="0">C38+C37+C36</f>
        <v>910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27645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122888</v>
      </c>
      <c r="N41" s="22">
        <f t="shared" si="0"/>
        <v>191088</v>
      </c>
      <c r="O41" s="16">
        <f>N41/N$39</f>
        <v>0.24908168984710038</v>
      </c>
      <c r="P41" s="16" t="s">
        <v>55</v>
      </c>
      <c r="Q41" s="7"/>
      <c r="R41" s="7" t="s">
        <v>56</v>
      </c>
      <c r="S41" s="20">
        <f>N33/1000</f>
        <v>34.957000000000001</v>
      </c>
      <c r="T41" s="14">
        <f>O33</f>
        <v>4.556617177418304E-2</v>
      </c>
    </row>
    <row r="42" spans="1:47">
      <c r="A42" s="23" t="s">
        <v>57</v>
      </c>
      <c r="B42" s="22"/>
      <c r="C42" s="24">
        <f>C39+C23+C10</f>
        <v>170583.64</v>
      </c>
      <c r="D42" s="24">
        <f t="shared" ref="D42:L42" si="1">D39+D23+D10</f>
        <v>0</v>
      </c>
      <c r="E42" s="24">
        <f t="shared" si="1"/>
        <v>227091</v>
      </c>
      <c r="F42" s="24">
        <f t="shared" si="1"/>
        <v>12133</v>
      </c>
      <c r="G42" s="24">
        <f t="shared" si="1"/>
        <v>31926.6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289244.52</v>
      </c>
      <c r="N42" s="25">
        <f>SUM(C42:M42)</f>
        <v>730978.76</v>
      </c>
      <c r="O42" s="7"/>
      <c r="P42" s="7"/>
      <c r="Q42" s="7"/>
      <c r="R42" s="7" t="s">
        <v>37</v>
      </c>
      <c r="S42" s="20">
        <f>N31/1000</f>
        <v>12.680999999999999</v>
      </c>
      <c r="T42" s="14">
        <f>O31</f>
        <v>1.6529582752193125E-2</v>
      </c>
    </row>
    <row r="43" spans="1:47">
      <c r="A43" s="23" t="s">
        <v>58</v>
      </c>
      <c r="B43" s="22"/>
      <c r="C43" s="16">
        <f t="shared" ref="C43:M43" si="2">C42/$N42</f>
        <v>0.23336333329302211</v>
      </c>
      <c r="D43" s="16">
        <f t="shared" si="2"/>
        <v>0</v>
      </c>
      <c r="E43" s="16">
        <f t="shared" si="2"/>
        <v>0.31066702950438668</v>
      </c>
      <c r="F43" s="16">
        <f t="shared" si="2"/>
        <v>1.6598293498979368E-2</v>
      </c>
      <c r="G43" s="16">
        <f t="shared" si="2"/>
        <v>4.3676508466538755E-2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0.39569483523707311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363.20400000000001</v>
      </c>
      <c r="T43" s="15">
        <f>O32</f>
        <v>0.47343352842264425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141.33500000000001</v>
      </c>
      <c r="T44" s="15">
        <f>O34</f>
        <v>0.18422904962394254</v>
      </c>
    </row>
    <row r="45" spans="1:47">
      <c r="A45" s="6" t="s">
        <v>61</v>
      </c>
      <c r="B45" s="6">
        <f>B23-B39</f>
        <v>-24368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21425.52</v>
      </c>
      <c r="N45" s="25">
        <f>B45+M45</f>
        <v>-2942.4799999999996</v>
      </c>
      <c r="O45" s="7"/>
      <c r="P45" s="7"/>
      <c r="Q45" s="7"/>
      <c r="R45" s="7" t="s">
        <v>62</v>
      </c>
      <c r="S45" s="20">
        <f>SUM(S39:S44)</f>
        <v>767.17100000000005</v>
      </c>
      <c r="T45" s="14">
        <f>SUM(T39:T44)</f>
        <v>1.0000013034920552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74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14913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14913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B23</f>
        <v>56770</v>
      </c>
      <c r="C18" s="9">
        <v>498</v>
      </c>
      <c r="D18" s="9">
        <v>0</v>
      </c>
      <c r="E18" s="9">
        <v>2959</v>
      </c>
      <c r="F18" s="9">
        <v>1035</v>
      </c>
      <c r="G18" s="41">
        <v>54594</v>
      </c>
      <c r="H18" s="9">
        <v>0</v>
      </c>
      <c r="I18" s="9"/>
      <c r="J18" s="9"/>
      <c r="K18" s="9"/>
      <c r="L18" s="9"/>
      <c r="M18" s="9"/>
      <c r="N18" s="41">
        <f>SUM(C18:M18)</f>
        <v>59086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133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46770+10000</f>
        <v>56770</v>
      </c>
      <c r="C23" s="9">
        <v>498</v>
      </c>
      <c r="D23" s="9">
        <v>0</v>
      </c>
      <c r="E23" s="9">
        <v>2959</v>
      </c>
      <c r="F23" s="9">
        <v>1035</v>
      </c>
      <c r="G23" s="41">
        <f>SUM(G17:G22)</f>
        <v>54594</v>
      </c>
      <c r="H23" s="9">
        <v>0</v>
      </c>
      <c r="I23" s="9"/>
      <c r="J23" s="9"/>
      <c r="K23" s="9"/>
      <c r="L23" s="9"/>
      <c r="M23" s="9"/>
      <c r="N23" s="41">
        <f>SUM(N17:N22)</f>
        <v>59086</v>
      </c>
      <c r="O23" s="3"/>
      <c r="P23" s="3"/>
      <c r="Q23" s="3"/>
      <c r="R23" s="3" t="s">
        <v>27</v>
      </c>
      <c r="S23" s="12">
        <f>N42/1000</f>
        <v>352.86791999999997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37.447919999999996</v>
      </c>
      <c r="T26" s="14">
        <f>M43</f>
        <v>0.10612446719441088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85.82</v>
      </c>
      <c r="T27" s="15">
        <f>G43</f>
        <v>0.24320714674204447</v>
      </c>
    </row>
    <row r="28" spans="1:20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20.359000000000002</v>
      </c>
      <c r="T29" s="14">
        <f>F43</f>
        <v>5.7695808675382002E-2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2.9590000000000001</v>
      </c>
      <c r="T30" s="14">
        <f>E43</f>
        <v>8.3855738430401953E-3</v>
      </c>
    </row>
    <row r="31" spans="1:20">
      <c r="A31" s="5" t="s">
        <v>36</v>
      </c>
      <c r="B31" s="9">
        <v>0</v>
      </c>
      <c r="C31" s="9">
        <v>4434</v>
      </c>
      <c r="D31" s="9">
        <v>0</v>
      </c>
      <c r="E31" s="9">
        <v>0</v>
      </c>
      <c r="F31" s="9">
        <v>248</v>
      </c>
      <c r="G31" s="9">
        <v>0</v>
      </c>
      <c r="H31" s="9">
        <v>0</v>
      </c>
      <c r="I31" s="9"/>
      <c r="J31" s="9"/>
      <c r="K31" s="9"/>
      <c r="L31" s="9"/>
      <c r="M31" s="9">
        <v>799</v>
      </c>
      <c r="N31" s="9">
        <v>5481</v>
      </c>
      <c r="O31" s="16">
        <f>N31/N$39</f>
        <v>1.5922956248910582E-2</v>
      </c>
      <c r="P31" s="17" t="s">
        <v>37</v>
      </c>
      <c r="Q31" s="3"/>
      <c r="R31" s="3" t="s">
        <v>38</v>
      </c>
      <c r="S31" s="13">
        <f>C42/1000</f>
        <v>206.28200000000001</v>
      </c>
      <c r="T31" s="15">
        <f>C43</f>
        <v>0.5845870035451225</v>
      </c>
    </row>
    <row r="32" spans="1:20">
      <c r="A32" s="5" t="s">
        <v>39</v>
      </c>
      <c r="B32" s="9">
        <v>0</v>
      </c>
      <c r="C32" s="9">
        <v>6360</v>
      </c>
      <c r="D32" s="9">
        <v>0</v>
      </c>
      <c r="E32" s="9">
        <v>0</v>
      </c>
      <c r="F32" s="9">
        <v>87</v>
      </c>
      <c r="G32" s="9">
        <v>0</v>
      </c>
      <c r="H32" s="9">
        <v>0</v>
      </c>
      <c r="I32" s="9"/>
      <c r="J32" s="9"/>
      <c r="K32" s="9"/>
      <c r="L32" s="9"/>
      <c r="M32" s="9">
        <v>21074</v>
      </c>
      <c r="N32" s="9">
        <v>27521</v>
      </c>
      <c r="O32" s="16">
        <f>N32/N$39</f>
        <v>7.9951775027598634E-2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16289</v>
      </c>
      <c r="C33" s="9">
        <v>1233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1169</v>
      </c>
      <c r="N33" s="9">
        <v>18691</v>
      </c>
      <c r="O33" s="16">
        <f>N33/N$39</f>
        <v>5.4299575852652375E-2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191832</v>
      </c>
      <c r="D34" s="9">
        <v>0</v>
      </c>
      <c r="E34" s="9">
        <v>0</v>
      </c>
      <c r="F34" s="9">
        <v>18989</v>
      </c>
      <c r="G34" s="9">
        <v>0</v>
      </c>
      <c r="H34" s="9">
        <v>0</v>
      </c>
      <c r="I34" s="9"/>
      <c r="J34" s="9"/>
      <c r="K34" s="9"/>
      <c r="L34" s="9"/>
      <c r="M34" s="9">
        <v>5</v>
      </c>
      <c r="N34" s="9">
        <v>210825</v>
      </c>
      <c r="O34" s="16">
        <f>N34/N$39</f>
        <v>0.61247167509151124</v>
      </c>
      <c r="P34" s="17" t="s">
        <v>45</v>
      </c>
      <c r="Q34" s="3"/>
      <c r="R34" s="3"/>
      <c r="S34" s="13">
        <f>SUM(S26:S33)</f>
        <v>352.86792000000003</v>
      </c>
      <c r="T34" s="14">
        <f>SUM(T26:T33)</f>
        <v>1</v>
      </c>
    </row>
    <row r="35" spans="1:47">
      <c r="A35" s="5" t="s">
        <v>46</v>
      </c>
      <c r="B35" s="9">
        <v>816</v>
      </c>
      <c r="C35" s="9">
        <v>140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2347</v>
      </c>
      <c r="N35" s="9">
        <v>3303</v>
      </c>
      <c r="O35" s="16">
        <f>N35/N$39</f>
        <v>9.5956074603451274E-3</v>
      </c>
      <c r="P35" s="17" t="s">
        <v>47</v>
      </c>
      <c r="Q35" s="17"/>
    </row>
    <row r="36" spans="1:47">
      <c r="A36" s="5" t="s">
        <v>48</v>
      </c>
      <c r="B36" s="9">
        <v>6107</v>
      </c>
      <c r="C36" s="9">
        <v>1755</v>
      </c>
      <c r="D36" s="9">
        <v>0</v>
      </c>
      <c r="E36" s="9">
        <v>0</v>
      </c>
      <c r="F36" s="9">
        <v>0</v>
      </c>
      <c r="G36" s="9">
        <v>31226</v>
      </c>
      <c r="H36" s="9">
        <v>0</v>
      </c>
      <c r="I36" s="9"/>
      <c r="J36" s="9"/>
      <c r="K36" s="9"/>
      <c r="L36" s="9"/>
      <c r="M36" s="9">
        <v>8336</v>
      </c>
      <c r="N36" s="9">
        <v>47424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30000</v>
      </c>
      <c r="C37" s="9">
        <v>30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57</v>
      </c>
      <c r="N37" s="9">
        <v>30086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889</v>
      </c>
      <c r="N38" s="9">
        <v>889</v>
      </c>
      <c r="O38" s="17">
        <f>SUM(O31:O35)</f>
        <v>0.77224158968101797</v>
      </c>
      <c r="P38" s="17"/>
      <c r="Q38" s="3"/>
      <c r="R38" s="7" t="s">
        <v>51</v>
      </c>
      <c r="S38" s="19">
        <f>N45/1000</f>
        <v>6.3319200000000002</v>
      </c>
      <c r="T38" s="7"/>
    </row>
    <row r="39" spans="1:47">
      <c r="A39" s="5" t="s">
        <v>17</v>
      </c>
      <c r="B39" s="9">
        <v>53212</v>
      </c>
      <c r="C39" s="9">
        <v>205784</v>
      </c>
      <c r="D39" s="9">
        <v>0</v>
      </c>
      <c r="E39" s="9">
        <v>0</v>
      </c>
      <c r="F39" s="9">
        <v>19324</v>
      </c>
      <c r="G39" s="9">
        <v>31226</v>
      </c>
      <c r="H39" s="9">
        <v>0</v>
      </c>
      <c r="I39" s="9"/>
      <c r="J39" s="9"/>
      <c r="K39" s="9"/>
      <c r="L39" s="9"/>
      <c r="M39" s="9">
        <v>34674</v>
      </c>
      <c r="N39" s="9">
        <v>344220</v>
      </c>
      <c r="O39" s="3"/>
      <c r="P39" s="3"/>
      <c r="Q39" s="3"/>
      <c r="R39" s="7" t="s">
        <v>52</v>
      </c>
      <c r="S39" s="20">
        <f>N41/1000</f>
        <v>78.399000000000001</v>
      </c>
      <c r="T39" s="14">
        <f>O41</f>
        <v>0.22775841031898206</v>
      </c>
    </row>
    <row r="40" spans="1:47">
      <c r="R40" s="7" t="s">
        <v>53</v>
      </c>
      <c r="S40" s="20">
        <f>N35/1000</f>
        <v>3.3029999999999999</v>
      </c>
      <c r="T40" s="15">
        <f>O35</f>
        <v>9.5956074603451274E-3</v>
      </c>
    </row>
    <row r="41" spans="1:47">
      <c r="A41" s="21" t="s">
        <v>54</v>
      </c>
      <c r="B41" s="22">
        <f>B38+B37+B36</f>
        <v>36107</v>
      </c>
      <c r="C41" s="22">
        <f t="shared" ref="C41:N41" si="0">C38+C37+C36</f>
        <v>1785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31226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9282</v>
      </c>
      <c r="N41" s="22">
        <f t="shared" si="0"/>
        <v>78399</v>
      </c>
      <c r="O41" s="16">
        <f>N41/N$39</f>
        <v>0.22775841031898206</v>
      </c>
      <c r="P41" s="16" t="s">
        <v>55</v>
      </c>
      <c r="Q41" s="7"/>
      <c r="R41" s="7" t="s">
        <v>56</v>
      </c>
      <c r="S41" s="20">
        <f>N33/1000</f>
        <v>18.690999999999999</v>
      </c>
      <c r="T41" s="14">
        <f>O33</f>
        <v>5.4299575852652375E-2</v>
      </c>
    </row>
    <row r="42" spans="1:47">
      <c r="A42" s="23" t="s">
        <v>57</v>
      </c>
      <c r="B42" s="22"/>
      <c r="C42" s="24">
        <f>C39+C23+C10</f>
        <v>206282</v>
      </c>
      <c r="D42" s="24">
        <f t="shared" ref="D42:L42" si="1">D39+D23+D10</f>
        <v>0</v>
      </c>
      <c r="E42" s="24">
        <f t="shared" si="1"/>
        <v>2959</v>
      </c>
      <c r="F42" s="24">
        <f t="shared" si="1"/>
        <v>20359</v>
      </c>
      <c r="G42" s="24">
        <f t="shared" si="1"/>
        <v>85820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37447.919999999998</v>
      </c>
      <c r="N42" s="25">
        <f>SUM(C42:M42)</f>
        <v>352867.92</v>
      </c>
      <c r="O42" s="7"/>
      <c r="P42" s="7"/>
      <c r="Q42" s="7"/>
      <c r="R42" s="7" t="s">
        <v>37</v>
      </c>
      <c r="S42" s="20">
        <f>N31/1000</f>
        <v>5.4809999999999999</v>
      </c>
      <c r="T42" s="14">
        <f>O31</f>
        <v>1.5922956248910582E-2</v>
      </c>
    </row>
    <row r="43" spans="1:47">
      <c r="A43" s="23" t="s">
        <v>58</v>
      </c>
      <c r="B43" s="22"/>
      <c r="C43" s="16">
        <f t="shared" ref="C43:M43" si="2">C42/$N42</f>
        <v>0.5845870035451225</v>
      </c>
      <c r="D43" s="16">
        <f t="shared" si="2"/>
        <v>0</v>
      </c>
      <c r="E43" s="16">
        <f t="shared" si="2"/>
        <v>8.3855738430401953E-3</v>
      </c>
      <c r="F43" s="16">
        <f t="shared" si="2"/>
        <v>5.7695808675382002E-2</v>
      </c>
      <c r="G43" s="16">
        <f t="shared" si="2"/>
        <v>0.24320714674204447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0.10612446719441088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27.521000000000001</v>
      </c>
      <c r="T43" s="15">
        <f>O32</f>
        <v>7.9951775027598634E-2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210.82499999999999</v>
      </c>
      <c r="T44" s="15">
        <f>O34</f>
        <v>0.61247167509151124</v>
      </c>
    </row>
    <row r="45" spans="1:47">
      <c r="A45" s="6" t="s">
        <v>61</v>
      </c>
      <c r="B45" s="6">
        <f>B23-B39</f>
        <v>3558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2773.92</v>
      </c>
      <c r="N45" s="25">
        <f>B45+M45</f>
        <v>6331.92</v>
      </c>
      <c r="O45" s="7"/>
      <c r="P45" s="7"/>
      <c r="Q45" s="7"/>
      <c r="R45" s="7" t="s">
        <v>62</v>
      </c>
      <c r="S45" s="20">
        <f>SUM(S39:S44)</f>
        <v>344.21999999999997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U70"/>
  <sheetViews>
    <sheetView topLeftCell="A11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2" width="8.83203125" style="2"/>
    <col min="13" max="13" width="10.6640625" style="2" bestFit="1" customWidth="1"/>
    <col min="14" max="14" width="8.83203125" style="2"/>
    <col min="15" max="15" width="10.6640625" style="2" bestFit="1" customWidth="1"/>
    <col min="16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75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43">
        <f>B10-B9</f>
        <v>3350.2032670488002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3">
        <v>2129.7967329511998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5480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B23</f>
        <v>38961</v>
      </c>
      <c r="C18" s="41">
        <v>777</v>
      </c>
      <c r="D18" s="9">
        <v>0</v>
      </c>
      <c r="E18" s="9">
        <v>0</v>
      </c>
      <c r="F18" s="9">
        <v>0</v>
      </c>
      <c r="G18" s="41">
        <v>42741</v>
      </c>
      <c r="H18" s="9">
        <v>0</v>
      </c>
      <c r="I18" s="9"/>
      <c r="J18" s="9"/>
      <c r="K18" s="9"/>
      <c r="L18" s="9"/>
      <c r="M18" s="9"/>
      <c r="N18" s="41">
        <f>SUM(C18:M18)</f>
        <v>43518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v>38961</v>
      </c>
      <c r="C23" s="41">
        <f>SUM(C17:C22)</f>
        <v>777</v>
      </c>
      <c r="D23" s="9">
        <v>0</v>
      </c>
      <c r="E23" s="9">
        <v>0</v>
      </c>
      <c r="F23" s="9">
        <v>0</v>
      </c>
      <c r="G23" s="41">
        <f>SUM(G17:G22)</f>
        <v>42741</v>
      </c>
      <c r="H23" s="9">
        <v>0</v>
      </c>
      <c r="I23" s="9"/>
      <c r="J23" s="9"/>
      <c r="K23" s="9"/>
      <c r="L23" s="9"/>
      <c r="M23" s="9"/>
      <c r="N23" s="41">
        <f>SUM(N17:N22)</f>
        <v>43518</v>
      </c>
      <c r="O23" s="3"/>
      <c r="P23" s="3"/>
      <c r="Q23" s="3"/>
      <c r="R23" s="3" t="s">
        <v>27</v>
      </c>
      <c r="S23" s="12">
        <f>N42/1000</f>
        <v>290.06747999999999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87.702479999999994</v>
      </c>
      <c r="T26" s="14">
        <f>M43</f>
        <v>0.30235199064714186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7"/>
      <c r="N27" s="10">
        <f>SUM(N31:N36)-N39</f>
        <v>-14389</v>
      </c>
      <c r="O27" s="3"/>
      <c r="P27" s="3"/>
      <c r="Q27" s="3"/>
      <c r="R27" s="3" t="s">
        <v>33</v>
      </c>
      <c r="S27" s="13">
        <f>G42/1000</f>
        <v>84.478999999999999</v>
      </c>
      <c r="T27" s="15">
        <f>G43</f>
        <v>0.29123912821940606</v>
      </c>
    </row>
    <row r="28" spans="1:20">
      <c r="A28" s="4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9.4060000000000006</v>
      </c>
      <c r="T29" s="14">
        <f>F43</f>
        <v>3.242693734575141E-2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0.31</v>
      </c>
      <c r="T30" s="14">
        <f>E43</f>
        <v>1.0687168378888941E-3</v>
      </c>
    </row>
    <row r="31" spans="1:20">
      <c r="A31" s="5" t="s">
        <v>36</v>
      </c>
      <c r="B31" s="9">
        <v>0</v>
      </c>
      <c r="C31" s="9">
        <v>6540</v>
      </c>
      <c r="D31" s="9">
        <v>0</v>
      </c>
      <c r="E31" s="9">
        <v>0</v>
      </c>
      <c r="F31" s="9">
        <v>712</v>
      </c>
      <c r="G31" s="9">
        <v>0</v>
      </c>
      <c r="H31" s="9">
        <v>0</v>
      </c>
      <c r="I31" s="9"/>
      <c r="J31" s="9"/>
      <c r="K31" s="9"/>
      <c r="L31" s="9"/>
      <c r="M31" s="9">
        <v>9888</v>
      </c>
      <c r="N31" s="9">
        <f>17140+B31</f>
        <v>17140</v>
      </c>
      <c r="O31" s="16">
        <f>N31/N$39</f>
        <v>6.1968531266269451E-2</v>
      </c>
      <c r="P31" s="17" t="s">
        <v>37</v>
      </c>
      <c r="Q31" s="3"/>
      <c r="R31" s="3" t="s">
        <v>38</v>
      </c>
      <c r="S31" s="13">
        <f>C42/1000</f>
        <v>108.17</v>
      </c>
      <c r="T31" s="15">
        <f>C43</f>
        <v>0.37291322694981183</v>
      </c>
    </row>
    <row r="32" spans="1:20">
      <c r="A32" s="5" t="s">
        <v>39</v>
      </c>
      <c r="B32" s="41">
        <v>18840</v>
      </c>
      <c r="C32" s="9">
        <v>16981</v>
      </c>
      <c r="D32" s="9">
        <v>0</v>
      </c>
      <c r="E32" s="43">
        <f>N32-M32-G32-F32-C32-B32</f>
        <v>310</v>
      </c>
      <c r="F32" s="9">
        <v>672</v>
      </c>
      <c r="G32" s="43">
        <v>339</v>
      </c>
      <c r="H32" s="9">
        <v>0</v>
      </c>
      <c r="I32" s="9"/>
      <c r="J32" s="9"/>
      <c r="K32" s="9"/>
      <c r="L32" s="9"/>
      <c r="M32" s="9">
        <v>9410</v>
      </c>
      <c r="N32" s="42">
        <f>27712+B32</f>
        <v>46552</v>
      </c>
      <c r="O32" s="16">
        <f>N32/N$39</f>
        <v>0.16830566321513277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v>9400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7542</v>
      </c>
      <c r="N33" s="42">
        <f>7542+B33</f>
        <v>16942</v>
      </c>
      <c r="O33" s="16">
        <f>N33/N$39</f>
        <v>6.1252675420836469E-2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83565</v>
      </c>
      <c r="D34" s="9">
        <v>0</v>
      </c>
      <c r="E34" s="9">
        <v>0</v>
      </c>
      <c r="F34" s="9">
        <v>8022</v>
      </c>
      <c r="G34" s="9">
        <v>0</v>
      </c>
      <c r="H34" s="9">
        <v>0</v>
      </c>
      <c r="I34" s="9"/>
      <c r="J34" s="9"/>
      <c r="K34" s="9"/>
      <c r="L34" s="9"/>
      <c r="M34" s="9">
        <v>101</v>
      </c>
      <c r="N34" s="9">
        <f>91688+B34</f>
        <v>91688</v>
      </c>
      <c r="O34" s="16">
        <f>N34/N$39</f>
        <v>0.33149187250535084</v>
      </c>
      <c r="P34" s="17" t="s">
        <v>45</v>
      </c>
      <c r="Q34" s="3"/>
      <c r="R34" s="3"/>
      <c r="S34" s="13">
        <f>SUM(S26:S33)</f>
        <v>290.06747999999999</v>
      </c>
      <c r="T34" s="14">
        <f>SUM(T26:T33)</f>
        <v>1</v>
      </c>
    </row>
    <row r="35" spans="1:47">
      <c r="A35" s="5" t="s">
        <v>46</v>
      </c>
      <c r="B35" s="41">
        <v>800</v>
      </c>
      <c r="C35" s="9">
        <v>119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11996</v>
      </c>
      <c r="N35" s="9">
        <f>12115+B35</f>
        <v>12915</v>
      </c>
      <c r="O35" s="16">
        <f>N35/N$39</f>
        <v>4.669332446346966E-2</v>
      </c>
      <c r="P35" s="17" t="s">
        <v>47</v>
      </c>
      <c r="Q35" s="17"/>
    </row>
    <row r="36" spans="1:47">
      <c r="A36" s="5" t="s">
        <v>48</v>
      </c>
      <c r="B36" s="41">
        <v>700</v>
      </c>
      <c r="C36" s="9">
        <v>189</v>
      </c>
      <c r="D36" s="9">
        <v>0</v>
      </c>
      <c r="E36" s="9">
        <v>0</v>
      </c>
      <c r="F36" s="9">
        <v>0</v>
      </c>
      <c r="G36" s="9">
        <v>41399</v>
      </c>
      <c r="H36" s="9">
        <v>0</v>
      </c>
      <c r="I36" s="9"/>
      <c r="J36" s="9"/>
      <c r="K36" s="9"/>
      <c r="L36" s="9"/>
      <c r="M36" s="9">
        <v>34678</v>
      </c>
      <c r="N36" s="9">
        <f>76266+B36</f>
        <v>76966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v>6800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43">
        <f>7589*4956/(4956+2756)</f>
        <v>4876.9559128630708</v>
      </c>
      <c r="N37" s="43">
        <f>SUM(B37:M37)</f>
        <v>11676.955912863072</v>
      </c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43">
        <f>7589*2756/(4956+2756)</f>
        <v>2712.0440871369296</v>
      </c>
      <c r="N38" s="43">
        <f>SUM(B38:M38)</f>
        <v>2712.0440871369296</v>
      </c>
      <c r="O38" s="17">
        <f>SUM(O31:O35)</f>
        <v>0.66971206687105911</v>
      </c>
      <c r="P38" s="17"/>
      <c r="Q38" s="3"/>
      <c r="R38" s="7" t="s">
        <v>51</v>
      </c>
      <c r="S38" s="19">
        <f>N45/1000</f>
        <v>8.9174799999999994</v>
      </c>
      <c r="T38" s="7"/>
    </row>
    <row r="39" spans="1:47">
      <c r="A39" s="5" t="s">
        <v>17</v>
      </c>
      <c r="B39" s="41">
        <f>SUM(B31:B38)</f>
        <v>36540</v>
      </c>
      <c r="C39" s="9">
        <v>107393</v>
      </c>
      <c r="D39" s="9">
        <v>0</v>
      </c>
      <c r="E39" s="43">
        <f>SUM(E31:E38)</f>
        <v>310</v>
      </c>
      <c r="F39" s="9">
        <v>9406</v>
      </c>
      <c r="G39" s="43">
        <f>SUM(G31:G38)</f>
        <v>41738</v>
      </c>
      <c r="H39" s="9">
        <v>0</v>
      </c>
      <c r="I39" s="9"/>
      <c r="J39" s="9"/>
      <c r="K39" s="9"/>
      <c r="L39" s="9"/>
      <c r="M39" s="9">
        <v>81206</v>
      </c>
      <c r="N39" s="41">
        <f>240052+B39</f>
        <v>276592</v>
      </c>
      <c r="O39" s="3"/>
      <c r="P39" s="3"/>
      <c r="Q39" s="3"/>
      <c r="R39" s="7" t="s">
        <v>52</v>
      </c>
      <c r="S39" s="20">
        <f>N41/1000</f>
        <v>91.355000000000004</v>
      </c>
      <c r="T39" s="14">
        <f>O41</f>
        <v>0.33028793312894084</v>
      </c>
    </row>
    <row r="40" spans="1:47">
      <c r="M40" s="10"/>
      <c r="N40" s="10"/>
      <c r="R40" s="7" t="s">
        <v>53</v>
      </c>
      <c r="S40" s="20">
        <f>N35/1000</f>
        <v>12.914999999999999</v>
      </c>
      <c r="T40" s="15">
        <f>O35</f>
        <v>4.669332446346966E-2</v>
      </c>
    </row>
    <row r="41" spans="1:47">
      <c r="A41" s="21" t="s">
        <v>54</v>
      </c>
      <c r="B41" s="22">
        <f>B38+B37+B36</f>
        <v>7500</v>
      </c>
      <c r="C41" s="22">
        <f t="shared" ref="C41:N41" si="0">C38+C37+C36</f>
        <v>189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41399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42267</v>
      </c>
      <c r="N41" s="22">
        <f t="shared" si="0"/>
        <v>91355</v>
      </c>
      <c r="O41" s="16">
        <f>N41/N$39</f>
        <v>0.33028793312894084</v>
      </c>
      <c r="P41" s="16" t="s">
        <v>55</v>
      </c>
      <c r="Q41" s="7"/>
      <c r="R41" s="7" t="s">
        <v>56</v>
      </c>
      <c r="S41" s="20">
        <f>N33/1000</f>
        <v>16.942</v>
      </c>
      <c r="T41" s="14">
        <f>O33</f>
        <v>6.1252675420836469E-2</v>
      </c>
    </row>
    <row r="42" spans="1:47">
      <c r="A42" s="23" t="s">
        <v>57</v>
      </c>
      <c r="B42" s="22"/>
      <c r="C42" s="24">
        <f>C39+C23+C10</f>
        <v>108170</v>
      </c>
      <c r="D42" s="24">
        <f t="shared" ref="D42:L42" si="1">D39+D23+D10</f>
        <v>0</v>
      </c>
      <c r="E42" s="24">
        <f t="shared" si="1"/>
        <v>310</v>
      </c>
      <c r="F42" s="24">
        <f t="shared" si="1"/>
        <v>9406</v>
      </c>
      <c r="G42" s="24">
        <f t="shared" si="1"/>
        <v>84479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87702.48</v>
      </c>
      <c r="N42" s="25">
        <f>SUM(C42:M42)</f>
        <v>290067.48</v>
      </c>
      <c r="O42" s="7"/>
      <c r="P42" s="7"/>
      <c r="Q42" s="7"/>
      <c r="R42" s="7" t="s">
        <v>37</v>
      </c>
      <c r="S42" s="20">
        <f>N31/1000</f>
        <v>17.14</v>
      </c>
      <c r="T42" s="14">
        <f>O31</f>
        <v>6.1968531266269451E-2</v>
      </c>
    </row>
    <row r="43" spans="1:47">
      <c r="A43" s="23" t="s">
        <v>58</v>
      </c>
      <c r="B43" s="22"/>
      <c r="C43" s="16">
        <f t="shared" ref="C43:M43" si="2">C42/$N42</f>
        <v>0.37291322694981183</v>
      </c>
      <c r="D43" s="16">
        <f t="shared" si="2"/>
        <v>0</v>
      </c>
      <c r="E43" s="16">
        <f t="shared" si="2"/>
        <v>1.0687168378888941E-3</v>
      </c>
      <c r="F43" s="16">
        <f t="shared" si="2"/>
        <v>3.242693734575141E-2</v>
      </c>
      <c r="G43" s="16">
        <f t="shared" si="2"/>
        <v>0.29123912821940606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0.30235199064714186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46.552</v>
      </c>
      <c r="T43" s="15">
        <f>O32</f>
        <v>0.16830566321513277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91.688000000000002</v>
      </c>
      <c r="T44" s="15">
        <f>O34</f>
        <v>0.33149187250535084</v>
      </c>
    </row>
    <row r="45" spans="1:47">
      <c r="A45" s="6" t="s">
        <v>61</v>
      </c>
      <c r="B45" s="6">
        <f>B23-B39</f>
        <v>2421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6496.4800000000005</v>
      </c>
      <c r="N45" s="25">
        <f>B45+M45</f>
        <v>8917.48</v>
      </c>
      <c r="O45" s="7"/>
      <c r="P45" s="7"/>
      <c r="Q45" s="7"/>
      <c r="R45" s="7" t="s">
        <v>62</v>
      </c>
      <c r="S45" s="20">
        <f>SUM(S39:S44)</f>
        <v>276.59200000000004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8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U70"/>
  <sheetViews>
    <sheetView topLeftCell="A11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76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2192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2192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6940</v>
      </c>
      <c r="C18" s="9">
        <v>0</v>
      </c>
      <c r="D18" s="9">
        <v>0</v>
      </c>
      <c r="E18" s="9">
        <v>0</v>
      </c>
      <c r="F18" s="9">
        <v>0</v>
      </c>
      <c r="G18" s="9">
        <v>7380</v>
      </c>
      <c r="H18" s="9">
        <v>0</v>
      </c>
      <c r="I18" s="9"/>
      <c r="J18" s="9"/>
      <c r="K18" s="9"/>
      <c r="L18" s="9"/>
      <c r="M18" s="9"/>
      <c r="N18" s="9">
        <v>7380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6940</v>
      </c>
      <c r="C23" s="9">
        <v>0</v>
      </c>
      <c r="D23" s="9">
        <v>0</v>
      </c>
      <c r="E23" s="9">
        <v>0</v>
      </c>
      <c r="F23" s="9">
        <v>0</v>
      </c>
      <c r="G23" s="9">
        <v>7380</v>
      </c>
      <c r="H23" s="9">
        <v>0</v>
      </c>
      <c r="I23" s="9"/>
      <c r="J23" s="9"/>
      <c r="K23" s="9"/>
      <c r="L23" s="9"/>
      <c r="M23" s="9"/>
      <c r="N23" s="9">
        <v>7380</v>
      </c>
      <c r="O23" s="3"/>
      <c r="P23" s="3"/>
      <c r="Q23" s="3"/>
      <c r="R23" s="3" t="s">
        <v>27</v>
      </c>
      <c r="S23" s="12">
        <f>N42/1000</f>
        <v>215.53028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7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69.461280000000002</v>
      </c>
      <c r="T26" s="14">
        <f>M43</f>
        <v>0.32228084146691593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29.994</v>
      </c>
      <c r="T27" s="15">
        <f>G43</f>
        <v>0.13916374070501833</v>
      </c>
    </row>
    <row r="28" spans="1:20">
      <c r="A28" s="4" t="s">
        <v>76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9.7750000000000004</v>
      </c>
      <c r="T29" s="14">
        <f>F43</f>
        <v>4.5353256164284664E-2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616</v>
      </c>
      <c r="D31" s="9">
        <v>0</v>
      </c>
      <c r="E31" s="9">
        <v>0</v>
      </c>
      <c r="F31" s="9">
        <v>26</v>
      </c>
      <c r="G31" s="9">
        <v>0</v>
      </c>
      <c r="H31" s="9">
        <v>0</v>
      </c>
      <c r="I31" s="9"/>
      <c r="J31" s="9"/>
      <c r="K31" s="9"/>
      <c r="L31" s="9"/>
      <c r="M31" s="9">
        <v>4251</v>
      </c>
      <c r="N31" s="9">
        <v>4893</v>
      </c>
      <c r="O31" s="16">
        <f>N31/N$39</f>
        <v>2.3408443515995098E-2</v>
      </c>
      <c r="P31" s="17" t="s">
        <v>37</v>
      </c>
      <c r="Q31" s="3"/>
      <c r="R31" s="3" t="s">
        <v>38</v>
      </c>
      <c r="S31" s="13">
        <f>C42/1000</f>
        <v>106.3</v>
      </c>
      <c r="T31" s="15">
        <f>C43</f>
        <v>0.49320216166378106</v>
      </c>
    </row>
    <row r="32" spans="1:20">
      <c r="A32" s="5" t="s">
        <v>39</v>
      </c>
      <c r="B32" s="9">
        <v>0</v>
      </c>
      <c r="C32" s="43">
        <v>5148</v>
      </c>
      <c r="D32" s="9">
        <v>0</v>
      </c>
      <c r="E32" s="9">
        <v>0</v>
      </c>
      <c r="F32" s="9">
        <v>47</v>
      </c>
      <c r="G32" s="43">
        <f>N32-SUM(H32:M32,B32:F32)</f>
        <v>2108</v>
      </c>
      <c r="H32" s="9">
        <v>0</v>
      </c>
      <c r="I32" s="9"/>
      <c r="J32" s="9"/>
      <c r="K32" s="9"/>
      <c r="L32" s="9"/>
      <c r="M32" s="9">
        <v>6933</v>
      </c>
      <c r="N32" s="9">
        <v>14236</v>
      </c>
      <c r="O32" s="16">
        <f>N32/N$39</f>
        <v>6.8105988533355047E-2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86">
        <f>2341*0.87</f>
        <v>2036.67</v>
      </c>
      <c r="C33" s="9">
        <v>880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4159</v>
      </c>
      <c r="N33" s="41">
        <f>5039+B33</f>
        <v>7075.67</v>
      </c>
      <c r="O33" s="16">
        <f>N33/N$39</f>
        <v>3.3850484678688134E-2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98158</v>
      </c>
      <c r="D34" s="9">
        <v>0</v>
      </c>
      <c r="E34" s="9">
        <v>0</v>
      </c>
      <c r="F34" s="9">
        <v>9702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107860</v>
      </c>
      <c r="O34" s="16">
        <f>N34/N$39</f>
        <v>0.5160095478510589</v>
      </c>
      <c r="P34" s="17" t="s">
        <v>45</v>
      </c>
      <c r="Q34" s="3"/>
      <c r="R34" s="3"/>
      <c r="S34" s="13">
        <f>SUM(S26:S33)</f>
        <v>215.53028</v>
      </c>
      <c r="T34" s="14">
        <f>SUM(T26:T33)</f>
        <v>1</v>
      </c>
    </row>
    <row r="35" spans="1:47">
      <c r="A35" s="5" t="s">
        <v>46</v>
      </c>
      <c r="B35" s="41">
        <f>394*0.87</f>
        <v>342.78</v>
      </c>
      <c r="C35" s="9">
        <v>927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13651</v>
      </c>
      <c r="N35" s="41">
        <f>14578+B35</f>
        <v>14920.78</v>
      </c>
      <c r="O35" s="16">
        <f>N35/N$39</f>
        <v>7.1382022449333615E-2</v>
      </c>
      <c r="P35" s="17" t="s">
        <v>47</v>
      </c>
      <c r="Q35" s="17"/>
    </row>
    <row r="36" spans="1:47">
      <c r="A36" s="5" t="s">
        <v>48</v>
      </c>
      <c r="B36" s="9">
        <v>0</v>
      </c>
      <c r="C36" s="43">
        <v>500</v>
      </c>
      <c r="D36" s="9">
        <v>0</v>
      </c>
      <c r="E36" s="9">
        <v>0</v>
      </c>
      <c r="F36" s="9">
        <v>0</v>
      </c>
      <c r="G36" s="43">
        <f>N36-SUM(H36:M36,B36:F36)</f>
        <v>20506</v>
      </c>
      <c r="H36" s="9">
        <v>0</v>
      </c>
      <c r="I36" s="9"/>
      <c r="J36" s="9"/>
      <c r="K36" s="9"/>
      <c r="L36" s="9"/>
      <c r="M36" s="9">
        <v>30049</v>
      </c>
      <c r="N36" s="9">
        <v>51055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f>4187*0.87</f>
        <v>3642.69</v>
      </c>
      <c r="C37" s="9">
        <v>71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2611</v>
      </c>
      <c r="N37" s="41">
        <f>2682+B37</f>
        <v>6324.6900000000005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2662</v>
      </c>
      <c r="N38" s="9">
        <v>2662</v>
      </c>
      <c r="O38" s="17">
        <f>SUM(O31:O35)</f>
        <v>0.71275648702843086</v>
      </c>
      <c r="P38" s="17"/>
      <c r="Q38" s="3"/>
      <c r="R38" s="7" t="s">
        <v>51</v>
      </c>
      <c r="S38" s="19">
        <f>N45/1000</f>
        <v>6.0631400000000006</v>
      </c>
      <c r="T38" s="7"/>
    </row>
    <row r="39" spans="1:47">
      <c r="A39" s="5" t="s">
        <v>17</v>
      </c>
      <c r="B39" s="41">
        <f>SUM(B31:B38)</f>
        <v>6022.1399999999994</v>
      </c>
      <c r="C39" s="43">
        <f>SUM(C31:C38)</f>
        <v>106300</v>
      </c>
      <c r="D39" s="9">
        <v>0</v>
      </c>
      <c r="E39" s="9">
        <v>0</v>
      </c>
      <c r="F39" s="9">
        <v>9775</v>
      </c>
      <c r="G39" s="43">
        <f>SUM(G31:G38)</f>
        <v>22614</v>
      </c>
      <c r="H39" s="9">
        <v>0</v>
      </c>
      <c r="I39" s="9"/>
      <c r="J39" s="9"/>
      <c r="K39" s="9"/>
      <c r="L39" s="9"/>
      <c r="M39" s="9">
        <v>64316</v>
      </c>
      <c r="N39" s="41">
        <f>203005+B39</f>
        <v>209027.14</v>
      </c>
      <c r="O39" s="3"/>
      <c r="P39" s="3"/>
      <c r="Q39" s="3"/>
      <c r="R39" s="7" t="s">
        <v>52</v>
      </c>
      <c r="S39" s="20">
        <f>N41/1000</f>
        <v>60.041690000000003</v>
      </c>
      <c r="T39" s="14">
        <f>O41</f>
        <v>0.28724351297156914</v>
      </c>
    </row>
    <row r="40" spans="1:47">
      <c r="B40" s="10"/>
      <c r="L40" s="10"/>
      <c r="N40" s="10"/>
      <c r="R40" s="7" t="s">
        <v>53</v>
      </c>
      <c r="S40" s="20">
        <f>N35/1000</f>
        <v>14.920780000000001</v>
      </c>
      <c r="T40" s="15">
        <f>O35</f>
        <v>7.1382022449333615E-2</v>
      </c>
    </row>
    <row r="41" spans="1:47">
      <c r="A41" s="21" t="s">
        <v>54</v>
      </c>
      <c r="B41" s="22">
        <f>B38+B37+B36</f>
        <v>3642.69</v>
      </c>
      <c r="C41" s="22">
        <f t="shared" ref="C41:N41" si="0">C38+C37+C36</f>
        <v>571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20506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35322</v>
      </c>
      <c r="N41" s="22">
        <f t="shared" si="0"/>
        <v>60041.69</v>
      </c>
      <c r="O41" s="16">
        <f>N41/N$39</f>
        <v>0.28724351297156914</v>
      </c>
      <c r="P41" s="16" t="s">
        <v>55</v>
      </c>
      <c r="Q41" s="7"/>
      <c r="R41" s="7" t="s">
        <v>56</v>
      </c>
      <c r="S41" s="20">
        <f>N33/1000</f>
        <v>7.0756699999999997</v>
      </c>
      <c r="T41" s="14">
        <f>O33</f>
        <v>3.3850484678688134E-2</v>
      </c>
    </row>
    <row r="42" spans="1:47">
      <c r="A42" s="23" t="s">
        <v>57</v>
      </c>
      <c r="B42" s="22"/>
      <c r="C42" s="24">
        <f>C39+C23+C10</f>
        <v>106300</v>
      </c>
      <c r="D42" s="24">
        <f t="shared" ref="D42:L42" si="1">D39+D23+D10</f>
        <v>0</v>
      </c>
      <c r="E42" s="24">
        <f t="shared" si="1"/>
        <v>0</v>
      </c>
      <c r="F42" s="24">
        <f t="shared" si="1"/>
        <v>9775</v>
      </c>
      <c r="G42" s="24">
        <f t="shared" si="1"/>
        <v>29994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69461.279999999999</v>
      </c>
      <c r="N42" s="25">
        <f>SUM(C42:M42)</f>
        <v>215530.28</v>
      </c>
      <c r="O42" s="7"/>
      <c r="P42" s="7"/>
      <c r="Q42" s="7"/>
      <c r="R42" s="7" t="s">
        <v>37</v>
      </c>
      <c r="S42" s="20">
        <f>N31/1000</f>
        <v>4.8929999999999998</v>
      </c>
      <c r="T42" s="14">
        <f>O31</f>
        <v>2.3408443515995098E-2</v>
      </c>
    </row>
    <row r="43" spans="1:47">
      <c r="A43" s="23" t="s">
        <v>58</v>
      </c>
      <c r="B43" s="22"/>
      <c r="C43" s="16">
        <f t="shared" ref="C43:M43" si="2">C42/$N42</f>
        <v>0.49320216166378106</v>
      </c>
      <c r="D43" s="16">
        <f t="shared" si="2"/>
        <v>0</v>
      </c>
      <c r="E43" s="16">
        <f t="shared" si="2"/>
        <v>0</v>
      </c>
      <c r="F43" s="16">
        <f t="shared" si="2"/>
        <v>4.5353256164284664E-2</v>
      </c>
      <c r="G43" s="16">
        <f t="shared" si="2"/>
        <v>0.13916374070501833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0.32228084146691593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14.236000000000001</v>
      </c>
      <c r="T43" s="15">
        <f>O32</f>
        <v>6.8105988533355047E-2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107.86</v>
      </c>
      <c r="T44" s="15">
        <f>O34</f>
        <v>0.5160095478510589</v>
      </c>
    </row>
    <row r="45" spans="1:47">
      <c r="A45" s="6" t="s">
        <v>61</v>
      </c>
      <c r="B45" s="6">
        <f>B23-B39</f>
        <v>917.86000000000058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5145.28</v>
      </c>
      <c r="N45" s="25">
        <f>B45+M45</f>
        <v>6063.14</v>
      </c>
      <c r="O45" s="7"/>
      <c r="P45" s="7"/>
      <c r="Q45" s="7"/>
      <c r="R45" s="7" t="s">
        <v>62</v>
      </c>
      <c r="S45" s="20">
        <f>SUM(S39:S44)</f>
        <v>209.02714</v>
      </c>
      <c r="T45" s="14">
        <f>SUM(T39:T44)</f>
        <v>0.99999999999999989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77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550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54148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54698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27408</v>
      </c>
      <c r="C18" s="9">
        <v>677</v>
      </c>
      <c r="D18" s="9">
        <v>0</v>
      </c>
      <c r="E18" s="9">
        <v>0</v>
      </c>
      <c r="F18" s="9">
        <v>0</v>
      </c>
      <c r="G18" s="9">
        <v>30357</v>
      </c>
      <c r="H18" s="9">
        <v>0</v>
      </c>
      <c r="I18" s="9"/>
      <c r="J18" s="9"/>
      <c r="K18" s="9"/>
      <c r="L18" s="9"/>
      <c r="M18" s="9"/>
      <c r="N18" s="9">
        <v>31033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27408</v>
      </c>
      <c r="C23" s="9">
        <v>677</v>
      </c>
      <c r="D23" s="9">
        <v>0</v>
      </c>
      <c r="E23" s="9">
        <v>0</v>
      </c>
      <c r="F23" s="9">
        <v>0</v>
      </c>
      <c r="G23" s="9">
        <v>30357</v>
      </c>
      <c r="H23" s="9">
        <v>0</v>
      </c>
      <c r="I23" s="9"/>
      <c r="J23" s="9"/>
      <c r="K23" s="9"/>
      <c r="L23" s="9"/>
      <c r="M23" s="9"/>
      <c r="N23" s="9">
        <v>31033</v>
      </c>
      <c r="O23" s="3"/>
      <c r="P23" s="3"/>
      <c r="Q23" s="3"/>
      <c r="R23" s="3" t="s">
        <v>27</v>
      </c>
      <c r="S23" s="12">
        <f>N42/1000</f>
        <v>156.70356000000001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48.823560000000001</v>
      </c>
      <c r="T26" s="14">
        <f>M43</f>
        <v>0.31156637411428306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54.463999999999999</v>
      </c>
      <c r="T27" s="15">
        <f>G43</f>
        <v>0.3475607063426</v>
      </c>
    </row>
    <row r="28" spans="1:20">
      <c r="A28" s="4" t="s">
        <v>77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4.173</v>
      </c>
      <c r="T29" s="14">
        <f>F43</f>
        <v>2.6629899154811801E-2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43">
        <f>12384/1273*F31</f>
        <v>12987.148468185389</v>
      </c>
      <c r="D31" s="9">
        <v>0</v>
      </c>
      <c r="E31" s="9">
        <v>0</v>
      </c>
      <c r="F31" s="9">
        <v>1335</v>
      </c>
      <c r="G31" s="9">
        <v>0</v>
      </c>
      <c r="H31" s="9">
        <v>0</v>
      </c>
      <c r="I31" s="9"/>
      <c r="J31" s="9"/>
      <c r="K31" s="9"/>
      <c r="L31" s="9"/>
      <c r="M31" s="9">
        <v>8859</v>
      </c>
      <c r="N31" s="43">
        <f>SUM(B31:M31)</f>
        <v>23181.148468185391</v>
      </c>
      <c r="O31" s="16">
        <f>N31/N$39</f>
        <v>0.15922540108790889</v>
      </c>
      <c r="P31" s="17" t="s">
        <v>37</v>
      </c>
      <c r="Q31" s="3"/>
      <c r="R31" s="3" t="s">
        <v>38</v>
      </c>
      <c r="S31" s="13">
        <f>C42/1000</f>
        <v>49.243000000000002</v>
      </c>
      <c r="T31" s="15">
        <f>C43</f>
        <v>0.31424302038830515</v>
      </c>
    </row>
    <row r="32" spans="1:20">
      <c r="A32" s="5" t="s">
        <v>39</v>
      </c>
      <c r="B32" s="9">
        <v>369</v>
      </c>
      <c r="C32" s="43">
        <f>N32-M32-B32</f>
        <v>194.85153181460919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/>
      <c r="J32" s="9"/>
      <c r="K32" s="9"/>
      <c r="L32" s="9"/>
      <c r="M32" s="9">
        <v>2304</v>
      </c>
      <c r="N32" s="43">
        <f>N39-SUM(N33:N38,N31)</f>
        <v>2867.8515318146092</v>
      </c>
      <c r="O32" s="16">
        <f>N32/N$39</f>
        <v>1.9698541297056806E-2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9180</v>
      </c>
      <c r="C33" s="9">
        <v>74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5598</v>
      </c>
      <c r="N33" s="9">
        <v>14852</v>
      </c>
      <c r="O33" s="16">
        <f>N33/N$39</f>
        <v>0.10201460295218666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35042</v>
      </c>
      <c r="D34" s="9">
        <v>0</v>
      </c>
      <c r="E34" s="9">
        <v>0</v>
      </c>
      <c r="F34" s="9">
        <v>2837</v>
      </c>
      <c r="G34" s="9">
        <v>0</v>
      </c>
      <c r="H34" s="9">
        <v>0</v>
      </c>
      <c r="I34" s="9"/>
      <c r="J34" s="9"/>
      <c r="K34" s="9"/>
      <c r="L34" s="9"/>
      <c r="M34" s="9">
        <v>6</v>
      </c>
      <c r="N34" s="9">
        <v>37885</v>
      </c>
      <c r="O34" s="16">
        <f>N34/N$39</f>
        <v>0.26022240996792295</v>
      </c>
      <c r="P34" s="17" t="s">
        <v>45</v>
      </c>
      <c r="Q34" s="3"/>
      <c r="R34" s="3"/>
      <c r="S34" s="13">
        <f>SUM(S26:S33)</f>
        <v>156.70356000000001</v>
      </c>
      <c r="T34" s="14">
        <f>SUM(T26:T33)</f>
        <v>1</v>
      </c>
    </row>
    <row r="35" spans="1:47">
      <c r="A35" s="5" t="s">
        <v>46</v>
      </c>
      <c r="B35" s="9">
        <v>1807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7398</v>
      </c>
      <c r="N35" s="9">
        <v>9205</v>
      </c>
      <c r="O35" s="16">
        <f>N35/N$39</f>
        <v>6.3226799096073136E-2</v>
      </c>
      <c r="P35" s="17" t="s">
        <v>47</v>
      </c>
      <c r="Q35" s="17"/>
    </row>
    <row r="36" spans="1:47">
      <c r="A36" s="5" t="s">
        <v>48</v>
      </c>
      <c r="B36" s="9">
        <v>3729</v>
      </c>
      <c r="C36" s="9">
        <v>269</v>
      </c>
      <c r="D36" s="9">
        <v>0</v>
      </c>
      <c r="E36" s="9">
        <v>0</v>
      </c>
      <c r="F36" s="9">
        <v>0</v>
      </c>
      <c r="G36" s="9">
        <v>24107</v>
      </c>
      <c r="H36" s="9">
        <v>0</v>
      </c>
      <c r="I36" s="9"/>
      <c r="J36" s="9"/>
      <c r="K36" s="9"/>
      <c r="L36" s="9"/>
      <c r="M36" s="9">
        <v>18476</v>
      </c>
      <c r="N36" s="9">
        <v>46581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8449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1683</v>
      </c>
      <c r="N37" s="9">
        <v>10132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883</v>
      </c>
      <c r="N38" s="9">
        <v>883</v>
      </c>
      <c r="O38" s="17">
        <f>SUM(O31:O35)</f>
        <v>0.60438775440114845</v>
      </c>
      <c r="P38" s="17"/>
      <c r="Q38" s="3"/>
      <c r="R38" s="7" t="s">
        <v>51</v>
      </c>
      <c r="S38" s="19">
        <f>N45/1000</f>
        <v>7.4905599999999994</v>
      </c>
      <c r="T38" s="7"/>
    </row>
    <row r="39" spans="1:47">
      <c r="A39" s="5" t="s">
        <v>17</v>
      </c>
      <c r="B39" s="9">
        <v>23534</v>
      </c>
      <c r="C39" s="9">
        <v>48566</v>
      </c>
      <c r="D39" s="9">
        <v>0</v>
      </c>
      <c r="E39" s="9">
        <v>0</v>
      </c>
      <c r="F39" s="9">
        <v>4173</v>
      </c>
      <c r="G39" s="9">
        <v>24107</v>
      </c>
      <c r="H39" s="9">
        <v>0</v>
      </c>
      <c r="I39" s="9"/>
      <c r="J39" s="9"/>
      <c r="K39" s="9"/>
      <c r="L39" s="9"/>
      <c r="M39" s="9">
        <v>45207</v>
      </c>
      <c r="N39" s="9">
        <v>145587</v>
      </c>
      <c r="O39" s="3"/>
      <c r="P39" s="3"/>
      <c r="Q39" s="3"/>
      <c r="R39" s="7" t="s">
        <v>52</v>
      </c>
      <c r="S39" s="20">
        <f>N41/1000</f>
        <v>57.595999999999997</v>
      </c>
      <c r="T39" s="14">
        <f>O41</f>
        <v>0.39561224559885155</v>
      </c>
    </row>
    <row r="40" spans="1:47">
      <c r="N40" s="10"/>
      <c r="R40" s="7" t="s">
        <v>53</v>
      </c>
      <c r="S40" s="20">
        <f>N35/1000</f>
        <v>9.2050000000000001</v>
      </c>
      <c r="T40" s="15">
        <f>O35</f>
        <v>6.3226799096073136E-2</v>
      </c>
    </row>
    <row r="41" spans="1:47">
      <c r="A41" s="21" t="s">
        <v>54</v>
      </c>
      <c r="B41" s="22">
        <f>B38+B37+B36</f>
        <v>12178</v>
      </c>
      <c r="C41" s="22">
        <f t="shared" ref="C41:N41" si="0">C38+C37+C36</f>
        <v>269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24107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21042</v>
      </c>
      <c r="N41" s="22">
        <f t="shared" si="0"/>
        <v>57596</v>
      </c>
      <c r="O41" s="16">
        <f>N41/N$39</f>
        <v>0.39561224559885155</v>
      </c>
      <c r="P41" s="16" t="s">
        <v>55</v>
      </c>
      <c r="Q41" s="7"/>
      <c r="R41" s="7" t="s">
        <v>56</v>
      </c>
      <c r="S41" s="20">
        <f>N33/1000</f>
        <v>14.852</v>
      </c>
      <c r="T41" s="14">
        <f>O33</f>
        <v>0.10201460295218666</v>
      </c>
    </row>
    <row r="42" spans="1:47">
      <c r="A42" s="23" t="s">
        <v>57</v>
      </c>
      <c r="B42" s="22"/>
      <c r="C42" s="24">
        <f>C39+C23+C10</f>
        <v>49243</v>
      </c>
      <c r="D42" s="24">
        <f t="shared" ref="D42:L42" si="1">D39+D23+D10</f>
        <v>0</v>
      </c>
      <c r="E42" s="24">
        <f t="shared" si="1"/>
        <v>0</v>
      </c>
      <c r="F42" s="24">
        <f t="shared" si="1"/>
        <v>4173</v>
      </c>
      <c r="G42" s="24">
        <f t="shared" si="1"/>
        <v>54464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48823.56</v>
      </c>
      <c r="N42" s="25">
        <f>SUM(C42:M42)</f>
        <v>156703.56</v>
      </c>
      <c r="O42" s="7"/>
      <c r="P42" s="7"/>
      <c r="Q42" s="7"/>
      <c r="R42" s="7" t="s">
        <v>37</v>
      </c>
      <c r="S42" s="20">
        <f>N31/1000</f>
        <v>23.181148468185391</v>
      </c>
      <c r="T42" s="14">
        <f>O31</f>
        <v>0.15922540108790889</v>
      </c>
    </row>
    <row r="43" spans="1:47">
      <c r="A43" s="23" t="s">
        <v>58</v>
      </c>
      <c r="B43" s="22"/>
      <c r="C43" s="16">
        <f t="shared" ref="C43:M43" si="2">C42/$N42</f>
        <v>0.31424302038830515</v>
      </c>
      <c r="D43" s="16">
        <f t="shared" si="2"/>
        <v>0</v>
      </c>
      <c r="E43" s="16">
        <f t="shared" si="2"/>
        <v>0</v>
      </c>
      <c r="F43" s="16">
        <f t="shared" si="2"/>
        <v>2.6629899154811801E-2</v>
      </c>
      <c r="G43" s="16">
        <f t="shared" si="2"/>
        <v>0.3475607063426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0.31156637411428306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2.8678515318146092</v>
      </c>
      <c r="T43" s="15">
        <f>O32</f>
        <v>1.9698541297056806E-2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37.884999999999998</v>
      </c>
      <c r="T44" s="15">
        <f>O34</f>
        <v>0.26022240996792295</v>
      </c>
    </row>
    <row r="45" spans="1:47">
      <c r="A45" s="6" t="s">
        <v>61</v>
      </c>
      <c r="B45" s="6">
        <f>B23-B39</f>
        <v>3874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3616.56</v>
      </c>
      <c r="N45" s="25">
        <f>B45+M45</f>
        <v>7490.5599999999995</v>
      </c>
      <c r="O45" s="7"/>
      <c r="P45" s="7"/>
      <c r="Q45" s="7"/>
      <c r="R45" s="7" t="s">
        <v>62</v>
      </c>
      <c r="S45" s="20">
        <f>SUM(S39:S44)</f>
        <v>145.58699999999999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U70"/>
  <sheetViews>
    <sheetView topLeftCell="A17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78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480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12493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12973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8008</v>
      </c>
      <c r="C18" s="9">
        <v>0</v>
      </c>
      <c r="D18" s="9">
        <v>0</v>
      </c>
      <c r="E18" s="9">
        <v>0</v>
      </c>
      <c r="F18" s="9">
        <v>0</v>
      </c>
      <c r="G18" s="9">
        <v>8128</v>
      </c>
      <c r="H18" s="9">
        <v>0</v>
      </c>
      <c r="I18" s="9"/>
      <c r="J18" s="9"/>
      <c r="K18" s="9"/>
      <c r="L18" s="9"/>
      <c r="M18" s="9"/>
      <c r="N18" s="9">
        <v>8128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8008</v>
      </c>
      <c r="C23" s="9">
        <v>0</v>
      </c>
      <c r="D23" s="9">
        <v>0</v>
      </c>
      <c r="E23" s="9">
        <v>0</v>
      </c>
      <c r="F23" s="9">
        <v>0</v>
      </c>
      <c r="G23" s="9">
        <v>8128</v>
      </c>
      <c r="H23" s="9">
        <v>0</v>
      </c>
      <c r="I23" s="9"/>
      <c r="J23" s="9"/>
      <c r="K23" s="9"/>
      <c r="L23" s="9"/>
      <c r="M23" s="9"/>
      <c r="N23" s="9">
        <v>8128</v>
      </c>
      <c r="O23" s="3"/>
      <c r="P23" s="3"/>
      <c r="Q23" s="3"/>
      <c r="R23" s="3" t="s">
        <v>27</v>
      </c>
      <c r="S23" s="12">
        <f>N42/1000</f>
        <v>168.61387999999999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99.533880000000011</v>
      </c>
      <c r="T26" s="14">
        <f>M43</f>
        <v>0.59030656313703234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29.936</v>
      </c>
      <c r="T27" s="15">
        <f>G43</f>
        <v>0.17754173025376083</v>
      </c>
    </row>
    <row r="28" spans="1:20">
      <c r="A28" s="4" t="s">
        <v>78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2.5190000000000001</v>
      </c>
      <c r="T29" s="14">
        <f>F43</f>
        <v>1.4939458127646431E-2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6.306</v>
      </c>
      <c r="T30" s="14">
        <f>E43</f>
        <v>3.7399056352893367E-2</v>
      </c>
    </row>
    <row r="31" spans="1:20">
      <c r="A31" s="5" t="s">
        <v>36</v>
      </c>
      <c r="B31" s="9">
        <v>0</v>
      </c>
      <c r="C31" s="9">
        <v>8661</v>
      </c>
      <c r="D31" s="9">
        <v>0</v>
      </c>
      <c r="E31" s="9">
        <v>0</v>
      </c>
      <c r="F31" s="9">
        <v>913</v>
      </c>
      <c r="G31" s="9">
        <v>0</v>
      </c>
      <c r="H31" s="9">
        <v>0</v>
      </c>
      <c r="I31" s="9"/>
      <c r="J31" s="9"/>
      <c r="K31" s="9"/>
      <c r="L31" s="9"/>
      <c r="M31" s="9">
        <v>9547</v>
      </c>
      <c r="N31" s="9">
        <v>19122</v>
      </c>
      <c r="O31" s="16">
        <f>N31/N$39</f>
        <v>0.11949457581362796</v>
      </c>
      <c r="P31" s="17" t="s">
        <v>37</v>
      </c>
      <c r="Q31" s="3"/>
      <c r="R31" s="3" t="s">
        <v>38</v>
      </c>
      <c r="S31" s="13">
        <f>C42/1000</f>
        <v>30.318999999999999</v>
      </c>
      <c r="T31" s="15">
        <f>C43</f>
        <v>0.17981319212866698</v>
      </c>
    </row>
    <row r="32" spans="1:20">
      <c r="A32" s="5" t="s">
        <v>39</v>
      </c>
      <c r="B32" s="9">
        <v>1014</v>
      </c>
      <c r="C32" s="9">
        <v>1959</v>
      </c>
      <c r="D32" s="9">
        <v>0</v>
      </c>
      <c r="E32" s="43">
        <f>N32-SUM(F32:M32,B32:D32)</f>
        <v>6306</v>
      </c>
      <c r="F32" s="9">
        <v>40</v>
      </c>
      <c r="G32" s="43">
        <v>0</v>
      </c>
      <c r="H32" s="9">
        <v>0</v>
      </c>
      <c r="I32" s="9"/>
      <c r="J32" s="9"/>
      <c r="K32" s="9"/>
      <c r="L32" s="9"/>
      <c r="M32" s="9">
        <v>49554</v>
      </c>
      <c r="N32" s="9">
        <v>58873</v>
      </c>
      <c r="O32" s="16">
        <f>N32/N$39</f>
        <v>0.36790106484027396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3766</v>
      </c>
      <c r="C33" s="9">
        <v>235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4857</v>
      </c>
      <c r="N33" s="9">
        <v>8858</v>
      </c>
      <c r="O33" s="16">
        <f>N33/N$39</f>
        <v>5.5354196870469427E-2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18658</v>
      </c>
      <c r="D34" s="9">
        <v>0</v>
      </c>
      <c r="E34" s="9">
        <v>0</v>
      </c>
      <c r="F34" s="9">
        <v>1566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20224</v>
      </c>
      <c r="O34" s="16">
        <f>N34/N$39</f>
        <v>0.12638104284357346</v>
      </c>
      <c r="P34" s="17" t="s">
        <v>45</v>
      </c>
      <c r="Q34" s="3"/>
      <c r="R34" s="3"/>
      <c r="S34" s="13">
        <f>SUM(S26:S33)</f>
        <v>168.61388000000002</v>
      </c>
      <c r="T34" s="14">
        <f>SUM(T26:T33)</f>
        <v>1</v>
      </c>
    </row>
    <row r="35" spans="1:47">
      <c r="A35" s="5" t="s">
        <v>46</v>
      </c>
      <c r="B35" s="9">
        <v>641</v>
      </c>
      <c r="C35" s="9">
        <v>328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5459</v>
      </c>
      <c r="N35" s="9">
        <v>6428</v>
      </c>
      <c r="O35" s="16">
        <f>N35/N$39</f>
        <v>4.0168974653801932E-2</v>
      </c>
      <c r="P35" s="17" t="s">
        <v>47</v>
      </c>
      <c r="Q35" s="17"/>
    </row>
    <row r="36" spans="1:47">
      <c r="A36" s="5" t="s">
        <v>48</v>
      </c>
      <c r="B36" s="9">
        <v>71</v>
      </c>
      <c r="C36" s="9">
        <v>328</v>
      </c>
      <c r="D36" s="9">
        <v>0</v>
      </c>
      <c r="E36" s="9">
        <v>0</v>
      </c>
      <c r="F36" s="9">
        <v>0</v>
      </c>
      <c r="G36" s="9">
        <v>21808</v>
      </c>
      <c r="H36" s="9">
        <v>0</v>
      </c>
      <c r="I36" s="9"/>
      <c r="J36" s="9"/>
      <c r="K36" s="9"/>
      <c r="L36" s="9"/>
      <c r="M36" s="9">
        <v>19226</v>
      </c>
      <c r="N36" s="9">
        <v>41433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1419</v>
      </c>
      <c r="C37" s="9">
        <v>149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2683</v>
      </c>
      <c r="N37" s="9">
        <v>4251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834</v>
      </c>
      <c r="N38" s="9">
        <v>834</v>
      </c>
      <c r="O38" s="17">
        <f>SUM(O31:O35)</f>
        <v>0.70929985502174675</v>
      </c>
      <c r="P38" s="17"/>
      <c r="Q38" s="3"/>
      <c r="R38" s="7" t="s">
        <v>51</v>
      </c>
      <c r="S38" s="19">
        <f>N45/1000</f>
        <v>8.4698800000000016</v>
      </c>
      <c r="T38" s="7"/>
    </row>
    <row r="39" spans="1:47">
      <c r="A39" s="5" t="s">
        <v>17</v>
      </c>
      <c r="B39" s="9">
        <v>6911</v>
      </c>
      <c r="C39" s="9">
        <v>30319</v>
      </c>
      <c r="D39" s="9">
        <v>0</v>
      </c>
      <c r="E39" s="18">
        <f>SUM(E31:E38)</f>
        <v>6306</v>
      </c>
      <c r="F39" s="9">
        <v>2519</v>
      </c>
      <c r="G39" s="43">
        <f>SUM(G31:G38)</f>
        <v>21808</v>
      </c>
      <c r="H39" s="9">
        <v>0</v>
      </c>
      <c r="I39" s="9"/>
      <c r="J39" s="9"/>
      <c r="K39" s="9"/>
      <c r="L39" s="9"/>
      <c r="M39" s="9">
        <v>92161</v>
      </c>
      <c r="N39" s="9">
        <v>160024</v>
      </c>
      <c r="O39" s="3"/>
      <c r="P39" s="3"/>
      <c r="Q39" s="3"/>
      <c r="R39" s="7" t="s">
        <v>52</v>
      </c>
      <c r="S39" s="20">
        <f>N41/1000</f>
        <v>46.518000000000001</v>
      </c>
      <c r="T39" s="14">
        <f>O41</f>
        <v>0.29069389591561268</v>
      </c>
    </row>
    <row r="40" spans="1:47">
      <c r="R40" s="7" t="s">
        <v>53</v>
      </c>
      <c r="S40" s="20">
        <f>N35/1000</f>
        <v>6.4279999999999999</v>
      </c>
      <c r="T40" s="15">
        <f>O35</f>
        <v>4.0168974653801932E-2</v>
      </c>
    </row>
    <row r="41" spans="1:47">
      <c r="A41" s="21" t="s">
        <v>54</v>
      </c>
      <c r="B41" s="22">
        <f>B38+B37+B36</f>
        <v>1490</v>
      </c>
      <c r="C41" s="22">
        <f t="shared" ref="C41:N41" si="0">C38+C37+C36</f>
        <v>477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21808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22743</v>
      </c>
      <c r="N41" s="22">
        <f t="shared" si="0"/>
        <v>46518</v>
      </c>
      <c r="O41" s="16">
        <f>N41/N$39</f>
        <v>0.29069389591561268</v>
      </c>
      <c r="P41" s="16" t="s">
        <v>55</v>
      </c>
      <c r="Q41" s="7"/>
      <c r="R41" s="7" t="s">
        <v>56</v>
      </c>
      <c r="S41" s="20">
        <f>N33/1000</f>
        <v>8.8580000000000005</v>
      </c>
      <c r="T41" s="14">
        <f>O33</f>
        <v>5.5354196870469427E-2</v>
      </c>
    </row>
    <row r="42" spans="1:47">
      <c r="A42" s="23" t="s">
        <v>57</v>
      </c>
      <c r="B42" s="22"/>
      <c r="C42" s="24">
        <f>C39+C23+C10</f>
        <v>30319</v>
      </c>
      <c r="D42" s="24">
        <f t="shared" ref="D42:L42" si="1">D39+D23+D10</f>
        <v>0</v>
      </c>
      <c r="E42" s="24">
        <f t="shared" si="1"/>
        <v>6306</v>
      </c>
      <c r="F42" s="24">
        <f t="shared" si="1"/>
        <v>2519</v>
      </c>
      <c r="G42" s="24">
        <f t="shared" si="1"/>
        <v>29936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99533.88</v>
      </c>
      <c r="N42" s="25">
        <f>SUM(C42:M42)</f>
        <v>168613.88</v>
      </c>
      <c r="O42" s="7"/>
      <c r="P42" s="7"/>
      <c r="Q42" s="7"/>
      <c r="R42" s="7" t="s">
        <v>37</v>
      </c>
      <c r="S42" s="20">
        <f>N31/1000</f>
        <v>19.122</v>
      </c>
      <c r="T42" s="14">
        <f>O31</f>
        <v>0.11949457581362796</v>
      </c>
    </row>
    <row r="43" spans="1:47">
      <c r="A43" s="23" t="s">
        <v>58</v>
      </c>
      <c r="B43" s="22"/>
      <c r="C43" s="16">
        <f t="shared" ref="C43:M43" si="2">C42/$N42</f>
        <v>0.17981319212866698</v>
      </c>
      <c r="D43" s="16">
        <f t="shared" si="2"/>
        <v>0</v>
      </c>
      <c r="E43" s="16">
        <f t="shared" si="2"/>
        <v>3.7399056352893367E-2</v>
      </c>
      <c r="F43" s="16">
        <f t="shared" si="2"/>
        <v>1.4939458127646431E-2</v>
      </c>
      <c r="G43" s="16">
        <f t="shared" si="2"/>
        <v>0.17754173025376083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0.59030656313703234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58.872999999999998</v>
      </c>
      <c r="T43" s="15">
        <f>O32</f>
        <v>0.36790106484027396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20.224</v>
      </c>
      <c r="T44" s="15">
        <f>O34</f>
        <v>0.12638104284357346</v>
      </c>
    </row>
    <row r="45" spans="1:47">
      <c r="A45" s="6" t="s">
        <v>61</v>
      </c>
      <c r="B45" s="6">
        <f>B23-B39</f>
        <v>1097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7372.88</v>
      </c>
      <c r="N45" s="25">
        <f>B45+M45</f>
        <v>8469.880000000001</v>
      </c>
      <c r="O45" s="7"/>
      <c r="P45" s="7"/>
      <c r="Q45" s="7"/>
      <c r="R45" s="7" t="s">
        <v>62</v>
      </c>
      <c r="S45" s="20">
        <f>SUM(S39:S44)</f>
        <v>160.023</v>
      </c>
      <c r="T45" s="14">
        <f>SUM(T39:T44)</f>
        <v>0.99999375093735943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U70"/>
  <sheetViews>
    <sheetView topLeftCell="A17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79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4037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11367.469309607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15404.469309607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79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v>0</v>
      </c>
      <c r="C17" s="41">
        <v>0</v>
      </c>
      <c r="D17" s="9">
        <v>0</v>
      </c>
      <c r="E17" s="9">
        <v>0</v>
      </c>
      <c r="F17" s="9">
        <v>0</v>
      </c>
      <c r="G17" s="41">
        <v>0</v>
      </c>
      <c r="H17" s="9">
        <v>0</v>
      </c>
      <c r="I17" s="9"/>
      <c r="J17" s="9"/>
      <c r="K17" s="9"/>
      <c r="L17" s="9"/>
      <c r="M17" s="9"/>
      <c r="N17" s="41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14484+4462</f>
        <v>18946</v>
      </c>
      <c r="C18" s="9">
        <v>637</v>
      </c>
      <c r="D18" s="9">
        <v>0</v>
      </c>
      <c r="E18" s="9">
        <v>0</v>
      </c>
      <c r="F18" s="9">
        <v>0</v>
      </c>
      <c r="G18" s="9">
        <v>15855</v>
      </c>
      <c r="H18" s="9">
        <v>0</v>
      </c>
      <c r="I18" s="9"/>
      <c r="J18" s="9"/>
      <c r="K18" s="9"/>
      <c r="L18" s="9"/>
      <c r="M18" s="9"/>
      <c r="N18" s="9">
        <v>16492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SUM(B17:B22)</f>
        <v>18946</v>
      </c>
      <c r="C23" s="41">
        <f>SUM(C17:C22)</f>
        <v>637</v>
      </c>
      <c r="D23" s="9">
        <v>0</v>
      </c>
      <c r="E23" s="9">
        <v>0</v>
      </c>
      <c r="F23" s="9">
        <v>0</v>
      </c>
      <c r="G23" s="41">
        <f>SUM(G17:G22)</f>
        <v>15855</v>
      </c>
      <c r="H23" s="9">
        <v>0</v>
      </c>
      <c r="I23" s="9"/>
      <c r="J23" s="9"/>
      <c r="K23" s="9"/>
      <c r="L23" s="9"/>
      <c r="M23" s="9"/>
      <c r="N23" s="41">
        <f>SUM(N17:N22)</f>
        <v>16492</v>
      </c>
      <c r="O23" s="3"/>
      <c r="P23" s="3"/>
      <c r="Q23" s="3"/>
      <c r="R23" s="3" t="s">
        <v>27</v>
      </c>
      <c r="S23" s="12">
        <f>N42/1000</f>
        <v>177.23788000000002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85.547880000000006</v>
      </c>
      <c r="T26" s="14">
        <f>M43</f>
        <v>0.48267266568523615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31.007999999999999</v>
      </c>
      <c r="T27" s="15">
        <f>G43</f>
        <v>0.17495131401932815</v>
      </c>
    </row>
    <row r="28" spans="1:20">
      <c r="A28" s="4" t="s">
        <v>79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4.3359008264462808</v>
      </c>
      <c r="T29" s="14">
        <f>F43</f>
        <v>2.4463736682284177E-2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0.41309917355371728</v>
      </c>
      <c r="T30" s="14">
        <f>E43</f>
        <v>2.3307611981914773E-3</v>
      </c>
    </row>
    <row r="31" spans="1:20">
      <c r="A31" s="5" t="s">
        <v>36</v>
      </c>
      <c r="B31" s="9">
        <v>0</v>
      </c>
      <c r="C31" s="43">
        <f>1645/(1645+170)*(N31-M31)</f>
        <v>1702.0991735537191</v>
      </c>
      <c r="D31" s="9">
        <v>0</v>
      </c>
      <c r="E31" s="9">
        <v>0</v>
      </c>
      <c r="F31" s="43">
        <f>170/(1645+170)*(N31-M31)</f>
        <v>175.900826446281</v>
      </c>
      <c r="G31" s="9">
        <v>0</v>
      </c>
      <c r="H31" s="9">
        <v>0</v>
      </c>
      <c r="I31" s="9"/>
      <c r="J31" s="9"/>
      <c r="K31" s="9"/>
      <c r="L31" s="9"/>
      <c r="M31" s="9">
        <v>3763</v>
      </c>
      <c r="N31" s="9">
        <v>5641</v>
      </c>
      <c r="O31" s="16">
        <f>N31/N$39</f>
        <v>3.3089119480991795E-2</v>
      </c>
      <c r="P31" s="17" t="s">
        <v>37</v>
      </c>
      <c r="Q31" s="3"/>
      <c r="R31" s="3" t="s">
        <v>38</v>
      </c>
      <c r="S31" s="13">
        <f>C42/1000</f>
        <v>55.933</v>
      </c>
      <c r="T31" s="15">
        <f>C43</f>
        <v>0.31558152241496007</v>
      </c>
    </row>
    <row r="32" spans="1:20">
      <c r="A32" s="5" t="s">
        <v>39</v>
      </c>
      <c r="B32" s="9">
        <v>322</v>
      </c>
      <c r="C32" s="43">
        <f>C39-SUM(C31,C33:C38)</f>
        <v>2152.9008264462827</v>
      </c>
      <c r="D32" s="9">
        <v>0</v>
      </c>
      <c r="E32" s="43">
        <f>N32-SUM(F32:M32,B32:D32)</f>
        <v>413.09917355371726</v>
      </c>
      <c r="F32" s="43">
        <f>10</f>
        <v>10</v>
      </c>
      <c r="G32" s="9">
        <v>0</v>
      </c>
      <c r="H32" s="9">
        <v>0</v>
      </c>
      <c r="I32" s="9"/>
      <c r="J32" s="9"/>
      <c r="K32" s="9"/>
      <c r="L32" s="9"/>
      <c r="M32" s="9">
        <v>10325</v>
      </c>
      <c r="N32" s="9">
        <v>13223</v>
      </c>
      <c r="O32" s="16">
        <f>N32/N$39</f>
        <v>7.7563805512702449E-2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4527</v>
      </c>
      <c r="C33" s="9">
        <v>1159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19939</v>
      </c>
      <c r="N33" s="9">
        <v>25625</v>
      </c>
      <c r="O33" s="16">
        <f>N33/N$39</f>
        <v>0.15031176860493081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49675</v>
      </c>
      <c r="D34" s="9">
        <v>0</v>
      </c>
      <c r="E34" s="9">
        <v>0</v>
      </c>
      <c r="F34" s="9">
        <v>4150</v>
      </c>
      <c r="G34" s="9">
        <v>0</v>
      </c>
      <c r="H34" s="9">
        <v>0</v>
      </c>
      <c r="I34" s="9"/>
      <c r="J34" s="9"/>
      <c r="K34" s="9"/>
      <c r="L34" s="9"/>
      <c r="M34" s="9">
        <v>84</v>
      </c>
      <c r="N34" s="9">
        <v>53909</v>
      </c>
      <c r="O34" s="16">
        <f>N34/N$39</f>
        <v>0.31622076619407669</v>
      </c>
      <c r="P34" s="17" t="s">
        <v>45</v>
      </c>
      <c r="Q34" s="3"/>
      <c r="R34" s="3"/>
      <c r="S34" s="13">
        <f>SUM(S26:S33)</f>
        <v>177.23787999999999</v>
      </c>
      <c r="T34" s="14">
        <f>SUM(T26:T33)</f>
        <v>1</v>
      </c>
    </row>
    <row r="35" spans="1:47">
      <c r="A35" s="5" t="s">
        <v>46</v>
      </c>
      <c r="B35" s="9">
        <v>633</v>
      </c>
      <c r="C35" s="9">
        <v>334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10177</v>
      </c>
      <c r="N35" s="9">
        <v>11145</v>
      </c>
      <c r="O35" s="16">
        <f>N35/N$39</f>
        <v>6.5374620921051854E-2</v>
      </c>
      <c r="P35" s="17" t="s">
        <v>47</v>
      </c>
      <c r="Q35" s="17"/>
    </row>
    <row r="36" spans="1:47">
      <c r="A36" s="5" t="s">
        <v>48</v>
      </c>
      <c r="B36" s="9">
        <v>1030</v>
      </c>
      <c r="C36" s="9">
        <v>273</v>
      </c>
      <c r="D36" s="9">
        <v>0</v>
      </c>
      <c r="E36" s="9">
        <v>0</v>
      </c>
      <c r="F36" s="9">
        <v>0</v>
      </c>
      <c r="G36" s="9">
        <v>15153</v>
      </c>
      <c r="H36" s="9">
        <v>0</v>
      </c>
      <c r="I36" s="9"/>
      <c r="J36" s="9"/>
      <c r="K36" s="9"/>
      <c r="L36" s="9"/>
      <c r="M36" s="9">
        <v>27888</v>
      </c>
      <c r="N36" s="9">
        <v>44343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9557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3216</v>
      </c>
      <c r="N37" s="9">
        <v>12773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3820</v>
      </c>
      <c r="N38" s="9">
        <v>3820</v>
      </c>
      <c r="O38" s="17">
        <f>SUM(O31:O35)</f>
        <v>0.64256008071375359</v>
      </c>
      <c r="P38" s="17"/>
      <c r="Q38" s="3"/>
      <c r="R38" s="7" t="s">
        <v>51</v>
      </c>
      <c r="S38" s="19">
        <f>N45/1000</f>
        <v>9.2138800000000014</v>
      </c>
      <c r="T38" s="7"/>
    </row>
    <row r="39" spans="1:47">
      <c r="A39" s="5" t="s">
        <v>17</v>
      </c>
      <c r="B39" s="9">
        <v>16069</v>
      </c>
      <c r="C39" s="9">
        <v>55296</v>
      </c>
      <c r="D39" s="9">
        <v>0</v>
      </c>
      <c r="E39" s="43">
        <f>SUM(E31:E38)</f>
        <v>413.09917355371726</v>
      </c>
      <c r="F39" s="43">
        <f>SUM(F31:F38)</f>
        <v>4335.9008264462809</v>
      </c>
      <c r="G39" s="9">
        <v>15153</v>
      </c>
      <c r="H39" s="9">
        <v>0</v>
      </c>
      <c r="I39" s="9"/>
      <c r="J39" s="9"/>
      <c r="K39" s="9"/>
      <c r="L39" s="9"/>
      <c r="M39" s="9">
        <v>79211</v>
      </c>
      <c r="N39" s="9">
        <v>170479</v>
      </c>
      <c r="O39" s="3"/>
      <c r="P39" s="3"/>
      <c r="Q39" s="3"/>
      <c r="R39" s="7" t="s">
        <v>52</v>
      </c>
      <c r="S39" s="20">
        <f>N41/1000</f>
        <v>60.936</v>
      </c>
      <c r="T39" s="14">
        <f>O41</f>
        <v>0.35743991928624641</v>
      </c>
    </row>
    <row r="40" spans="1:47">
      <c r="R40" s="7" t="s">
        <v>53</v>
      </c>
      <c r="S40" s="20">
        <f>N35/1000</f>
        <v>11.145</v>
      </c>
      <c r="T40" s="15">
        <f>O35</f>
        <v>6.5374620921051854E-2</v>
      </c>
    </row>
    <row r="41" spans="1:47">
      <c r="A41" s="21" t="s">
        <v>54</v>
      </c>
      <c r="B41" s="22">
        <f>B38+B37+B36</f>
        <v>10587</v>
      </c>
      <c r="C41" s="22">
        <f t="shared" ref="C41:N41" si="0">C38+C37+C36</f>
        <v>273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15153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34924</v>
      </c>
      <c r="N41" s="22">
        <f t="shared" si="0"/>
        <v>60936</v>
      </c>
      <c r="O41" s="16">
        <f>N41/N$39</f>
        <v>0.35743991928624641</v>
      </c>
      <c r="P41" s="16" t="s">
        <v>55</v>
      </c>
      <c r="Q41" s="7"/>
      <c r="R41" s="7" t="s">
        <v>56</v>
      </c>
      <c r="S41" s="20">
        <f>N33/1000</f>
        <v>25.625</v>
      </c>
      <c r="T41" s="14">
        <f>O33</f>
        <v>0.15031176860493081</v>
      </c>
    </row>
    <row r="42" spans="1:47">
      <c r="A42" s="23" t="s">
        <v>57</v>
      </c>
      <c r="B42" s="22"/>
      <c r="C42" s="24">
        <f>C39+C23+C10</f>
        <v>55933</v>
      </c>
      <c r="D42" s="24">
        <f t="shared" ref="D42:L42" si="1">D39+D23+D10</f>
        <v>0</v>
      </c>
      <c r="E42" s="24">
        <f t="shared" si="1"/>
        <v>413.09917355371726</v>
      </c>
      <c r="F42" s="24">
        <f t="shared" si="1"/>
        <v>4335.9008264462809</v>
      </c>
      <c r="G42" s="24">
        <f t="shared" si="1"/>
        <v>31008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85547.88</v>
      </c>
      <c r="N42" s="25">
        <f>SUM(C42:M42)</f>
        <v>177237.88</v>
      </c>
      <c r="O42" s="7"/>
      <c r="P42" s="7"/>
      <c r="Q42" s="7"/>
      <c r="R42" s="7" t="s">
        <v>37</v>
      </c>
      <c r="S42" s="20">
        <f>N31/1000</f>
        <v>5.641</v>
      </c>
      <c r="T42" s="14">
        <f>O31</f>
        <v>3.3089119480991795E-2</v>
      </c>
    </row>
    <row r="43" spans="1:47">
      <c r="A43" s="23" t="s">
        <v>58</v>
      </c>
      <c r="B43" s="22"/>
      <c r="C43" s="16">
        <f t="shared" ref="C43:M43" si="2">C42/$N42</f>
        <v>0.31558152241496007</v>
      </c>
      <c r="D43" s="16">
        <f t="shared" si="2"/>
        <v>0</v>
      </c>
      <c r="E43" s="16">
        <f t="shared" si="2"/>
        <v>2.3307611981914773E-3</v>
      </c>
      <c r="F43" s="16">
        <f t="shared" si="2"/>
        <v>2.4463736682284177E-2</v>
      </c>
      <c r="G43" s="16">
        <f t="shared" si="2"/>
        <v>0.17495131401932815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0.48267266568523615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13.223000000000001</v>
      </c>
      <c r="T43" s="15">
        <f>O32</f>
        <v>7.7563805512702449E-2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53.908999999999999</v>
      </c>
      <c r="T44" s="15">
        <f>O34</f>
        <v>0.31622076619407669</v>
      </c>
    </row>
    <row r="45" spans="1:47">
      <c r="A45" s="6" t="s">
        <v>61</v>
      </c>
      <c r="B45" s="6">
        <f>B23-B39</f>
        <v>2877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6336.88</v>
      </c>
      <c r="N45" s="25">
        <f>B45+M45</f>
        <v>9213.880000000001</v>
      </c>
      <c r="O45" s="7"/>
      <c r="P45" s="7"/>
      <c r="Q45" s="7"/>
      <c r="R45" s="7" t="s">
        <v>62</v>
      </c>
      <c r="S45" s="20">
        <f>SUM(S39:S44)</f>
        <v>170.47900000000001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15.5" style="2" customWidth="1"/>
    <col min="2" max="2" width="12" style="2" customWidth="1"/>
    <col min="3" max="3" width="13.83203125" style="2" customWidth="1"/>
    <col min="4" max="15" width="8.83203125" style="2"/>
    <col min="16" max="16" width="10.6640625" style="2" bestFit="1" customWidth="1"/>
    <col min="17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1059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1059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62106+8907</f>
        <v>71013</v>
      </c>
      <c r="C18" s="9">
        <v>6925</v>
      </c>
      <c r="D18" s="9">
        <v>0</v>
      </c>
      <c r="E18" s="9">
        <v>0</v>
      </c>
      <c r="F18" s="9">
        <v>0</v>
      </c>
      <c r="G18" s="9">
        <v>64751</v>
      </c>
      <c r="H18" s="9">
        <v>0</v>
      </c>
      <c r="I18" s="9"/>
      <c r="J18" s="9"/>
      <c r="K18" s="9"/>
      <c r="L18" s="9"/>
      <c r="M18" s="9"/>
      <c r="N18" s="9">
        <v>71676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71013</v>
      </c>
      <c r="C23" s="9">
        <v>6925</v>
      </c>
      <c r="D23" s="9">
        <v>0</v>
      </c>
      <c r="E23" s="9">
        <v>0</v>
      </c>
      <c r="F23" s="9">
        <v>0</v>
      </c>
      <c r="G23" s="9">
        <v>64751</v>
      </c>
      <c r="H23" s="9">
        <v>0</v>
      </c>
      <c r="I23" s="9"/>
      <c r="J23" s="9"/>
      <c r="K23" s="9"/>
      <c r="L23" s="9"/>
      <c r="M23" s="9"/>
      <c r="N23" s="9">
        <v>71676</v>
      </c>
      <c r="O23" s="3"/>
      <c r="P23" s="3"/>
      <c r="Q23" s="3"/>
      <c r="R23" s="3" t="s">
        <v>27</v>
      </c>
      <c r="S23" s="12">
        <f>N42/1000</f>
        <v>687.26128000000006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351.58428000000004</v>
      </c>
      <c r="T26" s="14">
        <f>M43</f>
        <v>0.51157294937378117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93.757000000000005</v>
      </c>
      <c r="T27" s="15">
        <f>G43</f>
        <v>0.13642118758676466</v>
      </c>
    </row>
    <row r="28" spans="1:20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20.263999999999999</v>
      </c>
      <c r="T29" s="14">
        <f>F43</f>
        <v>2.9485147191763806E-2</v>
      </c>
    </row>
    <row r="30" spans="1:20">
      <c r="B30" s="10"/>
      <c r="C30" s="10"/>
      <c r="D30" s="10"/>
      <c r="E30" s="10"/>
      <c r="F30" s="10"/>
      <c r="G30" s="10"/>
      <c r="H30" s="9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3.6019999999999999</v>
      </c>
      <c r="T30" s="14">
        <f>E43</f>
        <v>5.2410925870871117E-3</v>
      </c>
    </row>
    <row r="31" spans="1:20">
      <c r="A31" s="5" t="s">
        <v>36</v>
      </c>
      <c r="B31" s="9">
        <v>0</v>
      </c>
      <c r="C31" s="9">
        <v>868</v>
      </c>
      <c r="D31" s="9">
        <v>0</v>
      </c>
      <c r="E31" s="9">
        <v>0</v>
      </c>
      <c r="F31" s="9">
        <v>90</v>
      </c>
      <c r="G31" s="9">
        <v>0</v>
      </c>
      <c r="H31" s="9">
        <v>0</v>
      </c>
      <c r="I31" s="9"/>
      <c r="J31" s="9"/>
      <c r="K31" s="9"/>
      <c r="L31" s="9"/>
      <c r="M31" s="9">
        <v>1880</v>
      </c>
      <c r="N31" s="9">
        <v>2838</v>
      </c>
      <c r="O31" s="16">
        <f>N31/N$39</f>
        <v>4.3645557472802264E-3</v>
      </c>
      <c r="P31" s="17" t="s">
        <v>37</v>
      </c>
      <c r="Q31" s="3"/>
      <c r="R31" s="3" t="s">
        <v>38</v>
      </c>
      <c r="S31" s="13">
        <f>C42/1000</f>
        <v>218.054</v>
      </c>
      <c r="T31" s="15">
        <f>C43</f>
        <v>0.31727962326060327</v>
      </c>
    </row>
    <row r="32" spans="1:20">
      <c r="A32" s="5" t="s">
        <v>39</v>
      </c>
      <c r="B32" s="9">
        <v>883</v>
      </c>
      <c r="C32" s="43">
        <v>3430</v>
      </c>
      <c r="D32" s="9">
        <v>0</v>
      </c>
      <c r="E32" s="43">
        <f>N32-SUM(F32:M32,B32:D32)</f>
        <v>3602</v>
      </c>
      <c r="F32" s="9">
        <v>223</v>
      </c>
      <c r="G32" s="43">
        <v>0</v>
      </c>
      <c r="H32" s="43">
        <v>0</v>
      </c>
      <c r="I32" s="18"/>
      <c r="J32" s="18"/>
      <c r="K32" s="18"/>
      <c r="L32" s="9"/>
      <c r="M32" s="9">
        <v>39699</v>
      </c>
      <c r="N32" s="9">
        <v>47837</v>
      </c>
      <c r="O32" s="16">
        <f>N32/N$39</f>
        <v>7.3568447245470125E-2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9560</v>
      </c>
      <c r="C33" s="9">
        <v>959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23561</v>
      </c>
      <c r="N33" s="9">
        <v>34079</v>
      </c>
      <c r="O33" s="16">
        <f>N33/N$39</f>
        <v>5.241004063127655E-2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204024</v>
      </c>
      <c r="D34" s="9">
        <v>0</v>
      </c>
      <c r="E34" s="9">
        <v>0</v>
      </c>
      <c r="F34" s="9">
        <v>19951</v>
      </c>
      <c r="G34" s="9">
        <v>0</v>
      </c>
      <c r="H34" s="9">
        <v>0</v>
      </c>
      <c r="I34" s="9"/>
      <c r="J34" s="9"/>
      <c r="K34" s="9"/>
      <c r="L34" s="9"/>
      <c r="M34" s="9">
        <v>688</v>
      </c>
      <c r="N34" s="9">
        <v>224663</v>
      </c>
      <c r="O34" s="16">
        <f>N34/N$39</f>
        <v>0.34550887521184553</v>
      </c>
      <c r="P34" s="17" t="s">
        <v>45</v>
      </c>
      <c r="Q34" s="3"/>
      <c r="R34" s="3"/>
      <c r="S34" s="13">
        <f>SUM(S26:S33)</f>
        <v>687.26128000000006</v>
      </c>
      <c r="T34" s="14">
        <f>SUM(T26:T33)</f>
        <v>1</v>
      </c>
    </row>
    <row r="35" spans="1:47">
      <c r="A35" s="5" t="s">
        <v>46</v>
      </c>
      <c r="B35" s="9">
        <v>14899</v>
      </c>
      <c r="C35" s="9">
        <v>875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90865</v>
      </c>
      <c r="N35" s="9">
        <v>106638</v>
      </c>
      <c r="O35" s="16">
        <f>N35/N$39</f>
        <v>0.16399841288881917</v>
      </c>
      <c r="P35" s="17" t="s">
        <v>47</v>
      </c>
      <c r="Q35" s="17"/>
    </row>
    <row r="36" spans="1:47">
      <c r="A36" s="5" t="s">
        <v>48</v>
      </c>
      <c r="B36" s="9">
        <v>10369</v>
      </c>
      <c r="C36" s="43">
        <v>754</v>
      </c>
      <c r="D36" s="9">
        <v>0</v>
      </c>
      <c r="E36" s="9">
        <v>0</v>
      </c>
      <c r="F36" s="9">
        <v>0</v>
      </c>
      <c r="G36" s="43">
        <f>N36-SUM(M36,B36:F36)</f>
        <v>29006</v>
      </c>
      <c r="H36" s="9">
        <v>0</v>
      </c>
      <c r="I36" s="9"/>
      <c r="K36" s="9"/>
      <c r="L36" s="9"/>
      <c r="M36" s="9">
        <v>142889</v>
      </c>
      <c r="N36" s="9">
        <v>183018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24985</v>
      </c>
      <c r="C37" s="9">
        <v>219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13353</v>
      </c>
      <c r="N37" s="9">
        <v>38557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12607</v>
      </c>
      <c r="N38" s="9">
        <v>12607</v>
      </c>
      <c r="O38" s="17">
        <f>SUM(O31:O35)</f>
        <v>0.63985033172469152</v>
      </c>
      <c r="P38" s="17"/>
      <c r="Q38" s="3"/>
      <c r="R38" s="7" t="s">
        <v>51</v>
      </c>
      <c r="S38" s="19">
        <f>N45/1000</f>
        <v>36.360279999999996</v>
      </c>
      <c r="T38" s="7"/>
    </row>
    <row r="39" spans="1:47">
      <c r="A39" s="5" t="s">
        <v>17</v>
      </c>
      <c r="B39" s="9">
        <v>60696</v>
      </c>
      <c r="C39" s="9">
        <v>211129</v>
      </c>
      <c r="D39" s="9">
        <v>0</v>
      </c>
      <c r="E39" s="43">
        <f>SUM(E31:E38)</f>
        <v>3602</v>
      </c>
      <c r="F39" s="9">
        <v>20264</v>
      </c>
      <c r="G39" s="43">
        <f>SUM(G31:G38)</f>
        <v>29006</v>
      </c>
      <c r="H39" s="43">
        <v>0</v>
      </c>
      <c r="I39" s="18"/>
      <c r="J39" s="18"/>
      <c r="K39" s="18"/>
      <c r="L39" s="9"/>
      <c r="M39" s="9">
        <v>325541</v>
      </c>
      <c r="N39" s="9">
        <v>650238</v>
      </c>
      <c r="O39" s="3"/>
      <c r="P39" s="3"/>
      <c r="Q39" s="3"/>
      <c r="R39" s="7" t="s">
        <v>52</v>
      </c>
      <c r="S39" s="20">
        <f>N41/1000</f>
        <v>234.18199999999999</v>
      </c>
      <c r="T39" s="14">
        <f>O41</f>
        <v>0.36014813037687737</v>
      </c>
    </row>
    <row r="40" spans="1:47">
      <c r="C40" s="10"/>
      <c r="L40" s="10"/>
      <c r="R40" s="7" t="s">
        <v>53</v>
      </c>
      <c r="S40" s="20">
        <f>N35/1000</f>
        <v>106.63800000000001</v>
      </c>
      <c r="T40" s="15">
        <f>O35</f>
        <v>0.16399841288881917</v>
      </c>
    </row>
    <row r="41" spans="1:47">
      <c r="A41" s="21" t="s">
        <v>54</v>
      </c>
      <c r="B41" s="22">
        <f>B38+B37+B36</f>
        <v>35354</v>
      </c>
      <c r="C41" s="22">
        <f t="shared" ref="C41:N41" si="0">C38+C37+C36</f>
        <v>973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29006</v>
      </c>
      <c r="H41" s="22">
        <f t="shared" si="0"/>
        <v>0</v>
      </c>
      <c r="I41" s="22">
        <f t="shared" si="0"/>
        <v>0</v>
      </c>
      <c r="J41" s="22">
        <f>J38+J37+H30</f>
        <v>0</v>
      </c>
      <c r="K41" s="22">
        <f t="shared" si="0"/>
        <v>0</v>
      </c>
      <c r="L41" s="22">
        <f t="shared" si="0"/>
        <v>0</v>
      </c>
      <c r="M41" s="22">
        <f t="shared" si="0"/>
        <v>168849</v>
      </c>
      <c r="N41" s="22">
        <f t="shared" si="0"/>
        <v>234182</v>
      </c>
      <c r="O41" s="16">
        <f>N41/N$39</f>
        <v>0.36014813037687737</v>
      </c>
      <c r="P41" s="16" t="s">
        <v>55</v>
      </c>
      <c r="Q41" s="7"/>
      <c r="R41" s="7" t="s">
        <v>56</v>
      </c>
      <c r="S41" s="20">
        <f>N33/1000</f>
        <v>34.079000000000001</v>
      </c>
      <c r="T41" s="14">
        <f>O33</f>
        <v>5.241004063127655E-2</v>
      </c>
    </row>
    <row r="42" spans="1:47">
      <c r="A42" s="23" t="s">
        <v>57</v>
      </c>
      <c r="B42" s="22"/>
      <c r="C42" s="24">
        <f>C39+C23+C10</f>
        <v>218054</v>
      </c>
      <c r="D42" s="24">
        <f t="shared" ref="D42:L42" si="1">D39+D23+D10</f>
        <v>0</v>
      </c>
      <c r="E42" s="24">
        <f t="shared" si="1"/>
        <v>3602</v>
      </c>
      <c r="F42" s="24">
        <f t="shared" si="1"/>
        <v>20264</v>
      </c>
      <c r="G42" s="24">
        <f t="shared" si="1"/>
        <v>93757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351584.28</v>
      </c>
      <c r="N42" s="25">
        <f>SUM(C42:M42)</f>
        <v>687261.28</v>
      </c>
      <c r="O42" s="7"/>
      <c r="P42" s="7"/>
      <c r="Q42" s="7"/>
      <c r="R42" s="7" t="s">
        <v>37</v>
      </c>
      <c r="S42" s="20">
        <f>N31/1000</f>
        <v>2.8380000000000001</v>
      </c>
      <c r="T42" s="14">
        <f>O31</f>
        <v>4.3645557472802264E-3</v>
      </c>
    </row>
    <row r="43" spans="1:47">
      <c r="A43" s="23" t="s">
        <v>58</v>
      </c>
      <c r="B43" s="22"/>
      <c r="C43" s="16">
        <f t="shared" ref="C43:M43" si="2">C42/$N42</f>
        <v>0.31727962326060327</v>
      </c>
      <c r="D43" s="16">
        <f t="shared" si="2"/>
        <v>0</v>
      </c>
      <c r="E43" s="16">
        <f t="shared" si="2"/>
        <v>5.2410925870871117E-3</v>
      </c>
      <c r="F43" s="16">
        <f t="shared" si="2"/>
        <v>2.9485147191763806E-2</v>
      </c>
      <c r="G43" s="16">
        <f t="shared" si="2"/>
        <v>0.13642118758676466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0.51157294937378117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47.837000000000003</v>
      </c>
      <c r="T43" s="15">
        <f>O32</f>
        <v>7.3568447245470125E-2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224.66300000000001</v>
      </c>
      <c r="T44" s="15">
        <f>O34</f>
        <v>0.34550887521184553</v>
      </c>
    </row>
    <row r="45" spans="1:47">
      <c r="A45" s="6" t="s">
        <v>61</v>
      </c>
      <c r="B45" s="6">
        <f>B23-B39</f>
        <v>10317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26043.279999999999</v>
      </c>
      <c r="N45" s="25">
        <f>B45+M45</f>
        <v>36360.28</v>
      </c>
      <c r="O45" s="7"/>
      <c r="P45" s="7"/>
      <c r="Q45" s="7"/>
      <c r="R45" s="7" t="s">
        <v>62</v>
      </c>
      <c r="S45" s="20">
        <f>SUM(S39:S44)</f>
        <v>650.23700000000008</v>
      </c>
      <c r="T45" s="14">
        <f>SUM(T39:T44)</f>
        <v>0.99999846210156895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9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80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67117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21169.6663215029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88286.666321502897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3714+4000</f>
        <v>7714</v>
      </c>
      <c r="C18" s="9">
        <v>428</v>
      </c>
      <c r="D18" s="9">
        <v>0</v>
      </c>
      <c r="E18" s="9">
        <v>0</v>
      </c>
      <c r="F18" s="9">
        <v>0</v>
      </c>
      <c r="G18" s="41">
        <f>3718+4000</f>
        <v>7718</v>
      </c>
      <c r="H18" s="9">
        <v>0</v>
      </c>
      <c r="I18" s="9"/>
      <c r="J18" s="9"/>
      <c r="K18" s="9"/>
      <c r="L18" s="9"/>
      <c r="M18" s="9"/>
      <c r="N18" s="41">
        <f>4146+4000</f>
        <v>8146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3714+4000</f>
        <v>7714</v>
      </c>
      <c r="C23" s="9">
        <v>428</v>
      </c>
      <c r="D23" s="9">
        <v>0</v>
      </c>
      <c r="E23" s="9">
        <v>0</v>
      </c>
      <c r="F23" s="9">
        <v>0</v>
      </c>
      <c r="G23" s="41">
        <f>SUM(G17:G22)</f>
        <v>7718</v>
      </c>
      <c r="H23" s="9">
        <v>0</v>
      </c>
      <c r="I23" s="9"/>
      <c r="J23" s="9"/>
      <c r="K23" s="9"/>
      <c r="L23" s="9"/>
      <c r="M23" s="9"/>
      <c r="N23" s="41">
        <f>SUM(N17:N22)</f>
        <v>8146</v>
      </c>
      <c r="O23" s="3"/>
      <c r="P23" s="3"/>
      <c r="Q23" s="3"/>
      <c r="R23" s="3" t="s">
        <v>27</v>
      </c>
      <c r="S23" s="12">
        <f>N42/1000</f>
        <v>293.0394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76.739399999999989</v>
      </c>
      <c r="T26" s="14">
        <f>M43</f>
        <v>0.26187400056101667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97.718000000000004</v>
      </c>
      <c r="T27" s="15">
        <f>G43</f>
        <v>0.33346369123059899</v>
      </c>
    </row>
    <row r="28" spans="1:20">
      <c r="A28" s="4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10.371</v>
      </c>
      <c r="T29" s="14">
        <f>F43</f>
        <v>3.5391145354515464E-2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3988</v>
      </c>
      <c r="D31" s="9">
        <v>0</v>
      </c>
      <c r="E31" s="9">
        <v>0</v>
      </c>
      <c r="F31" s="43">
        <v>389.47588894300998</v>
      </c>
      <c r="G31" s="9">
        <v>0</v>
      </c>
      <c r="H31" s="9">
        <v>0</v>
      </c>
      <c r="I31" s="9"/>
      <c r="J31" s="9"/>
      <c r="K31" s="9"/>
      <c r="L31" s="9"/>
      <c r="M31" s="9">
        <v>6263</v>
      </c>
      <c r="N31" s="43">
        <f>SUM(B31:M31)</f>
        <v>10640.47588894301</v>
      </c>
      <c r="O31" s="16">
        <f>N31/N$39</f>
        <v>3.7195227369929182E-2</v>
      </c>
      <c r="P31" s="17" t="s">
        <v>37</v>
      </c>
      <c r="Q31" s="3"/>
      <c r="R31" s="3" t="s">
        <v>38</v>
      </c>
      <c r="S31" s="13">
        <f>C42/1000</f>
        <v>108.211</v>
      </c>
      <c r="T31" s="15">
        <f>C43</f>
        <v>0.3692711628538688</v>
      </c>
    </row>
    <row r="32" spans="1:20">
      <c r="A32" s="5" t="s">
        <v>39</v>
      </c>
      <c r="B32" s="97">
        <v>3241</v>
      </c>
      <c r="C32" s="9">
        <v>3147</v>
      </c>
      <c r="D32" s="9">
        <v>0</v>
      </c>
      <c r="E32" s="9">
        <v>0</v>
      </c>
      <c r="F32" s="43">
        <f>F39-SUM(F31,F33:F38)</f>
        <v>32.524111056989568</v>
      </c>
      <c r="G32" s="43">
        <f>G39-G36</f>
        <v>67123</v>
      </c>
      <c r="H32" s="9">
        <v>0</v>
      </c>
      <c r="I32" s="9"/>
      <c r="J32" s="9"/>
      <c r="K32" s="9"/>
      <c r="L32" s="9"/>
      <c r="M32" s="9">
        <v>25421</v>
      </c>
      <c r="N32" s="43">
        <f>SUM(B32:M32)</f>
        <v>98964.524111056991</v>
      </c>
      <c r="O32" s="16">
        <f>N32/N$39</f>
        <v>0.34594392340033414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20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3881</v>
      </c>
      <c r="N33" s="9">
        <v>3901</v>
      </c>
      <c r="O33" s="16">
        <f>N33/N$39</f>
        <v>1.3636474861135872E-2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99199</v>
      </c>
      <c r="D34" s="9">
        <v>0</v>
      </c>
      <c r="E34" s="9">
        <v>0</v>
      </c>
      <c r="F34" s="9">
        <v>9949</v>
      </c>
      <c r="G34" s="9">
        <v>0</v>
      </c>
      <c r="H34" s="9">
        <v>0</v>
      </c>
      <c r="I34" s="9"/>
      <c r="J34" s="9"/>
      <c r="K34" s="9"/>
      <c r="L34" s="9"/>
      <c r="M34" s="9">
        <v>11</v>
      </c>
      <c r="N34" s="9">
        <v>109159</v>
      </c>
      <c r="O34" s="16">
        <f>N34/N$39</f>
        <v>0.38158009724858516</v>
      </c>
      <c r="P34" s="17" t="s">
        <v>45</v>
      </c>
      <c r="Q34" s="3"/>
      <c r="R34" s="3"/>
      <c r="S34" s="13">
        <f>SUM(S26:S33)</f>
        <v>293.0394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1072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10096</v>
      </c>
      <c r="N35" s="9">
        <v>11168</v>
      </c>
      <c r="O35" s="16">
        <f>N35/N$39</f>
        <v>3.9039259484533559E-2</v>
      </c>
      <c r="P35" s="17" t="s">
        <v>47</v>
      </c>
      <c r="Q35" s="17"/>
    </row>
    <row r="36" spans="1:47">
      <c r="A36" s="5" t="s">
        <v>48</v>
      </c>
      <c r="B36" s="9">
        <v>0</v>
      </c>
      <c r="C36" s="9">
        <v>299</v>
      </c>
      <c r="D36" s="9">
        <v>0</v>
      </c>
      <c r="E36" s="9">
        <v>0</v>
      </c>
      <c r="F36" s="9">
        <v>0</v>
      </c>
      <c r="G36" s="9">
        <v>22877</v>
      </c>
      <c r="H36" s="9">
        <v>0</v>
      </c>
      <c r="I36" s="9"/>
      <c r="J36" s="9"/>
      <c r="K36" s="9"/>
      <c r="L36" s="9"/>
      <c r="M36" s="9">
        <v>21634</v>
      </c>
      <c r="N36" s="9">
        <v>44810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3619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1634</v>
      </c>
      <c r="N37" s="9">
        <v>5313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2115</v>
      </c>
      <c r="N38" s="9">
        <v>2115</v>
      </c>
      <c r="O38" s="17">
        <f>SUM(O31:O35)</f>
        <v>0.81739498236451802</v>
      </c>
      <c r="P38" s="17"/>
      <c r="Q38" s="3"/>
      <c r="R38" s="7" t="s">
        <v>51</v>
      </c>
      <c r="S38" s="19">
        <f>N45/1000</f>
        <v>6.5384000000000002</v>
      </c>
      <c r="T38" s="7"/>
    </row>
    <row r="39" spans="1:47">
      <c r="A39" s="5" t="s">
        <v>17</v>
      </c>
      <c r="B39" s="82">
        <f>SUM(B31:B38)</f>
        <v>6860</v>
      </c>
      <c r="C39" s="9">
        <v>107783</v>
      </c>
      <c r="D39" s="9">
        <v>0</v>
      </c>
      <c r="E39" s="9">
        <v>0</v>
      </c>
      <c r="F39" s="9">
        <v>10371</v>
      </c>
      <c r="G39" s="18">
        <v>90000</v>
      </c>
      <c r="H39" s="9">
        <v>0</v>
      </c>
      <c r="I39" s="9"/>
      <c r="J39" s="9"/>
      <c r="K39" s="9"/>
      <c r="L39" s="9"/>
      <c r="M39" s="9">
        <v>71055</v>
      </c>
      <c r="N39" s="43">
        <f>SUM(N31:N38)</f>
        <v>286071</v>
      </c>
      <c r="O39" s="3"/>
      <c r="P39" s="3"/>
      <c r="Q39" s="3"/>
      <c r="R39" s="7" t="s">
        <v>52</v>
      </c>
      <c r="S39" s="20">
        <f>N41/1000</f>
        <v>52.238</v>
      </c>
      <c r="T39" s="14">
        <f>O41</f>
        <v>0.18260501763548209</v>
      </c>
    </row>
    <row r="40" spans="1:47">
      <c r="K40" s="96"/>
      <c r="R40" s="7" t="s">
        <v>53</v>
      </c>
      <c r="S40" s="20">
        <f>N35/1000</f>
        <v>11.167999999999999</v>
      </c>
      <c r="T40" s="15">
        <f>O35</f>
        <v>3.9039259484533559E-2</v>
      </c>
    </row>
    <row r="41" spans="1:47">
      <c r="A41" s="21" t="s">
        <v>54</v>
      </c>
      <c r="B41" s="22">
        <f>B38+B37+B36</f>
        <v>3619</v>
      </c>
      <c r="C41" s="22">
        <f t="shared" ref="C41:N41" si="0">C38+C37+C36</f>
        <v>359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22877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25383</v>
      </c>
      <c r="N41" s="22">
        <f t="shared" si="0"/>
        <v>52238</v>
      </c>
      <c r="O41" s="16">
        <f>N41/N$39</f>
        <v>0.18260501763548209</v>
      </c>
      <c r="P41" s="16" t="s">
        <v>55</v>
      </c>
      <c r="Q41" s="7"/>
      <c r="R41" s="7" t="s">
        <v>56</v>
      </c>
      <c r="S41" s="20">
        <f>N33/1000</f>
        <v>3.9009999999999998</v>
      </c>
      <c r="T41" s="14">
        <f>O33</f>
        <v>1.3636474861135872E-2</v>
      </c>
    </row>
    <row r="42" spans="1:47">
      <c r="A42" s="23" t="s">
        <v>57</v>
      </c>
      <c r="B42" s="22"/>
      <c r="C42" s="24">
        <f>C39+C23+C10</f>
        <v>108211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10371</v>
      </c>
      <c r="G42" s="24">
        <f t="shared" si="1"/>
        <v>97718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76739.399999999994</v>
      </c>
      <c r="N42" s="25">
        <f>SUM(C42:M42)</f>
        <v>293039.40000000002</v>
      </c>
      <c r="O42" s="7"/>
      <c r="P42" s="7"/>
      <c r="Q42" s="7"/>
      <c r="R42" s="7" t="s">
        <v>37</v>
      </c>
      <c r="S42" s="20">
        <f>N31/1000</f>
        <v>10.64047588894301</v>
      </c>
      <c r="T42" s="14">
        <f>O31</f>
        <v>3.7195227369929182E-2</v>
      </c>
    </row>
    <row r="43" spans="1:47">
      <c r="A43" s="23" t="s">
        <v>58</v>
      </c>
      <c r="B43" s="22"/>
      <c r="C43" s="16">
        <f t="shared" ref="C43:M43" si="2">C42/$N42</f>
        <v>0.3692711628538688</v>
      </c>
      <c r="D43" s="16">
        <f t="shared" si="2"/>
        <v>0</v>
      </c>
      <c r="E43" s="16">
        <f t="shared" si="2"/>
        <v>0</v>
      </c>
      <c r="F43" s="16">
        <f t="shared" si="2"/>
        <v>3.5391145354515464E-2</v>
      </c>
      <c r="G43" s="16">
        <f t="shared" si="2"/>
        <v>0.33346369123059899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0.26187400056101667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98.964524111056988</v>
      </c>
      <c r="T43" s="15">
        <f>O32</f>
        <v>0.34594392340033414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109.15900000000001</v>
      </c>
      <c r="T44" s="15">
        <f>O34</f>
        <v>0.38158009724858516</v>
      </c>
    </row>
    <row r="45" spans="1:47">
      <c r="A45" s="6" t="s">
        <v>61</v>
      </c>
      <c r="B45" s="6">
        <f>B23-B39</f>
        <v>854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5684.4000000000005</v>
      </c>
      <c r="N45" s="25">
        <f>B45+M45</f>
        <v>6538.4000000000005</v>
      </c>
      <c r="O45" s="7"/>
      <c r="P45" s="7"/>
      <c r="Q45" s="7"/>
      <c r="R45" s="7" t="s">
        <v>62</v>
      </c>
      <c r="S45" s="20">
        <f>SUM(S39:S44)</f>
        <v>286.07100000000003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8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8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2" ht="18">
      <c r="A1" s="1" t="s">
        <v>0</v>
      </c>
      <c r="O1" s="3"/>
      <c r="P1" s="3"/>
      <c r="Q1" s="3"/>
      <c r="R1" s="3"/>
      <c r="S1" s="3"/>
      <c r="T1" s="3"/>
    </row>
    <row r="2" spans="1:22">
      <c r="A2" s="4" t="s">
        <v>81</v>
      </c>
      <c r="O2" s="3"/>
      <c r="P2" s="3"/>
      <c r="Q2" s="3"/>
      <c r="R2" s="3"/>
      <c r="S2" s="3"/>
      <c r="T2" s="3"/>
    </row>
    <row r="3" spans="1:22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2">
      <c r="O4" s="3"/>
      <c r="P4" s="3"/>
      <c r="Q4" s="3"/>
      <c r="R4" s="3"/>
      <c r="S4" s="3"/>
      <c r="T4" s="3"/>
    </row>
    <row r="5" spans="1:22">
      <c r="A5" s="5"/>
      <c r="O5" s="3"/>
      <c r="P5" s="3"/>
      <c r="Q5" s="3"/>
      <c r="R5" s="3"/>
      <c r="S5" s="3"/>
      <c r="T5" s="3"/>
    </row>
    <row r="6" spans="1:22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2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2">
      <c r="A8" s="8" t="s">
        <v>15</v>
      </c>
      <c r="B8" s="9">
        <v>746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2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2">
      <c r="A10" s="8" t="s">
        <v>17</v>
      </c>
      <c r="B10" s="9">
        <v>746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2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2">
      <c r="A14" s="4" t="s">
        <v>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2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  <c r="U15" s="131"/>
      <c r="V15" s="131"/>
    </row>
    <row r="16" spans="1:2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  <c r="U16" s="131"/>
      <c r="V16" s="131"/>
    </row>
    <row r="17" spans="1:22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  <c r="U17" s="131"/>
      <c r="V17" s="131"/>
    </row>
    <row r="18" spans="1:22">
      <c r="A18" s="8" t="s">
        <v>22</v>
      </c>
      <c r="B18" s="41">
        <v>33343</v>
      </c>
      <c r="C18" s="9">
        <v>181</v>
      </c>
      <c r="D18" s="9">
        <v>0</v>
      </c>
      <c r="E18" s="9">
        <v>0</v>
      </c>
      <c r="F18" s="9">
        <v>0</v>
      </c>
      <c r="G18" s="9">
        <v>43875</v>
      </c>
      <c r="H18" s="9">
        <v>0</v>
      </c>
      <c r="I18" s="9"/>
      <c r="J18" s="9"/>
      <c r="K18" s="9"/>
      <c r="L18" s="9"/>
      <c r="M18" s="9"/>
      <c r="N18" s="9">
        <v>44056</v>
      </c>
      <c r="O18" s="3"/>
      <c r="P18" s="3"/>
      <c r="Q18" s="3"/>
      <c r="R18" s="3"/>
      <c r="S18" s="3"/>
      <c r="T18" s="3"/>
      <c r="U18" s="131"/>
      <c r="V18" s="131"/>
    </row>
    <row r="19" spans="1:22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  <c r="U19" s="131"/>
      <c r="V19" s="131"/>
    </row>
    <row r="20" spans="1:22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  <c r="U20" s="130"/>
      <c r="V20" s="131"/>
    </row>
    <row r="21" spans="1:22">
      <c r="A21" s="8" t="s">
        <v>25</v>
      </c>
      <c r="B21" s="95">
        <v>13157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2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2">
      <c r="A23" s="8" t="s">
        <v>17</v>
      </c>
      <c r="B23" s="41">
        <v>46700</v>
      </c>
      <c r="C23" s="9">
        <v>181</v>
      </c>
      <c r="D23" s="9">
        <v>0</v>
      </c>
      <c r="E23" s="9">
        <v>0</v>
      </c>
      <c r="F23" s="9">
        <v>0</v>
      </c>
      <c r="G23" s="9">
        <v>43875</v>
      </c>
      <c r="H23" s="9">
        <v>0</v>
      </c>
      <c r="I23" s="9"/>
      <c r="J23" s="9"/>
      <c r="K23" s="9"/>
      <c r="L23" s="9"/>
      <c r="M23" s="9"/>
      <c r="N23" s="9">
        <v>44056</v>
      </c>
      <c r="O23" s="3"/>
      <c r="P23" s="3"/>
      <c r="Q23" s="3"/>
      <c r="R23" s="3" t="s">
        <v>27</v>
      </c>
      <c r="S23" s="12">
        <f>N42/1000</f>
        <v>667.54892000000007</v>
      </c>
      <c r="T23" s="3"/>
    </row>
    <row r="24" spans="1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240.40692000000001</v>
      </c>
      <c r="T26" s="14">
        <f>M43</f>
        <v>0.36013378615008468</v>
      </c>
    </row>
    <row r="27" spans="1:22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81.272000000000006</v>
      </c>
      <c r="T27" s="15">
        <f>G43</f>
        <v>0.12174688261049092</v>
      </c>
    </row>
    <row r="28" spans="1:22">
      <c r="A28" s="4" t="s">
        <v>81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2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8.4629999999999992</v>
      </c>
      <c r="T29" s="14">
        <f>F43</f>
        <v>1.2677722555524469E-2</v>
      </c>
    </row>
    <row r="30" spans="1:2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240</v>
      </c>
      <c r="T30" s="14">
        <f>E43</f>
        <v>0.35952421284720226</v>
      </c>
    </row>
    <row r="31" spans="1:22">
      <c r="A31" s="5" t="s">
        <v>36</v>
      </c>
      <c r="B31" s="9">
        <v>0</v>
      </c>
      <c r="C31" s="9">
        <v>6443</v>
      </c>
      <c r="D31" s="9">
        <v>0</v>
      </c>
      <c r="E31" s="9">
        <v>0</v>
      </c>
      <c r="F31" s="9">
        <v>689</v>
      </c>
      <c r="G31" s="9">
        <v>0</v>
      </c>
      <c r="H31" s="9">
        <v>0</v>
      </c>
      <c r="I31" s="9"/>
      <c r="J31" s="9"/>
      <c r="K31" s="9"/>
      <c r="L31" s="9"/>
      <c r="M31" s="9">
        <v>9162</v>
      </c>
      <c r="N31" s="9">
        <v>16294</v>
      </c>
      <c r="O31" s="16">
        <f>N31/N$39</f>
        <v>2.5299643329994518E-2</v>
      </c>
      <c r="P31" s="17" t="s">
        <v>37</v>
      </c>
      <c r="Q31" s="3"/>
      <c r="R31" s="3" t="s">
        <v>38</v>
      </c>
      <c r="S31" s="13">
        <f>C42/1000</f>
        <v>97.406999999999996</v>
      </c>
      <c r="T31" s="15">
        <f>C43</f>
        <v>0.14591739583669763</v>
      </c>
    </row>
    <row r="32" spans="1:22">
      <c r="A32" s="5" t="s">
        <v>39</v>
      </c>
      <c r="B32" s="41">
        <v>11758.9</v>
      </c>
      <c r="C32" s="9">
        <v>9862</v>
      </c>
      <c r="D32" s="43">
        <v>0</v>
      </c>
      <c r="E32" s="43">
        <v>240000</v>
      </c>
      <c r="F32" s="9">
        <v>877</v>
      </c>
      <c r="G32" s="9">
        <v>2592</v>
      </c>
      <c r="H32" s="9">
        <v>0</v>
      </c>
      <c r="I32" s="9"/>
      <c r="K32" s="9"/>
      <c r="L32" s="9"/>
      <c r="M32" s="43">
        <f>N32-SUM(B32:L32)</f>
        <v>140717</v>
      </c>
      <c r="N32" s="41">
        <f>413528-19480+B32</f>
        <v>405806.9</v>
      </c>
      <c r="O32" s="16">
        <f>N32/N$39</f>
        <v>0.63009511665955276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v>7501.5</v>
      </c>
      <c r="C33" s="9">
        <v>1106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11835</v>
      </c>
      <c r="N33" s="41">
        <f>14141-1200+B33</f>
        <v>20442.5</v>
      </c>
      <c r="O33" s="16">
        <f>N33/N$39</f>
        <v>3.1741006430183683E-2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78402</v>
      </c>
      <c r="D34" s="9">
        <v>0</v>
      </c>
      <c r="E34" s="9">
        <v>0</v>
      </c>
      <c r="F34" s="9">
        <v>6896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85298</v>
      </c>
      <c r="O34" s="16">
        <f>N34/N$39</f>
        <v>0.13244194039289753</v>
      </c>
      <c r="P34" s="17" t="s">
        <v>45</v>
      </c>
      <c r="Q34" s="3"/>
      <c r="R34" s="3"/>
      <c r="S34" s="13">
        <f>SUM(S26:S33)</f>
        <v>667.54892000000007</v>
      </c>
      <c r="T34" s="14">
        <f>SUM(T26:T33)</f>
        <v>0.99999999999999989</v>
      </c>
    </row>
    <row r="35" spans="1:47">
      <c r="A35" s="5" t="s">
        <v>46</v>
      </c>
      <c r="B35" s="41">
        <v>1187.4000000000001</v>
      </c>
      <c r="C35" s="9">
        <v>179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12779</v>
      </c>
      <c r="N35" s="41">
        <f>12958+B35</f>
        <v>14145.4</v>
      </c>
      <c r="O35" s="16">
        <f>N35/N$39</f>
        <v>2.196351876519605E-2</v>
      </c>
      <c r="P35" s="17" t="s">
        <v>47</v>
      </c>
      <c r="Q35" s="17"/>
    </row>
    <row r="36" spans="1:47">
      <c r="A36" s="5" t="s">
        <v>48</v>
      </c>
      <c r="B36" s="41">
        <v>10019.700000000001</v>
      </c>
      <c r="C36" s="9">
        <v>418</v>
      </c>
      <c r="D36" s="9">
        <v>0</v>
      </c>
      <c r="E36" s="9">
        <v>0</v>
      </c>
      <c r="F36" s="9">
        <v>0</v>
      </c>
      <c r="G36" s="9">
        <v>34805</v>
      </c>
      <c r="H36" s="9">
        <v>0</v>
      </c>
      <c r="I36" s="9"/>
      <c r="J36" s="9"/>
      <c r="K36" s="9"/>
      <c r="L36" s="9"/>
      <c r="M36" s="9">
        <v>41834</v>
      </c>
      <c r="N36" s="41">
        <f>80727-3670+B36</f>
        <v>87076.7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v>7888.2</v>
      </c>
      <c r="C37" s="9">
        <v>816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3295</v>
      </c>
      <c r="N37" s="41">
        <f>4111+B37</f>
        <v>11999.2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2977</v>
      </c>
      <c r="N38" s="9">
        <v>2977</v>
      </c>
      <c r="O38" s="17">
        <f>SUM(O31:O35)</f>
        <v>0.84154122557782474</v>
      </c>
      <c r="P38" s="17"/>
      <c r="Q38" s="3"/>
      <c r="R38" s="7" t="s">
        <v>51</v>
      </c>
      <c r="S38" s="19">
        <f>N45/1000</f>
        <v>26.152219999999996</v>
      </c>
      <c r="T38" s="7"/>
    </row>
    <row r="39" spans="1:47">
      <c r="A39" s="5" t="s">
        <v>17</v>
      </c>
      <c r="B39" s="41">
        <f>SUM(B31:B38)</f>
        <v>38355.700000000004</v>
      </c>
      <c r="C39" s="9">
        <v>97226</v>
      </c>
      <c r="D39" s="18">
        <f>SUM(D31:D38)</f>
        <v>0</v>
      </c>
      <c r="E39" s="43">
        <f>SUM(E31:E38)</f>
        <v>240000</v>
      </c>
      <c r="F39" s="9">
        <v>8463</v>
      </c>
      <c r="G39" s="9">
        <v>37397</v>
      </c>
      <c r="H39" s="9">
        <v>0</v>
      </c>
      <c r="I39" s="9"/>
      <c r="J39" s="9"/>
      <c r="K39" s="9"/>
      <c r="L39" s="9"/>
      <c r="M39" s="43">
        <f>SUM(M31:M38)</f>
        <v>222599</v>
      </c>
      <c r="N39" s="41">
        <f>630035-24350+B39</f>
        <v>644040.69999999995</v>
      </c>
      <c r="O39" s="3"/>
      <c r="P39" s="3"/>
      <c r="Q39" s="3"/>
      <c r="R39" s="7" t="s">
        <v>52</v>
      </c>
      <c r="S39" s="20">
        <f>N41/1000</f>
        <v>102.05289999999999</v>
      </c>
      <c r="T39" s="14">
        <f>O41</f>
        <v>0.15845722172527296</v>
      </c>
    </row>
    <row r="40" spans="1:47">
      <c r="R40" s="7" t="s">
        <v>53</v>
      </c>
      <c r="S40" s="20">
        <f>N35/1000</f>
        <v>14.1454</v>
      </c>
      <c r="T40" s="15">
        <f>O35</f>
        <v>2.196351876519605E-2</v>
      </c>
    </row>
    <row r="41" spans="1:47">
      <c r="A41" s="21" t="s">
        <v>54</v>
      </c>
      <c r="B41" s="22">
        <f>B38+B37+B36</f>
        <v>17907.900000000001</v>
      </c>
      <c r="C41" s="22">
        <f t="shared" ref="C41:N41" si="0">C38+C37+C36</f>
        <v>1234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34805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48106</v>
      </c>
      <c r="N41" s="22">
        <f t="shared" si="0"/>
        <v>102052.9</v>
      </c>
      <c r="O41" s="16">
        <f>N41/N$39</f>
        <v>0.15845722172527296</v>
      </c>
      <c r="P41" s="16" t="s">
        <v>55</v>
      </c>
      <c r="Q41" s="7"/>
      <c r="R41" s="7" t="s">
        <v>56</v>
      </c>
      <c r="S41" s="20">
        <f>N33/1000</f>
        <v>20.442499999999999</v>
      </c>
      <c r="T41" s="14">
        <f>O33</f>
        <v>3.1741006430183683E-2</v>
      </c>
    </row>
    <row r="42" spans="1:47">
      <c r="A42" s="23" t="s">
        <v>57</v>
      </c>
      <c r="B42" s="22"/>
      <c r="C42" s="24">
        <f>C39+C23+C10</f>
        <v>97407</v>
      </c>
      <c r="D42" s="24">
        <f t="shared" ref="D42:L42" si="1">D39+D23+D10</f>
        <v>0</v>
      </c>
      <c r="E42" s="24">
        <f t="shared" si="1"/>
        <v>240000</v>
      </c>
      <c r="F42" s="24">
        <f t="shared" si="1"/>
        <v>8463</v>
      </c>
      <c r="G42" s="24">
        <f t="shared" si="1"/>
        <v>81272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240406.92</v>
      </c>
      <c r="N42" s="25">
        <f>SUM(C42:M42)</f>
        <v>667548.92000000004</v>
      </c>
      <c r="O42" s="7"/>
      <c r="P42" s="7"/>
      <c r="Q42" s="7"/>
      <c r="R42" s="7" t="s">
        <v>37</v>
      </c>
      <c r="S42" s="20">
        <f>N31/1000</f>
        <v>16.294</v>
      </c>
      <c r="T42" s="14">
        <f>O31</f>
        <v>2.5299643329994518E-2</v>
      </c>
    </row>
    <row r="43" spans="1:47">
      <c r="A43" s="23" t="s">
        <v>58</v>
      </c>
      <c r="B43" s="22"/>
      <c r="C43" s="16">
        <f t="shared" ref="C43:M43" si="2">C42/$N42</f>
        <v>0.14591739583669763</v>
      </c>
      <c r="D43" s="16">
        <f t="shared" si="2"/>
        <v>0</v>
      </c>
      <c r="E43" s="16">
        <f t="shared" si="2"/>
        <v>0.35952421284720226</v>
      </c>
      <c r="F43" s="16">
        <f t="shared" si="2"/>
        <v>1.2677722555524469E-2</v>
      </c>
      <c r="G43" s="16">
        <f t="shared" si="2"/>
        <v>0.12174688261049092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0.36013378615008468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405.80690000000004</v>
      </c>
      <c r="T43" s="15">
        <f>O32</f>
        <v>0.63009511665955276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85.298000000000002</v>
      </c>
      <c r="T44" s="15">
        <f>O34</f>
        <v>0.13244194039289753</v>
      </c>
    </row>
    <row r="45" spans="1:47">
      <c r="A45" s="6" t="s">
        <v>61</v>
      </c>
      <c r="B45" s="6">
        <f>B23-B39</f>
        <v>8344.2999999999956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17807.920000000002</v>
      </c>
      <c r="N45" s="25">
        <f>B45+M45</f>
        <v>26152.219999999998</v>
      </c>
      <c r="O45" s="7"/>
      <c r="P45" s="7"/>
      <c r="Q45" s="7"/>
      <c r="R45" s="7" t="s">
        <v>62</v>
      </c>
      <c r="S45" s="20">
        <f>SUM(S39:S44)</f>
        <v>644.03970000000004</v>
      </c>
      <c r="T45" s="14">
        <f>SUM(T39:T44)</f>
        <v>0.99999844730309762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E47" s="27"/>
      <c r="F47" s="27"/>
      <c r="G47" s="27"/>
      <c r="H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9"/>
      <c r="E48" s="28"/>
      <c r="F48" s="28"/>
      <c r="G48" s="27"/>
      <c r="H48" s="27"/>
      <c r="J48" s="27"/>
      <c r="K48" s="27"/>
      <c r="L48" s="27"/>
      <c r="M48" s="27"/>
      <c r="N48" s="28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7"/>
      <c r="I55" s="27"/>
      <c r="J55" s="27"/>
      <c r="K55" s="27"/>
      <c r="L55" s="27"/>
      <c r="M55" s="27"/>
      <c r="N55" s="28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7"/>
      <c r="I56" s="27"/>
      <c r="J56" s="27"/>
      <c r="K56" s="27"/>
      <c r="L56" s="27"/>
      <c r="M56" s="27"/>
      <c r="N56" s="28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101" customWidth="1"/>
    <col min="2" max="2" width="12" style="101" customWidth="1"/>
    <col min="3" max="3" width="13.83203125" style="101" customWidth="1"/>
    <col min="4" max="16384" width="8.83203125" style="101"/>
  </cols>
  <sheetData>
    <row r="1" spans="1:20" ht="18">
      <c r="A1" s="100" t="s">
        <v>0</v>
      </c>
      <c r="O1" s="102"/>
      <c r="P1" s="102"/>
      <c r="Q1" s="102"/>
      <c r="R1" s="102"/>
      <c r="S1" s="102"/>
      <c r="T1" s="102"/>
    </row>
    <row r="2" spans="1:20">
      <c r="A2" s="4" t="s">
        <v>82</v>
      </c>
      <c r="O2" s="102"/>
      <c r="P2" s="102"/>
      <c r="Q2" s="102"/>
      <c r="R2" s="102"/>
      <c r="S2" s="102"/>
      <c r="T2" s="102"/>
    </row>
    <row r="3" spans="1:20">
      <c r="A3" s="103">
        <v>2013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6</v>
      </c>
      <c r="G3" s="104" t="s">
        <v>33</v>
      </c>
      <c r="H3" s="104" t="s">
        <v>7</v>
      </c>
      <c r="I3" s="104" t="s">
        <v>6</v>
      </c>
      <c r="J3" s="104" t="s">
        <v>8</v>
      </c>
      <c r="K3" s="104" t="s">
        <v>9</v>
      </c>
      <c r="L3" s="104" t="s">
        <v>10</v>
      </c>
      <c r="M3" s="104" t="s">
        <v>11</v>
      </c>
      <c r="N3" s="105" t="s">
        <v>12</v>
      </c>
      <c r="O3" s="102"/>
      <c r="P3" s="102"/>
      <c r="Q3" s="102"/>
      <c r="R3" s="102"/>
      <c r="S3" s="102"/>
      <c r="T3" s="102"/>
    </row>
    <row r="4" spans="1:20">
      <c r="O4" s="102"/>
      <c r="P4" s="102"/>
      <c r="Q4" s="102"/>
      <c r="R4" s="102"/>
      <c r="S4" s="102"/>
      <c r="T4" s="102"/>
    </row>
    <row r="5" spans="1:20">
      <c r="A5" s="103"/>
      <c r="O5" s="102"/>
      <c r="P5" s="102"/>
      <c r="Q5" s="102"/>
      <c r="R5" s="102"/>
      <c r="S5" s="102"/>
      <c r="T5" s="102"/>
    </row>
    <row r="6" spans="1:20">
      <c r="A6" s="103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102"/>
      <c r="P6" s="102"/>
      <c r="Q6" s="102"/>
      <c r="R6" s="102"/>
      <c r="S6" s="102"/>
      <c r="T6" s="102"/>
    </row>
    <row r="7" spans="1:20">
      <c r="A7" s="103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102"/>
      <c r="P7" s="102"/>
      <c r="Q7" s="102"/>
      <c r="R7" s="102"/>
      <c r="S7" s="102"/>
      <c r="T7" s="102"/>
    </row>
    <row r="8" spans="1:20">
      <c r="A8" s="103" t="s">
        <v>15</v>
      </c>
      <c r="B8" s="9">
        <v>59723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102"/>
      <c r="P8" s="102"/>
      <c r="Q8" s="102"/>
      <c r="R8" s="102"/>
      <c r="S8" s="102"/>
      <c r="T8" s="102"/>
    </row>
    <row r="9" spans="1:20">
      <c r="A9" s="103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102"/>
      <c r="P9" s="102"/>
      <c r="Q9" s="102"/>
      <c r="R9" s="102"/>
      <c r="S9" s="102"/>
      <c r="T9" s="102"/>
    </row>
    <row r="10" spans="1:20">
      <c r="A10" s="103" t="s">
        <v>17</v>
      </c>
      <c r="B10" s="9">
        <v>59723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102"/>
      <c r="P10" s="102"/>
      <c r="Q10" s="102"/>
      <c r="R10" s="102"/>
      <c r="S10" s="102"/>
      <c r="T10" s="102"/>
    </row>
    <row r="11" spans="1:20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2"/>
      <c r="P11" s="102"/>
      <c r="Q11" s="102"/>
      <c r="R11" s="102"/>
      <c r="S11" s="102"/>
      <c r="T11" s="102"/>
    </row>
    <row r="12" spans="1:20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2"/>
      <c r="P12" s="102"/>
      <c r="Q12" s="102"/>
      <c r="R12" s="102"/>
      <c r="S12" s="102"/>
      <c r="T12" s="102"/>
    </row>
    <row r="13" spans="1:20" ht="18">
      <c r="A13" s="100" t="s">
        <v>18</v>
      </c>
      <c r="B13" s="107"/>
      <c r="C13" s="107"/>
      <c r="D13" s="107"/>
      <c r="E13" s="107"/>
      <c r="F13" s="107"/>
      <c r="G13" s="107"/>
      <c r="H13" s="107"/>
      <c r="I13" s="106"/>
      <c r="J13" s="106"/>
      <c r="K13" s="106"/>
      <c r="L13" s="106"/>
      <c r="M13" s="106"/>
      <c r="N13" s="107"/>
      <c r="O13" s="102"/>
      <c r="P13" s="102"/>
      <c r="Q13" s="102"/>
      <c r="R13" s="102"/>
      <c r="S13" s="102"/>
      <c r="T13" s="102"/>
    </row>
    <row r="14" spans="1:20">
      <c r="A14" s="4" t="s">
        <v>82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2"/>
      <c r="P14" s="102"/>
      <c r="Q14" s="102"/>
      <c r="R14" s="102"/>
      <c r="S14" s="102"/>
      <c r="T14" s="102"/>
    </row>
    <row r="15" spans="1:20">
      <c r="B15" s="104" t="s">
        <v>19</v>
      </c>
      <c r="C15" s="104" t="s">
        <v>3</v>
      </c>
      <c r="D15" s="104" t="s">
        <v>4</v>
      </c>
      <c r="E15" s="104" t="s">
        <v>5</v>
      </c>
      <c r="F15" s="104" t="s">
        <v>20</v>
      </c>
      <c r="G15" s="104" t="s">
        <v>33</v>
      </c>
      <c r="H15" s="104" t="s">
        <v>7</v>
      </c>
      <c r="I15" s="104" t="s">
        <v>6</v>
      </c>
      <c r="J15" s="104" t="s">
        <v>8</v>
      </c>
      <c r="K15" s="104" t="s">
        <v>9</v>
      </c>
      <c r="L15" s="104" t="s">
        <v>10</v>
      </c>
      <c r="M15" s="104" t="s">
        <v>11</v>
      </c>
      <c r="N15" s="106" t="s">
        <v>12</v>
      </c>
      <c r="O15" s="102"/>
      <c r="P15" s="102"/>
      <c r="Q15" s="102"/>
      <c r="R15" s="102"/>
      <c r="S15" s="102"/>
      <c r="T15" s="102"/>
    </row>
    <row r="16" spans="1:20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2"/>
      <c r="P16" s="102"/>
      <c r="Q16" s="102"/>
      <c r="R16" s="102"/>
      <c r="S16" s="102"/>
      <c r="T16" s="102"/>
    </row>
    <row r="17" spans="1:20">
      <c r="A17" s="103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102"/>
      <c r="P17" s="102"/>
      <c r="Q17" s="102"/>
      <c r="R17" s="102"/>
      <c r="S17" s="102"/>
      <c r="T17" s="102"/>
    </row>
    <row r="18" spans="1:20">
      <c r="A18" s="103" t="s">
        <v>22</v>
      </c>
      <c r="B18" s="9">
        <v>21032</v>
      </c>
      <c r="C18" s="9">
        <v>2328</v>
      </c>
      <c r="D18" s="9">
        <v>0</v>
      </c>
      <c r="E18" s="9">
        <v>0</v>
      </c>
      <c r="F18" s="9">
        <v>0</v>
      </c>
      <c r="G18" s="9">
        <v>22198</v>
      </c>
      <c r="H18" s="9">
        <v>0</v>
      </c>
      <c r="I18" s="9"/>
      <c r="J18" s="9"/>
      <c r="K18" s="9"/>
      <c r="L18" s="9"/>
      <c r="M18" s="9"/>
      <c r="N18" s="9">
        <v>24526</v>
      </c>
      <c r="O18" s="102"/>
      <c r="P18" s="102"/>
      <c r="Q18" s="102"/>
      <c r="R18" s="102"/>
      <c r="S18" s="102"/>
      <c r="T18" s="102"/>
    </row>
    <row r="19" spans="1:20">
      <c r="A19" s="103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102"/>
      <c r="P19" s="102"/>
      <c r="Q19" s="102"/>
      <c r="R19" s="102"/>
      <c r="S19" s="102"/>
      <c r="T19" s="102"/>
    </row>
    <row r="20" spans="1:20">
      <c r="A20" s="103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102"/>
      <c r="P20" s="102"/>
      <c r="Q20" s="102"/>
      <c r="R20" s="102"/>
      <c r="S20" s="102"/>
      <c r="T20" s="102"/>
    </row>
    <row r="21" spans="1:20">
      <c r="A21" s="103" t="s">
        <v>25</v>
      </c>
      <c r="B21" s="9">
        <v>4152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102"/>
      <c r="P21" s="102"/>
      <c r="Q21" s="102"/>
      <c r="R21" s="102"/>
      <c r="S21" s="102"/>
      <c r="T21" s="102"/>
    </row>
    <row r="22" spans="1:20">
      <c r="A22" s="103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102"/>
      <c r="P22" s="102"/>
      <c r="Q22" s="102"/>
      <c r="R22" s="102"/>
      <c r="S22" s="102"/>
      <c r="T22" s="102"/>
    </row>
    <row r="23" spans="1:20">
      <c r="A23" s="103" t="s">
        <v>17</v>
      </c>
      <c r="B23" s="9">
        <v>25184</v>
      </c>
      <c r="C23" s="9">
        <v>2328</v>
      </c>
      <c r="D23" s="9">
        <v>0</v>
      </c>
      <c r="E23" s="9">
        <v>0</v>
      </c>
      <c r="F23" s="9">
        <v>0</v>
      </c>
      <c r="G23" s="9">
        <v>22198</v>
      </c>
      <c r="H23" s="9">
        <v>0</v>
      </c>
      <c r="I23" s="9"/>
      <c r="J23" s="9"/>
      <c r="K23" s="9"/>
      <c r="L23" s="9"/>
      <c r="M23" s="9"/>
      <c r="N23" s="9">
        <v>24526</v>
      </c>
      <c r="O23" s="102"/>
      <c r="P23" s="102"/>
      <c r="Q23" s="102"/>
      <c r="R23" s="102" t="s">
        <v>27</v>
      </c>
      <c r="S23" s="108">
        <f>N42/1000</f>
        <v>1059.1574288888887</v>
      </c>
      <c r="T23" s="102"/>
    </row>
    <row r="24" spans="1:20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2"/>
      <c r="P24" s="102"/>
      <c r="Q24" s="102"/>
      <c r="R24" s="102"/>
      <c r="S24" s="102"/>
      <c r="T24" s="102"/>
    </row>
    <row r="25" spans="1:20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2"/>
      <c r="P25" s="102"/>
      <c r="Q25" s="102"/>
      <c r="R25" s="102"/>
      <c r="S25" s="102" t="s">
        <v>28</v>
      </c>
      <c r="T25" s="102" t="s">
        <v>29</v>
      </c>
    </row>
    <row r="26" spans="1:20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2"/>
      <c r="P26" s="102"/>
      <c r="Q26" s="102"/>
      <c r="R26" s="102" t="s">
        <v>11</v>
      </c>
      <c r="S26" s="109">
        <f>M42/1000</f>
        <v>298.31003999999996</v>
      </c>
      <c r="T26" s="110">
        <f>M43</f>
        <v>0.28164844230280545</v>
      </c>
    </row>
    <row r="27" spans="1:20" ht="18">
      <c r="A27" s="100" t="s">
        <v>30</v>
      </c>
      <c r="B27" s="107"/>
      <c r="C27" s="107"/>
      <c r="D27" s="107"/>
      <c r="E27" s="107"/>
      <c r="F27" s="107"/>
      <c r="G27" s="107"/>
      <c r="H27" s="106"/>
      <c r="I27" s="106"/>
      <c r="J27" s="106"/>
      <c r="K27" s="106"/>
      <c r="L27" s="106"/>
      <c r="M27" s="106"/>
      <c r="N27" s="106"/>
      <c r="O27" s="102"/>
      <c r="P27" s="102"/>
      <c r="Q27" s="102"/>
      <c r="R27" s="102" t="s">
        <v>33</v>
      </c>
      <c r="S27" s="109">
        <f>G42/1000</f>
        <v>179.87438888888883</v>
      </c>
      <c r="T27" s="111">
        <f>G43</f>
        <v>0.16982781216724921</v>
      </c>
    </row>
    <row r="28" spans="1:20">
      <c r="A28" s="4" t="s">
        <v>82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2"/>
      <c r="P28" s="102"/>
      <c r="Q28" s="102"/>
      <c r="R28" s="102" t="s">
        <v>8</v>
      </c>
      <c r="S28" s="109">
        <f>J42/1000</f>
        <v>0</v>
      </c>
      <c r="T28" s="110">
        <f>J43</f>
        <v>0</v>
      </c>
    </row>
    <row r="29" spans="1:20">
      <c r="B29" s="104" t="s">
        <v>31</v>
      </c>
      <c r="C29" s="104" t="s">
        <v>3</v>
      </c>
      <c r="D29" s="104" t="s">
        <v>4</v>
      </c>
      <c r="E29" s="104" t="s">
        <v>5</v>
      </c>
      <c r="F29" s="104" t="s">
        <v>32</v>
      </c>
      <c r="G29" s="104" t="s">
        <v>33</v>
      </c>
      <c r="H29" s="104" t="s">
        <v>7</v>
      </c>
      <c r="I29" s="104" t="s">
        <v>6</v>
      </c>
      <c r="J29" s="104" t="s">
        <v>8</v>
      </c>
      <c r="K29" s="104" t="s">
        <v>9</v>
      </c>
      <c r="L29" s="104" t="s">
        <v>10</v>
      </c>
      <c r="M29" s="104" t="s">
        <v>11</v>
      </c>
      <c r="N29" s="104" t="s">
        <v>34</v>
      </c>
      <c r="O29" s="102"/>
      <c r="P29" s="102"/>
      <c r="Q29" s="102"/>
      <c r="R29" s="102" t="s">
        <v>32</v>
      </c>
      <c r="S29" s="109">
        <f>F42/1000</f>
        <v>11.305637640449438</v>
      </c>
      <c r="T29" s="110">
        <f>F43</f>
        <v>1.0674180562855174E-2</v>
      </c>
    </row>
    <row r="30" spans="1:20">
      <c r="B30" s="106"/>
      <c r="C30" s="106"/>
      <c r="D30" s="106"/>
      <c r="E30" s="106"/>
      <c r="F30" s="9"/>
      <c r="G30" s="106"/>
      <c r="H30" s="106"/>
      <c r="I30" s="106"/>
      <c r="J30" s="106"/>
      <c r="K30" s="106"/>
      <c r="L30" s="106"/>
      <c r="M30" s="106"/>
      <c r="N30" s="106"/>
      <c r="O30" s="102"/>
      <c r="P30" s="102"/>
      <c r="Q30" s="102"/>
      <c r="R30" s="102" t="s">
        <v>35</v>
      </c>
      <c r="S30" s="108">
        <f>E42/1000</f>
        <v>106.254</v>
      </c>
      <c r="T30" s="110">
        <f>E43</f>
        <v>0.10031936433799644</v>
      </c>
    </row>
    <row r="31" spans="1:20">
      <c r="A31" s="103" t="s">
        <v>36</v>
      </c>
      <c r="B31" s="9">
        <v>0</v>
      </c>
      <c r="C31" s="41">
        <f>(N31-M31)*2584/(2584+264)</f>
        <v>2815.3623595505619</v>
      </c>
      <c r="D31" s="9">
        <v>0</v>
      </c>
      <c r="E31" s="9">
        <v>0</v>
      </c>
      <c r="F31" s="85">
        <f>(N31-M31)*264/(2584+264)</f>
        <v>287.63764044943821</v>
      </c>
      <c r="G31" s="9">
        <v>0</v>
      </c>
      <c r="H31" s="9">
        <v>0</v>
      </c>
      <c r="I31" s="9"/>
      <c r="J31" s="9"/>
      <c r="K31" s="9"/>
      <c r="L31" s="9"/>
      <c r="M31" s="9">
        <v>4471</v>
      </c>
      <c r="N31" s="9">
        <v>7574</v>
      </c>
      <c r="O31" s="112">
        <f>N31/N$39</f>
        <v>7.3138861100916584E-3</v>
      </c>
      <c r="P31" s="113" t="s">
        <v>37</v>
      </c>
      <c r="Q31" s="102"/>
      <c r="R31" s="102" t="s">
        <v>38</v>
      </c>
      <c r="S31" s="109">
        <f>C42/1000</f>
        <v>138.88336235955055</v>
      </c>
      <c r="T31" s="111">
        <f>C43</f>
        <v>0.13112626940194</v>
      </c>
    </row>
    <row r="32" spans="1:20">
      <c r="A32" s="103" t="s">
        <v>39</v>
      </c>
      <c r="B32" s="9">
        <v>2547</v>
      </c>
      <c r="C32" s="18">
        <v>18700</v>
      </c>
      <c r="D32" s="9">
        <v>0</v>
      </c>
      <c r="E32" s="9">
        <v>106254</v>
      </c>
      <c r="F32" s="44">
        <v>200</v>
      </c>
      <c r="G32" s="44">
        <f>63684+67496.3888888888</f>
        <v>131180.38888888882</v>
      </c>
      <c r="H32" s="9">
        <v>0</v>
      </c>
      <c r="I32" s="40">
        <v>324530</v>
      </c>
      <c r="J32" s="9"/>
      <c r="L32" s="9"/>
      <c r="M32" s="9">
        <v>199293</v>
      </c>
      <c r="N32" s="40">
        <f>SUM(B32:M32)</f>
        <v>782704.38888888876</v>
      </c>
      <c r="O32" s="112">
        <f>N32/N$39</f>
        <v>0.75582397124402212</v>
      </c>
      <c r="P32" s="113" t="s">
        <v>40</v>
      </c>
      <c r="Q32" s="102"/>
      <c r="R32" s="102" t="s">
        <v>41</v>
      </c>
      <c r="S32" s="109">
        <f>I42/1000</f>
        <v>324.52999999999997</v>
      </c>
      <c r="T32" s="110">
        <f>I43</f>
        <v>0.3064039312271537</v>
      </c>
    </row>
    <row r="33" spans="1:47">
      <c r="A33" s="103" t="s">
        <v>42</v>
      </c>
      <c r="B33" s="9">
        <v>9183</v>
      </c>
      <c r="C33" s="9">
        <v>17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9845</v>
      </c>
      <c r="N33" s="9">
        <v>19045</v>
      </c>
      <c r="O33" s="112">
        <f>N33/N$39</f>
        <v>1.839093754511429E-2</v>
      </c>
      <c r="P33" s="113" t="s">
        <v>43</v>
      </c>
      <c r="Q33" s="102"/>
      <c r="R33" s="102" t="s">
        <v>7</v>
      </c>
      <c r="S33" s="109">
        <f>H42/1000</f>
        <v>0</v>
      </c>
      <c r="T33" s="110">
        <f>H43</f>
        <v>0</v>
      </c>
    </row>
    <row r="34" spans="1:47">
      <c r="A34" s="103" t="s">
        <v>44</v>
      </c>
      <c r="B34" s="9">
        <v>0</v>
      </c>
      <c r="C34" s="9">
        <v>113225</v>
      </c>
      <c r="D34" s="9">
        <v>0</v>
      </c>
      <c r="E34" s="9">
        <v>0</v>
      </c>
      <c r="F34" s="9">
        <v>10818</v>
      </c>
      <c r="G34" s="9">
        <v>0</v>
      </c>
      <c r="H34" s="9">
        <v>0</v>
      </c>
      <c r="I34" s="9"/>
      <c r="J34" s="9"/>
      <c r="K34" s="9"/>
      <c r="L34" s="9"/>
      <c r="M34" s="9">
        <v>168</v>
      </c>
      <c r="N34" s="9">
        <v>124211</v>
      </c>
      <c r="O34" s="112">
        <f>N34/N$39</f>
        <v>0.11994522149730591</v>
      </c>
      <c r="P34" s="113" t="s">
        <v>45</v>
      </c>
      <c r="Q34" s="102"/>
      <c r="R34" s="102"/>
      <c r="S34" s="109">
        <f>SUM(S26:S33)</f>
        <v>1059.1574288888887</v>
      </c>
      <c r="T34" s="110">
        <f>SUM(T26:T33)</f>
        <v>1</v>
      </c>
    </row>
    <row r="35" spans="1:47">
      <c r="A35" s="103" t="s">
        <v>46</v>
      </c>
      <c r="B35" s="9">
        <v>1627</v>
      </c>
      <c r="C35" s="9">
        <v>379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12153</v>
      </c>
      <c r="N35" s="9">
        <v>14160</v>
      </c>
      <c r="O35" s="112">
        <f>N35/N$39</f>
        <v>1.3673703105214931E-2</v>
      </c>
      <c r="P35" s="113" t="s">
        <v>47</v>
      </c>
      <c r="Q35" s="113"/>
    </row>
    <row r="36" spans="1:47">
      <c r="A36" s="103" t="s">
        <v>48</v>
      </c>
      <c r="B36" s="9">
        <v>2038</v>
      </c>
      <c r="C36" s="9">
        <v>852</v>
      </c>
      <c r="D36" s="9">
        <v>0</v>
      </c>
      <c r="E36" s="9">
        <v>0</v>
      </c>
      <c r="F36" s="9">
        <v>0</v>
      </c>
      <c r="G36" s="9">
        <v>26496</v>
      </c>
      <c r="H36" s="9">
        <v>0</v>
      </c>
      <c r="I36" s="9"/>
      <c r="J36" s="114"/>
      <c r="K36" s="9"/>
      <c r="L36" s="9"/>
      <c r="M36" s="9">
        <v>34412</v>
      </c>
      <c r="N36" s="9">
        <v>63798</v>
      </c>
      <c r="O36" s="113"/>
      <c r="P36" s="113"/>
      <c r="Q36" s="102"/>
      <c r="R36" s="105"/>
      <c r="S36" s="105"/>
      <c r="T36" s="105"/>
    </row>
    <row r="37" spans="1:47">
      <c r="A37" s="103" t="s">
        <v>49</v>
      </c>
      <c r="B37" s="9">
        <v>7635</v>
      </c>
      <c r="C37" s="9">
        <v>567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9783</v>
      </c>
      <c r="N37" s="9">
        <v>17985</v>
      </c>
      <c r="O37" s="113"/>
      <c r="P37" s="113"/>
      <c r="Q37" s="102"/>
      <c r="R37" s="105"/>
      <c r="S37" s="105" t="s">
        <v>28</v>
      </c>
      <c r="T37" s="105" t="s">
        <v>29</v>
      </c>
    </row>
    <row r="38" spans="1:47">
      <c r="A38" s="103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6088</v>
      </c>
      <c r="N38" s="9">
        <v>6088</v>
      </c>
      <c r="O38" s="113">
        <f>SUM(O31:O35)</f>
        <v>0.915147719501749</v>
      </c>
      <c r="P38" s="113"/>
      <c r="Q38" s="102"/>
      <c r="R38" s="105" t="s">
        <v>51</v>
      </c>
      <c r="S38" s="115">
        <f>N45/1000</f>
        <v>24.25104</v>
      </c>
      <c r="T38" s="105"/>
    </row>
    <row r="39" spans="1:47">
      <c r="A39" s="103" t="s">
        <v>17</v>
      </c>
      <c r="B39" s="9">
        <v>23030</v>
      </c>
      <c r="C39" s="43">
        <f>SUM(C31:C38)</f>
        <v>136555.36235955055</v>
      </c>
      <c r="D39" s="9">
        <v>0</v>
      </c>
      <c r="E39" s="9">
        <v>106254</v>
      </c>
      <c r="F39" s="43">
        <f>SUM(F31:F38)</f>
        <v>11305.637640449439</v>
      </c>
      <c r="G39" s="44">
        <f>SUM(G31:G38)</f>
        <v>157676.38888888882</v>
      </c>
      <c r="H39" s="9">
        <v>0</v>
      </c>
      <c r="I39" s="41">
        <f>SUM(I31:I38)</f>
        <v>324530</v>
      </c>
      <c r="J39" s="9"/>
      <c r="K39" s="9"/>
      <c r="L39" s="9"/>
      <c r="M39" s="9">
        <v>276213</v>
      </c>
      <c r="N39" s="40">
        <f>916389+N32-663529</f>
        <v>1035564.3888888888</v>
      </c>
      <c r="O39" s="102"/>
      <c r="P39" s="102"/>
      <c r="Q39" s="102"/>
      <c r="R39" s="105" t="s">
        <v>52</v>
      </c>
      <c r="S39" s="116">
        <f>N41/1000</f>
        <v>87.870999999999995</v>
      </c>
      <c r="T39" s="110">
        <f>O41</f>
        <v>8.4853246155250084E-2</v>
      </c>
    </row>
    <row r="40" spans="1:47">
      <c r="K40" s="106"/>
      <c r="N40" s="106"/>
      <c r="R40" s="105" t="s">
        <v>53</v>
      </c>
      <c r="S40" s="116">
        <f>N35/1000</f>
        <v>14.16</v>
      </c>
      <c r="T40" s="111">
        <f>O35</f>
        <v>1.3673703105214931E-2</v>
      </c>
    </row>
    <row r="41" spans="1:47">
      <c r="A41" s="117" t="s">
        <v>54</v>
      </c>
      <c r="B41" s="118">
        <f>B38+B37+B36</f>
        <v>9673</v>
      </c>
      <c r="C41" s="118">
        <f t="shared" ref="C41:N41" si="0">C38+C37+C36</f>
        <v>1419</v>
      </c>
      <c r="D41" s="118">
        <f t="shared" si="0"/>
        <v>0</v>
      </c>
      <c r="E41" s="118">
        <f t="shared" si="0"/>
        <v>0</v>
      </c>
      <c r="F41" s="118">
        <f t="shared" si="0"/>
        <v>0</v>
      </c>
      <c r="G41" s="118">
        <f t="shared" si="0"/>
        <v>26496</v>
      </c>
      <c r="H41" s="118">
        <f t="shared" si="0"/>
        <v>0</v>
      </c>
      <c r="I41" s="118">
        <f t="shared" si="0"/>
        <v>0</v>
      </c>
      <c r="J41" s="118">
        <f t="shared" si="0"/>
        <v>0</v>
      </c>
      <c r="K41" s="118">
        <f t="shared" si="0"/>
        <v>0</v>
      </c>
      <c r="L41" s="118">
        <f t="shared" si="0"/>
        <v>0</v>
      </c>
      <c r="M41" s="118">
        <f t="shared" si="0"/>
        <v>50283</v>
      </c>
      <c r="N41" s="118">
        <f t="shared" si="0"/>
        <v>87871</v>
      </c>
      <c r="O41" s="112">
        <f>N41/N$39</f>
        <v>8.4853246155250084E-2</v>
      </c>
      <c r="P41" s="112" t="s">
        <v>55</v>
      </c>
      <c r="Q41" s="105"/>
      <c r="R41" s="105" t="s">
        <v>56</v>
      </c>
      <c r="S41" s="116">
        <f>N33/1000</f>
        <v>19.045000000000002</v>
      </c>
      <c r="T41" s="110">
        <f>O33</f>
        <v>1.839093754511429E-2</v>
      </c>
    </row>
    <row r="42" spans="1:47">
      <c r="A42" s="119" t="s">
        <v>57</v>
      </c>
      <c r="B42" s="118"/>
      <c r="C42" s="120">
        <f>C39+C23+C10</f>
        <v>138883.36235955055</v>
      </c>
      <c r="D42" s="120">
        <f t="shared" ref="D42:L42" si="1">D39+D23+D10</f>
        <v>0</v>
      </c>
      <c r="E42" s="120">
        <f t="shared" si="1"/>
        <v>106254</v>
      </c>
      <c r="F42" s="120">
        <f t="shared" si="1"/>
        <v>11305.637640449439</v>
      </c>
      <c r="G42" s="120">
        <f t="shared" si="1"/>
        <v>179874.38888888882</v>
      </c>
      <c r="H42" s="120">
        <f t="shared" si="1"/>
        <v>0</v>
      </c>
      <c r="I42" s="120">
        <f t="shared" si="1"/>
        <v>324530</v>
      </c>
      <c r="J42" s="120">
        <f t="shared" si="1"/>
        <v>0</v>
      </c>
      <c r="K42" s="120">
        <f t="shared" si="1"/>
        <v>0</v>
      </c>
      <c r="L42" s="120">
        <f t="shared" si="1"/>
        <v>0</v>
      </c>
      <c r="M42" s="120">
        <f>M39+M23-B6+M45</f>
        <v>298310.03999999998</v>
      </c>
      <c r="N42" s="121">
        <f>SUM(C42:M42)</f>
        <v>1059157.4288888888</v>
      </c>
      <c r="O42" s="105"/>
      <c r="P42" s="105"/>
      <c r="Q42" s="105"/>
      <c r="R42" s="105" t="s">
        <v>37</v>
      </c>
      <c r="S42" s="116">
        <f>N31/1000</f>
        <v>7.5739999999999998</v>
      </c>
      <c r="T42" s="110">
        <f>O31</f>
        <v>7.3138861100916584E-3</v>
      </c>
    </row>
    <row r="43" spans="1:47">
      <c r="A43" s="119" t="s">
        <v>58</v>
      </c>
      <c r="B43" s="118"/>
      <c r="C43" s="112">
        <f t="shared" ref="C43:M43" si="2">C42/$N42</f>
        <v>0.13112626940194</v>
      </c>
      <c r="D43" s="112">
        <f t="shared" si="2"/>
        <v>0</v>
      </c>
      <c r="E43" s="112">
        <f t="shared" si="2"/>
        <v>0.10031936433799644</v>
      </c>
      <c r="F43" s="112">
        <f t="shared" si="2"/>
        <v>1.0674180562855174E-2</v>
      </c>
      <c r="G43" s="112">
        <f t="shared" si="2"/>
        <v>0.16982781216724921</v>
      </c>
      <c r="H43" s="112">
        <f t="shared" si="2"/>
        <v>0</v>
      </c>
      <c r="I43" s="112">
        <f t="shared" si="2"/>
        <v>0.3064039312271537</v>
      </c>
      <c r="J43" s="112">
        <f t="shared" si="2"/>
        <v>0</v>
      </c>
      <c r="K43" s="112">
        <f t="shared" si="2"/>
        <v>0</v>
      </c>
      <c r="L43" s="112">
        <f t="shared" si="2"/>
        <v>0</v>
      </c>
      <c r="M43" s="112">
        <f t="shared" si="2"/>
        <v>0.28164844230280545</v>
      </c>
      <c r="N43" s="112">
        <f>SUM(C43:M43)</f>
        <v>1</v>
      </c>
      <c r="O43" s="105"/>
      <c r="P43" s="105"/>
      <c r="Q43" s="105"/>
      <c r="R43" s="105" t="s">
        <v>59</v>
      </c>
      <c r="S43" s="116">
        <f>N32/1000</f>
        <v>782.70438888888873</v>
      </c>
      <c r="T43" s="111">
        <f>O32</f>
        <v>0.75582397124402212</v>
      </c>
    </row>
    <row r="44" spans="1:47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5"/>
      <c r="P44" s="105"/>
      <c r="Q44" s="105"/>
      <c r="R44" s="105" t="s">
        <v>60</v>
      </c>
      <c r="S44" s="116">
        <f>N34/1000</f>
        <v>124.211</v>
      </c>
      <c r="T44" s="111">
        <f>O34</f>
        <v>0.11994522149730591</v>
      </c>
    </row>
    <row r="45" spans="1:47">
      <c r="A45" s="104" t="s">
        <v>61</v>
      </c>
      <c r="B45" s="104">
        <f>B23-B39</f>
        <v>2154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22">
        <f>M39*0.08</f>
        <v>22097.040000000001</v>
      </c>
      <c r="N45" s="121">
        <f>B45+M45</f>
        <v>24251.040000000001</v>
      </c>
      <c r="O45" s="105"/>
      <c r="P45" s="105"/>
      <c r="Q45" s="105"/>
      <c r="R45" s="105" t="s">
        <v>62</v>
      </c>
      <c r="S45" s="116">
        <f>SUM(S39:S44)</f>
        <v>1035.5653888888887</v>
      </c>
      <c r="T45" s="110">
        <f>SUM(T39:T44)</f>
        <v>1.000000965656999</v>
      </c>
    </row>
    <row r="46" spans="1:47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  <c r="N46" s="104"/>
      <c r="O46" s="105"/>
      <c r="P46" s="105"/>
      <c r="Q46" s="105"/>
    </row>
    <row r="47" spans="1:47">
      <c r="A47" s="4"/>
      <c r="B47" s="4"/>
      <c r="C47" s="27"/>
      <c r="D47" s="28"/>
      <c r="E47" s="27"/>
      <c r="F47" s="27"/>
      <c r="G47" s="28"/>
      <c r="H47" s="27"/>
      <c r="I47" s="9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8"/>
      <c r="I48" s="9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9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7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04"/>
      <c r="M57" s="112"/>
      <c r="N57" s="105"/>
      <c r="O57" s="104"/>
      <c r="P57" s="110"/>
      <c r="Q57" s="105"/>
      <c r="R57" s="105"/>
      <c r="S57" s="104"/>
      <c r="T57" s="110"/>
    </row>
    <row r="58" spans="1:47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04"/>
      <c r="M58" s="112"/>
      <c r="N58" s="105"/>
      <c r="O58" s="104"/>
      <c r="P58" s="110"/>
      <c r="Q58" s="105"/>
      <c r="R58" s="105"/>
      <c r="S58" s="104"/>
      <c r="T58" s="110"/>
    </row>
    <row r="59" spans="1:47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04"/>
      <c r="M59" s="112"/>
      <c r="N59" s="105"/>
      <c r="O59" s="104"/>
      <c r="P59" s="110"/>
      <c r="Q59" s="105"/>
      <c r="R59" s="105"/>
      <c r="S59" s="104"/>
      <c r="T59" s="110"/>
    </row>
    <row r="60" spans="1:47">
      <c r="A60" s="119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04"/>
      <c r="M60" s="112"/>
      <c r="N60" s="105"/>
      <c r="O60" s="104"/>
      <c r="P60" s="110"/>
      <c r="Q60" s="105"/>
      <c r="R60" s="105"/>
      <c r="S60" s="104"/>
      <c r="T60" s="110"/>
    </row>
    <row r="61" spans="1:47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4"/>
      <c r="M61" s="112"/>
      <c r="N61" s="105"/>
      <c r="O61" s="104"/>
      <c r="P61" s="110"/>
      <c r="Q61" s="105"/>
      <c r="R61" s="105"/>
      <c r="S61" s="124"/>
      <c r="T61" s="125"/>
    </row>
    <row r="62" spans="1:47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4"/>
    </row>
    <row r="63" spans="1:47">
      <c r="A63" s="105"/>
      <c r="B63" s="126"/>
      <c r="C63" s="126"/>
      <c r="D63" s="126"/>
      <c r="E63" s="126"/>
      <c r="F63" s="126"/>
      <c r="G63" s="126"/>
      <c r="H63" s="126"/>
      <c r="I63" s="126"/>
      <c r="J63" s="105"/>
      <c r="K63" s="105"/>
      <c r="L63" s="105"/>
      <c r="M63" s="105"/>
      <c r="N63" s="105"/>
      <c r="O63" s="105"/>
      <c r="P63" s="105"/>
      <c r="Q63" s="105"/>
      <c r="R63" s="105"/>
      <c r="S63" s="126"/>
      <c r="T63" s="127"/>
    </row>
    <row r="64" spans="1:47">
      <c r="A64" s="105"/>
      <c r="B64" s="104"/>
      <c r="C64" s="104"/>
      <c r="D64" s="104"/>
      <c r="E64" s="104"/>
      <c r="F64" s="104"/>
      <c r="G64" s="104"/>
      <c r="H64" s="104"/>
      <c r="I64" s="104"/>
      <c r="J64" s="105"/>
      <c r="K64" s="105"/>
      <c r="L64" s="105"/>
      <c r="M64" s="105"/>
      <c r="N64" s="105"/>
      <c r="O64" s="104"/>
      <c r="P64" s="112"/>
      <c r="Q64" s="105"/>
      <c r="R64" s="105"/>
      <c r="S64" s="104"/>
      <c r="T64" s="110"/>
    </row>
    <row r="65" spans="1:20">
      <c r="A65" s="105"/>
      <c r="B65" s="104"/>
      <c r="C65" s="104"/>
      <c r="D65" s="104"/>
      <c r="E65" s="104"/>
      <c r="F65" s="104"/>
      <c r="G65" s="104"/>
      <c r="H65" s="104"/>
      <c r="I65" s="104"/>
      <c r="J65" s="105"/>
      <c r="K65" s="105"/>
      <c r="L65" s="105"/>
      <c r="M65" s="105"/>
      <c r="N65" s="105"/>
      <c r="O65" s="104"/>
      <c r="P65" s="112"/>
      <c r="Q65" s="105"/>
      <c r="R65" s="105"/>
      <c r="S65" s="104"/>
      <c r="T65" s="110"/>
    </row>
    <row r="66" spans="1:20">
      <c r="A66" s="105"/>
      <c r="B66" s="104"/>
      <c r="C66" s="104"/>
      <c r="D66" s="104"/>
      <c r="E66" s="104"/>
      <c r="F66" s="104"/>
      <c r="G66" s="104"/>
      <c r="H66" s="104"/>
      <c r="I66" s="104"/>
      <c r="J66" s="105"/>
      <c r="K66" s="105"/>
      <c r="L66" s="105"/>
      <c r="M66" s="105"/>
      <c r="N66" s="105"/>
      <c r="O66" s="104"/>
      <c r="P66" s="112"/>
      <c r="Q66" s="105"/>
      <c r="R66" s="105"/>
      <c r="S66" s="104"/>
      <c r="T66" s="110"/>
    </row>
    <row r="67" spans="1:20">
      <c r="A67" s="105"/>
      <c r="B67" s="104"/>
      <c r="C67" s="104"/>
      <c r="D67" s="104"/>
      <c r="E67" s="104"/>
      <c r="F67" s="104"/>
      <c r="G67" s="104"/>
      <c r="H67" s="104"/>
      <c r="I67" s="104"/>
      <c r="J67" s="105"/>
      <c r="K67" s="105"/>
      <c r="L67" s="105"/>
      <c r="M67" s="105"/>
      <c r="N67" s="105"/>
      <c r="O67" s="104"/>
      <c r="P67" s="112"/>
      <c r="Q67" s="105"/>
      <c r="R67" s="105"/>
      <c r="S67" s="104"/>
      <c r="T67" s="110"/>
    </row>
    <row r="68" spans="1:20">
      <c r="A68" s="105"/>
      <c r="B68" s="104"/>
      <c r="C68" s="104"/>
      <c r="D68" s="104"/>
      <c r="E68" s="104"/>
      <c r="F68" s="104"/>
      <c r="G68" s="104"/>
      <c r="H68" s="104"/>
      <c r="I68" s="104"/>
      <c r="J68" s="105"/>
      <c r="K68" s="105"/>
      <c r="L68" s="105"/>
      <c r="M68" s="105"/>
      <c r="N68" s="105"/>
      <c r="O68" s="104"/>
      <c r="P68" s="112"/>
      <c r="Q68" s="105"/>
      <c r="R68" s="105"/>
      <c r="S68" s="104"/>
      <c r="T68" s="110"/>
    </row>
    <row r="69" spans="1:20">
      <c r="A69" s="105"/>
      <c r="B69" s="104"/>
      <c r="C69" s="104"/>
      <c r="D69" s="104"/>
      <c r="E69" s="104"/>
      <c r="F69" s="104"/>
      <c r="G69" s="104"/>
      <c r="H69" s="104"/>
      <c r="I69" s="104"/>
      <c r="J69" s="105"/>
      <c r="K69" s="105"/>
      <c r="L69" s="105"/>
      <c r="M69" s="105"/>
      <c r="N69" s="105"/>
      <c r="O69" s="104"/>
      <c r="P69" s="112"/>
      <c r="Q69" s="105"/>
      <c r="R69" s="105"/>
      <c r="S69" s="104"/>
      <c r="T69" s="110"/>
    </row>
    <row r="70" spans="1:20">
      <c r="A70" s="105"/>
      <c r="B70" s="124"/>
      <c r="C70" s="124"/>
      <c r="D70" s="124"/>
      <c r="E70" s="124"/>
      <c r="F70" s="124"/>
      <c r="G70" s="124"/>
      <c r="H70" s="124"/>
      <c r="I70" s="124"/>
      <c r="J70" s="105"/>
      <c r="K70" s="105"/>
      <c r="L70" s="105"/>
      <c r="M70" s="105"/>
      <c r="N70" s="105"/>
      <c r="O70" s="124"/>
      <c r="P70" s="128"/>
      <c r="Q70" s="105"/>
      <c r="R70" s="105"/>
      <c r="S70" s="124"/>
      <c r="T70" s="128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83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33967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147122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181089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/>
      <c r="J17"/>
      <c r="K17"/>
      <c r="L17"/>
      <c r="M17"/>
      <c r="N17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1">
        <v>16553</v>
      </c>
      <c r="C18" s="91">
        <v>1341</v>
      </c>
      <c r="D18">
        <v>0</v>
      </c>
      <c r="E18">
        <v>0</v>
      </c>
      <c r="F18">
        <v>0</v>
      </c>
      <c r="G18" s="91">
        <v>20739</v>
      </c>
      <c r="H18">
        <v>0</v>
      </c>
      <c r="I18"/>
      <c r="J18"/>
      <c r="K18"/>
      <c r="L18"/>
      <c r="M18"/>
      <c r="N18" s="91">
        <f>SUM(C18:M18)</f>
        <v>22080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/>
      <c r="J19"/>
      <c r="K19"/>
      <c r="L19"/>
      <c r="M19"/>
      <c r="N1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/>
      <c r="J20"/>
      <c r="K20"/>
      <c r="L20"/>
      <c r="M20"/>
      <c r="N20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/>
      <c r="J21"/>
      <c r="K21"/>
      <c r="L21"/>
      <c r="M21"/>
      <c r="N21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/>
      <c r="J22"/>
      <c r="K22"/>
      <c r="L22"/>
      <c r="M22"/>
      <c r="N22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1">
        <f>SUM(B17:B22)</f>
        <v>16553</v>
      </c>
      <c r="C23" s="91">
        <f>SUM(C17:C22)</f>
        <v>1341</v>
      </c>
      <c r="D23">
        <v>0</v>
      </c>
      <c r="E23">
        <v>0</v>
      </c>
      <c r="F23">
        <v>0</v>
      </c>
      <c r="G23" s="91">
        <f>SUM(G17:G22)</f>
        <v>20739</v>
      </c>
      <c r="H23">
        <v>0</v>
      </c>
      <c r="I23"/>
      <c r="J23"/>
      <c r="K23"/>
      <c r="L23"/>
      <c r="M23"/>
      <c r="N23" s="91">
        <f>SUM(N17:N22)</f>
        <v>22080</v>
      </c>
      <c r="O23" s="3"/>
      <c r="P23" s="3"/>
      <c r="Q23" s="3"/>
      <c r="R23" s="3" t="s">
        <v>27</v>
      </c>
      <c r="S23" s="12">
        <f>N42/1000</f>
        <v>288.97947999999997</v>
      </c>
      <c r="T23" s="3"/>
    </row>
    <row r="24" spans="1:20">
      <c r="B24"/>
      <c r="C24"/>
      <c r="D24"/>
      <c r="E24"/>
      <c r="F24"/>
      <c r="G24"/>
      <c r="H24"/>
      <c r="I24"/>
      <c r="J24"/>
      <c r="K24"/>
      <c r="L24"/>
      <c r="M24"/>
      <c r="N24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133.98048</v>
      </c>
      <c r="T26" s="14">
        <f>M43</f>
        <v>0.46363319637781902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52.784999999999997</v>
      </c>
      <c r="T27" s="15">
        <f>G43</f>
        <v>0.1826600283175816</v>
      </c>
    </row>
    <row r="28" spans="1:20">
      <c r="A28" s="4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8.641</v>
      </c>
      <c r="T29" s="14">
        <f>F43</f>
        <v>2.9901777108879844E-2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17804</v>
      </c>
      <c r="D31" s="9">
        <v>0</v>
      </c>
      <c r="E31" s="9">
        <v>0</v>
      </c>
      <c r="F31" s="9">
        <v>1913</v>
      </c>
      <c r="G31" s="9">
        <v>0</v>
      </c>
      <c r="H31" s="9">
        <v>0</v>
      </c>
      <c r="I31" s="9"/>
      <c r="J31" s="9"/>
      <c r="K31" s="9"/>
      <c r="L31" s="9"/>
      <c r="M31" s="9">
        <v>15911</v>
      </c>
      <c r="N31" s="9">
        <v>35628</v>
      </c>
      <c r="O31" s="16">
        <f>N31/N$39</f>
        <v>0.13069843028353209</v>
      </c>
      <c r="P31" s="17" t="s">
        <v>37</v>
      </c>
      <c r="Q31" s="3"/>
      <c r="R31" s="3" t="s">
        <v>38</v>
      </c>
      <c r="S31" s="13">
        <f>C42/1000</f>
        <v>93.572999999999993</v>
      </c>
      <c r="T31" s="15">
        <f>C43</f>
        <v>0.32380499819571967</v>
      </c>
    </row>
    <row r="32" spans="1:20">
      <c r="A32" s="5" t="s">
        <v>39</v>
      </c>
      <c r="B32" s="9">
        <v>0</v>
      </c>
      <c r="C32" s="9">
        <v>1393</v>
      </c>
      <c r="D32" s="9">
        <v>0</v>
      </c>
      <c r="E32" s="9">
        <v>0</v>
      </c>
      <c r="F32" s="9">
        <v>23</v>
      </c>
      <c r="G32" s="9">
        <v>0</v>
      </c>
      <c r="H32" s="9">
        <v>0</v>
      </c>
      <c r="I32" s="9"/>
      <c r="J32" s="9"/>
      <c r="K32" s="9"/>
      <c r="L32" s="9"/>
      <c r="M32" s="9">
        <v>17951</v>
      </c>
      <c r="N32" s="9">
        <v>19368</v>
      </c>
      <c r="O32" s="16">
        <f>N32/N$39</f>
        <v>7.1049938187140727E-2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v>1525</v>
      </c>
      <c r="C33" s="9">
        <v>2802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8215</v>
      </c>
      <c r="N33" s="41">
        <f>11017+B33</f>
        <v>12542</v>
      </c>
      <c r="O33" s="16">
        <f>N33/N$39</f>
        <v>4.6009310447290321E-2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69959</v>
      </c>
      <c r="D34" s="9">
        <v>0</v>
      </c>
      <c r="E34" s="9">
        <v>0</v>
      </c>
      <c r="F34" s="9">
        <v>6704</v>
      </c>
      <c r="G34" s="9">
        <v>0</v>
      </c>
      <c r="H34" s="9">
        <v>0</v>
      </c>
      <c r="I34" s="9"/>
      <c r="J34" s="9"/>
      <c r="K34" s="9"/>
      <c r="L34" s="9"/>
      <c r="M34" s="9">
        <v>26839</v>
      </c>
      <c r="N34" s="9">
        <v>103502</v>
      </c>
      <c r="O34" s="16">
        <f>N34/N$39</f>
        <v>0.37968869796806276</v>
      </c>
      <c r="P34" s="17" t="s">
        <v>45</v>
      </c>
      <c r="Q34" s="3"/>
      <c r="R34" s="3"/>
      <c r="S34" s="13">
        <f>SUM(S26:S33)</f>
        <v>288.97947999999997</v>
      </c>
      <c r="T34" s="14">
        <f>SUM(T26:T33)</f>
        <v>1.0000000000000002</v>
      </c>
    </row>
    <row r="35" spans="1:47">
      <c r="A35" s="5" t="s">
        <v>46</v>
      </c>
      <c r="B35" s="41">
        <v>5634</v>
      </c>
      <c r="C35" s="9">
        <v>149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13293</v>
      </c>
      <c r="N35" s="41">
        <f>13442+B35</f>
        <v>19076</v>
      </c>
      <c r="O35" s="16">
        <f>N35/N$39</f>
        <v>6.9978759854290404E-2</v>
      </c>
      <c r="P35" s="17" t="s">
        <v>47</v>
      </c>
      <c r="Q35" s="17"/>
    </row>
    <row r="36" spans="1:47">
      <c r="A36" s="5" t="s">
        <v>48</v>
      </c>
      <c r="B36" s="41">
        <v>285</v>
      </c>
      <c r="C36" s="9">
        <v>125</v>
      </c>
      <c r="D36" s="9">
        <v>0</v>
      </c>
      <c r="E36" s="9">
        <v>0</v>
      </c>
      <c r="F36" s="9">
        <v>0</v>
      </c>
      <c r="G36" s="9">
        <v>32046</v>
      </c>
      <c r="H36" s="9">
        <v>0</v>
      </c>
      <c r="I36" s="9"/>
      <c r="J36" s="9"/>
      <c r="K36" s="9"/>
      <c r="L36" s="9"/>
      <c r="M36" s="9">
        <v>31659</v>
      </c>
      <c r="N36" s="41">
        <f>63831+B36</f>
        <v>64116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v>8179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4167</v>
      </c>
      <c r="N37" s="41">
        <f>4167+B37</f>
        <v>12346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6020</v>
      </c>
      <c r="N38" s="9">
        <v>6020</v>
      </c>
      <c r="O38" s="17">
        <f>SUM(O31:O35)</f>
        <v>0.69742513674031625</v>
      </c>
      <c r="P38" s="17"/>
      <c r="Q38" s="3"/>
      <c r="R38" s="7" t="s">
        <v>51</v>
      </c>
      <c r="S38" s="19">
        <f>N45/1000</f>
        <v>10.854479999999999</v>
      </c>
      <c r="T38" s="7"/>
    </row>
    <row r="39" spans="1:47">
      <c r="A39" s="5" t="s">
        <v>17</v>
      </c>
      <c r="B39" s="41">
        <f>SUM(B31:B38)</f>
        <v>15623</v>
      </c>
      <c r="C39" s="9">
        <v>92232</v>
      </c>
      <c r="D39" s="9">
        <v>0</v>
      </c>
      <c r="E39" s="9">
        <v>0</v>
      </c>
      <c r="F39" s="9">
        <v>8641</v>
      </c>
      <c r="G39" s="9">
        <v>32046</v>
      </c>
      <c r="H39" s="9">
        <v>0</v>
      </c>
      <c r="I39" s="9"/>
      <c r="J39" s="9"/>
      <c r="K39" s="9"/>
      <c r="L39" s="9"/>
      <c r="M39" s="9">
        <v>124056</v>
      </c>
      <c r="N39" s="41">
        <f>256974+B39</f>
        <v>272597</v>
      </c>
      <c r="O39" s="3"/>
      <c r="P39" s="3"/>
      <c r="Q39" s="3"/>
      <c r="R39" s="7" t="s">
        <v>52</v>
      </c>
      <c r="S39" s="20">
        <f>N41/1000</f>
        <v>82.481999999999999</v>
      </c>
      <c r="T39" s="14">
        <f>O41</f>
        <v>0.3025785316786318</v>
      </c>
    </row>
    <row r="40" spans="1:47">
      <c r="R40" s="7" t="s">
        <v>53</v>
      </c>
      <c r="S40" s="20">
        <f>N35/1000</f>
        <v>19.076000000000001</v>
      </c>
      <c r="T40" s="15">
        <f>O35</f>
        <v>6.9978759854290404E-2</v>
      </c>
    </row>
    <row r="41" spans="1:47">
      <c r="A41" s="21" t="s">
        <v>54</v>
      </c>
      <c r="B41" s="22">
        <f>B38+B37+B36</f>
        <v>8464</v>
      </c>
      <c r="C41" s="22">
        <f t="shared" ref="C41:N41" si="0">C38+C37+C36</f>
        <v>125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32046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41846</v>
      </c>
      <c r="N41" s="22">
        <f t="shared" si="0"/>
        <v>82482</v>
      </c>
      <c r="O41" s="16">
        <f>N41/N$39</f>
        <v>0.3025785316786318</v>
      </c>
      <c r="P41" s="16" t="s">
        <v>55</v>
      </c>
      <c r="Q41" s="7"/>
      <c r="R41" s="7" t="s">
        <v>56</v>
      </c>
      <c r="S41" s="20">
        <f>N33/1000</f>
        <v>12.542</v>
      </c>
      <c r="T41" s="14">
        <f>O33</f>
        <v>4.6009310447290321E-2</v>
      </c>
    </row>
    <row r="42" spans="1:47">
      <c r="A42" s="23" t="s">
        <v>57</v>
      </c>
      <c r="B42" s="22"/>
      <c r="C42" s="24">
        <f>C39+C23+C10</f>
        <v>93573</v>
      </c>
      <c r="D42" s="24">
        <f t="shared" ref="D42:L42" si="1">D39+D23+D10</f>
        <v>0</v>
      </c>
      <c r="E42" s="24">
        <f t="shared" si="1"/>
        <v>0</v>
      </c>
      <c r="F42" s="24">
        <f t="shared" si="1"/>
        <v>8641</v>
      </c>
      <c r="G42" s="24">
        <f t="shared" si="1"/>
        <v>52785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133980.48000000001</v>
      </c>
      <c r="N42" s="25">
        <f>SUM(C42:M42)</f>
        <v>288979.48</v>
      </c>
      <c r="O42" s="7"/>
      <c r="P42" s="7"/>
      <c r="Q42" s="7"/>
      <c r="R42" s="7" t="s">
        <v>37</v>
      </c>
      <c r="S42" s="20">
        <f>N31/1000</f>
        <v>35.628</v>
      </c>
      <c r="T42" s="14">
        <f>O31</f>
        <v>0.13069843028353209</v>
      </c>
    </row>
    <row r="43" spans="1:47">
      <c r="A43" s="23" t="s">
        <v>58</v>
      </c>
      <c r="B43" s="22"/>
      <c r="C43" s="16">
        <f t="shared" ref="C43:M43" si="2">C42/$N42</f>
        <v>0.32380499819571967</v>
      </c>
      <c r="D43" s="16">
        <f t="shared" si="2"/>
        <v>0</v>
      </c>
      <c r="E43" s="16">
        <f t="shared" si="2"/>
        <v>0</v>
      </c>
      <c r="F43" s="16">
        <f t="shared" si="2"/>
        <v>2.9901777108879844E-2</v>
      </c>
      <c r="G43" s="16">
        <f t="shared" si="2"/>
        <v>0.1826600283175816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0.46363319637781902</v>
      </c>
      <c r="N43" s="16">
        <f>SUM(C43:M43)</f>
        <v>1.0000000000000002</v>
      </c>
      <c r="O43" s="7"/>
      <c r="P43" s="7"/>
      <c r="Q43" s="7"/>
      <c r="R43" s="7" t="s">
        <v>59</v>
      </c>
      <c r="S43" s="20">
        <f>N32/1000</f>
        <v>19.367999999999999</v>
      </c>
      <c r="T43" s="15">
        <f>O32</f>
        <v>7.1049938187140727E-2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103.502</v>
      </c>
      <c r="T44" s="15">
        <f>O34</f>
        <v>0.37968869796806276</v>
      </c>
    </row>
    <row r="45" spans="1:47">
      <c r="A45" s="6" t="s">
        <v>61</v>
      </c>
      <c r="B45" s="6">
        <f>B23-B39</f>
        <v>930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9924.48</v>
      </c>
      <c r="N45" s="25">
        <f>B45+M45</f>
        <v>10854.48</v>
      </c>
      <c r="O45" s="7"/>
      <c r="P45" s="7"/>
      <c r="Q45" s="7"/>
      <c r="R45" s="7" t="s">
        <v>62</v>
      </c>
      <c r="S45" s="20">
        <f>SUM(S39:S44)</f>
        <v>272.59800000000001</v>
      </c>
      <c r="T45" s="14">
        <f>SUM(T39:T44)</f>
        <v>1.0000036684189482</v>
      </c>
    </row>
    <row r="46" spans="1:47">
      <c r="A46" s="6"/>
      <c r="B46" s="6"/>
      <c r="C46" s="6"/>
      <c r="D46" s="93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84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41">
        <v>0</v>
      </c>
      <c r="C6" s="9">
        <v>0</v>
      </c>
      <c r="D6" s="9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186451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45687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1">
        <f>SUM(B6:B9)</f>
        <v>232138</v>
      </c>
      <c r="C10" s="9">
        <v>0</v>
      </c>
      <c r="D10" s="9">
        <v>0</v>
      </c>
      <c r="E10" s="9">
        <v>0</v>
      </c>
      <c r="F10" s="9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378</v>
      </c>
      <c r="C18" s="9">
        <v>438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438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13316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13694</v>
      </c>
      <c r="C23" s="9">
        <v>438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438</v>
      </c>
      <c r="O23" s="3"/>
      <c r="P23" s="3"/>
      <c r="Q23" s="3"/>
      <c r="R23" s="3" t="s">
        <v>27</v>
      </c>
      <c r="S23" s="12">
        <f>N42/1000</f>
        <v>587.02512000000002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269.23212000000001</v>
      </c>
      <c r="T26" s="14">
        <f>M43</f>
        <v>0.45863815844882411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177.494</v>
      </c>
      <c r="T27" s="15">
        <f>G43</f>
        <v>0.30236184782007286</v>
      </c>
    </row>
    <row r="28" spans="1:20">
      <c r="A28" s="4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6.8079999999999998</v>
      </c>
      <c r="T29" s="14">
        <f>F43</f>
        <v>1.1597459406847871E-2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48.1</v>
      </c>
      <c r="T30" s="14">
        <f>E43</f>
        <v>8.1938571896207776E-2</v>
      </c>
    </row>
    <row r="31" spans="1:20">
      <c r="A31" s="5" t="s">
        <v>36</v>
      </c>
      <c r="B31" s="9">
        <v>0</v>
      </c>
      <c r="C31" s="9">
        <v>3210</v>
      </c>
      <c r="D31" s="9">
        <v>0</v>
      </c>
      <c r="E31" s="9">
        <v>0</v>
      </c>
      <c r="F31" s="9">
        <v>348</v>
      </c>
      <c r="G31" s="9">
        <v>0</v>
      </c>
      <c r="H31" s="9">
        <v>0</v>
      </c>
      <c r="I31" s="9"/>
      <c r="J31" s="9"/>
      <c r="K31" s="9"/>
      <c r="L31" s="9"/>
      <c r="M31" s="9">
        <v>4096</v>
      </c>
      <c r="N31" s="9">
        <v>7654</v>
      </c>
      <c r="O31" s="16">
        <f>N31/N$39</f>
        <v>1.3225945247282322E-2</v>
      </c>
      <c r="P31" s="17" t="s">
        <v>37</v>
      </c>
      <c r="Q31" s="3"/>
      <c r="R31" s="3" t="s">
        <v>38</v>
      </c>
      <c r="S31" s="13">
        <f>C42/1000</f>
        <v>85.391000000000005</v>
      </c>
      <c r="T31" s="15">
        <f>C43</f>
        <v>0.14546396242804738</v>
      </c>
    </row>
    <row r="32" spans="1:20">
      <c r="A32" s="5" t="s">
        <v>39</v>
      </c>
      <c r="B32" s="9">
        <v>0</v>
      </c>
      <c r="C32" s="9">
        <v>8950</v>
      </c>
      <c r="D32" s="9">
        <v>0</v>
      </c>
      <c r="E32" s="43">
        <v>48100</v>
      </c>
      <c r="F32" s="43">
        <v>200</v>
      </c>
      <c r="G32" s="43">
        <f>N32-SUM(H32:M32,B32:F32)</f>
        <v>151481</v>
      </c>
      <c r="H32" s="9">
        <v>0</v>
      </c>
      <c r="I32" s="9"/>
      <c r="J32" s="9"/>
      <c r="K32" s="9"/>
      <c r="L32" s="9"/>
      <c r="M32" s="41">
        <f>168376-6041</f>
        <v>162335</v>
      </c>
      <c r="N32" s="41">
        <f>369206+7901-6041</f>
        <v>371066</v>
      </c>
      <c r="O32" s="16">
        <f>N32/N$39</f>
        <v>0.64119396382650407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3714</v>
      </c>
      <c r="C33" s="9">
        <v>90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5180</v>
      </c>
      <c r="N33" s="9">
        <v>8984</v>
      </c>
      <c r="O33" s="16">
        <f>N33/N$39</f>
        <v>1.5524156271437729E-2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71832</v>
      </c>
      <c r="D34" s="9">
        <v>0</v>
      </c>
      <c r="E34" s="9">
        <v>0</v>
      </c>
      <c r="F34" s="9">
        <v>6260</v>
      </c>
      <c r="G34" s="9">
        <v>0</v>
      </c>
      <c r="H34" s="9">
        <v>0</v>
      </c>
      <c r="I34" s="9"/>
      <c r="J34" s="9"/>
      <c r="K34" s="9"/>
      <c r="L34" s="9"/>
      <c r="M34" s="9">
        <v>58</v>
      </c>
      <c r="N34" s="9">
        <v>78150</v>
      </c>
      <c r="O34" s="16">
        <f>N34/N$39</f>
        <v>0.13504149739680082</v>
      </c>
      <c r="P34" s="17" t="s">
        <v>45</v>
      </c>
      <c r="Q34" s="3"/>
      <c r="R34" s="3"/>
      <c r="S34" s="13">
        <f>SUM(S26:S33)</f>
        <v>587.02512000000002</v>
      </c>
      <c r="T34" s="14">
        <f>SUM(T26:T33)</f>
        <v>1</v>
      </c>
    </row>
    <row r="35" spans="1:47">
      <c r="A35" s="5" t="s">
        <v>46</v>
      </c>
      <c r="B35" s="9">
        <v>47</v>
      </c>
      <c r="C35" s="9">
        <v>239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18804</v>
      </c>
      <c r="N35" s="9">
        <v>19090</v>
      </c>
      <c r="O35" s="16">
        <f>N35/N$39</f>
        <v>3.2987104098591527E-2</v>
      </c>
      <c r="P35" s="17" t="s">
        <v>47</v>
      </c>
      <c r="Q35" s="17"/>
    </row>
    <row r="36" spans="1:47">
      <c r="A36" s="5" t="s">
        <v>48</v>
      </c>
      <c r="B36" s="9">
        <v>59</v>
      </c>
      <c r="C36" s="9">
        <v>633</v>
      </c>
      <c r="D36" s="9">
        <v>0</v>
      </c>
      <c r="E36" s="9">
        <v>0</v>
      </c>
      <c r="F36" s="9">
        <v>0</v>
      </c>
      <c r="G36" s="9">
        <v>26013</v>
      </c>
      <c r="H36" s="9">
        <v>0</v>
      </c>
      <c r="I36" s="9"/>
      <c r="J36" s="9"/>
      <c r="K36" s="9"/>
      <c r="L36" s="9"/>
      <c r="M36" s="9">
        <v>49522</v>
      </c>
      <c r="N36" s="9">
        <v>76227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8247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4645</v>
      </c>
      <c r="N37" s="9">
        <v>12892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4649</v>
      </c>
      <c r="N38" s="9">
        <v>4649</v>
      </c>
      <c r="O38" s="17">
        <f>SUM(O31:O35)</f>
        <v>0.83797266684061644</v>
      </c>
      <c r="P38" s="17"/>
      <c r="Q38" s="3"/>
      <c r="R38" s="7" t="s">
        <v>51</v>
      </c>
      <c r="S38" s="19">
        <f>N45/1000</f>
        <v>21.570119999999999</v>
      </c>
      <c r="T38" s="7"/>
    </row>
    <row r="39" spans="1:47">
      <c r="A39" s="5" t="s">
        <v>17</v>
      </c>
      <c r="B39" s="9">
        <v>12067</v>
      </c>
      <c r="C39" s="9">
        <v>84953</v>
      </c>
      <c r="D39" s="9">
        <v>0</v>
      </c>
      <c r="E39" s="43">
        <f>SUM(E31:E38)</f>
        <v>48100</v>
      </c>
      <c r="F39" s="43">
        <f>SUM(F31:F38)</f>
        <v>6808</v>
      </c>
      <c r="G39" s="43">
        <f>SUM(G31:G38)</f>
        <v>177494</v>
      </c>
      <c r="H39" s="9">
        <v>0</v>
      </c>
      <c r="I39" s="9"/>
      <c r="J39" s="9"/>
      <c r="K39" s="9"/>
      <c r="L39" s="9"/>
      <c r="M39" s="41">
        <f>SUM(M31:M38)</f>
        <v>249289</v>
      </c>
      <c r="N39" s="41">
        <f>576851+7901-6041</f>
        <v>578711</v>
      </c>
      <c r="O39" s="3"/>
      <c r="P39" s="3"/>
      <c r="Q39" s="3"/>
      <c r="R39" s="7" t="s">
        <v>52</v>
      </c>
      <c r="S39" s="20">
        <f>N41/1000</f>
        <v>93.768000000000001</v>
      </c>
      <c r="T39" s="14">
        <f>O41</f>
        <v>0.16202906113759719</v>
      </c>
    </row>
    <row r="40" spans="1:47">
      <c r="N40" s="10"/>
      <c r="R40" s="7" t="s">
        <v>53</v>
      </c>
      <c r="S40" s="20">
        <f>N35/1000</f>
        <v>19.09</v>
      </c>
      <c r="T40" s="15">
        <f>O35</f>
        <v>3.2987104098591527E-2</v>
      </c>
    </row>
    <row r="41" spans="1:47">
      <c r="A41" s="21" t="s">
        <v>54</v>
      </c>
      <c r="B41" s="22">
        <f>B38+B37+B36</f>
        <v>8306</v>
      </c>
      <c r="C41" s="22">
        <f t="shared" ref="C41:N41" si="0">C38+C37+C36</f>
        <v>633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26013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58816</v>
      </c>
      <c r="N41" s="22">
        <f t="shared" si="0"/>
        <v>93768</v>
      </c>
      <c r="O41" s="16">
        <f>N41/N$39</f>
        <v>0.16202906113759719</v>
      </c>
      <c r="P41" s="16" t="s">
        <v>55</v>
      </c>
      <c r="Q41" s="7"/>
      <c r="R41" s="7" t="s">
        <v>56</v>
      </c>
      <c r="S41" s="20">
        <f>N33/1000</f>
        <v>8.984</v>
      </c>
      <c r="T41" s="14">
        <f>O33</f>
        <v>1.5524156271437729E-2</v>
      </c>
    </row>
    <row r="42" spans="1:47">
      <c r="A42" s="23" t="s">
        <v>57</v>
      </c>
      <c r="B42" s="22"/>
      <c r="C42" s="24">
        <f>C39+C23+C10</f>
        <v>85391</v>
      </c>
      <c r="D42" s="24">
        <f t="shared" ref="D42:L42" si="1">D39+D23+D10</f>
        <v>0</v>
      </c>
      <c r="E42" s="24">
        <f t="shared" si="1"/>
        <v>48100</v>
      </c>
      <c r="F42" s="24">
        <f t="shared" si="1"/>
        <v>6808</v>
      </c>
      <c r="G42" s="24">
        <f t="shared" si="1"/>
        <v>177494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269232.12</v>
      </c>
      <c r="N42" s="25">
        <f>SUM(C42:M42)</f>
        <v>587025.12</v>
      </c>
      <c r="O42" s="7"/>
      <c r="P42" s="7"/>
      <c r="Q42" s="7"/>
      <c r="R42" s="7" t="s">
        <v>37</v>
      </c>
      <c r="S42" s="20">
        <f>N31/1000</f>
        <v>7.6539999999999999</v>
      </c>
      <c r="T42" s="14">
        <f>O31</f>
        <v>1.3225945247282322E-2</v>
      </c>
    </row>
    <row r="43" spans="1:47">
      <c r="A43" s="23" t="s">
        <v>58</v>
      </c>
      <c r="B43" s="22"/>
      <c r="C43" s="16">
        <f t="shared" ref="C43:M43" si="2">C42/$N42</f>
        <v>0.14546396242804738</v>
      </c>
      <c r="D43" s="16">
        <f t="shared" si="2"/>
        <v>0</v>
      </c>
      <c r="E43" s="16">
        <f t="shared" si="2"/>
        <v>8.1938571896207776E-2</v>
      </c>
      <c r="F43" s="16">
        <f t="shared" si="2"/>
        <v>1.1597459406847871E-2</v>
      </c>
      <c r="G43" s="16">
        <f t="shared" si="2"/>
        <v>0.30236184782007286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0.45863815844882411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371.06599999999997</v>
      </c>
      <c r="T43" s="15">
        <f>O32</f>
        <v>0.64119396382650407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78.150000000000006</v>
      </c>
      <c r="T44" s="15">
        <f>O34</f>
        <v>0.13504149739680082</v>
      </c>
    </row>
    <row r="45" spans="1:47">
      <c r="A45" s="6" t="s">
        <v>61</v>
      </c>
      <c r="B45" s="6">
        <f>B23-B39</f>
        <v>1627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19943.12</v>
      </c>
      <c r="N45" s="25">
        <f>B45+M45</f>
        <v>21570.12</v>
      </c>
      <c r="O45" s="7"/>
      <c r="P45" s="7"/>
      <c r="Q45" s="7"/>
      <c r="R45" s="7" t="s">
        <v>62</v>
      </c>
      <c r="S45" s="20">
        <f>SUM(S39:S44)</f>
        <v>578.71199999999999</v>
      </c>
      <c r="T45" s="14">
        <f>SUM(T39:T44)</f>
        <v>1.0000017279782136</v>
      </c>
    </row>
    <row r="46" spans="1:47">
      <c r="A46" s="6"/>
      <c r="B46" s="6"/>
      <c r="C46" s="6"/>
      <c r="D46" s="6"/>
      <c r="E46" s="6"/>
      <c r="F46" s="6"/>
      <c r="G46" s="6"/>
      <c r="H46" s="6"/>
      <c r="I46" s="42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85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10553</v>
      </c>
      <c r="C6" s="9">
        <v>0</v>
      </c>
      <c r="D6" s="9">
        <v>0</v>
      </c>
      <c r="E6" s="9">
        <v>0</v>
      </c>
      <c r="F6" s="9">
        <v>0</v>
      </c>
      <c r="G6" s="9">
        <v>12028</v>
      </c>
      <c r="H6" s="9">
        <v>0</v>
      </c>
      <c r="I6" s="9"/>
      <c r="J6" s="9"/>
      <c r="K6" s="9"/>
      <c r="L6" s="9"/>
      <c r="M6" s="9"/>
      <c r="N6" s="9">
        <v>12028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49441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14171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74165</v>
      </c>
      <c r="C10" s="9">
        <v>0</v>
      </c>
      <c r="D10" s="9">
        <v>0</v>
      </c>
      <c r="E10" s="9">
        <v>0</v>
      </c>
      <c r="F10" s="9">
        <v>0</v>
      </c>
      <c r="G10" s="9">
        <v>12028</v>
      </c>
      <c r="H10" s="9">
        <v>0</v>
      </c>
      <c r="I10" s="9"/>
      <c r="J10" s="9"/>
      <c r="K10" s="9"/>
      <c r="L10" s="9"/>
      <c r="M10" s="9"/>
      <c r="N10" s="9">
        <v>12028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91365+17000*0.8</f>
        <v>104965</v>
      </c>
      <c r="C17" s="9">
        <v>1194</v>
      </c>
      <c r="D17" s="9">
        <v>0</v>
      </c>
      <c r="E17" s="9">
        <v>0</v>
      </c>
      <c r="F17" s="9">
        <v>1221</v>
      </c>
      <c r="G17" s="9">
        <v>108070</v>
      </c>
      <c r="H17" s="9">
        <v>0</v>
      </c>
      <c r="I17" s="9"/>
      <c r="J17" s="9"/>
      <c r="K17" s="9"/>
      <c r="L17" s="9"/>
      <c r="M17" s="9"/>
      <c r="N17" s="9">
        <v>110485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7554+17000*0.2</f>
        <v>10954</v>
      </c>
      <c r="C18" s="9">
        <v>2358</v>
      </c>
      <c r="D18" s="9">
        <v>0</v>
      </c>
      <c r="E18" s="9">
        <v>0</v>
      </c>
      <c r="F18" s="9">
        <v>0</v>
      </c>
      <c r="G18" s="9">
        <v>8255</v>
      </c>
      <c r="H18" s="9">
        <v>0</v>
      </c>
      <c r="I18" s="9"/>
      <c r="J18" s="9"/>
      <c r="K18" s="9"/>
      <c r="L18" s="9"/>
      <c r="M18" s="9"/>
      <c r="N18" s="9">
        <v>10613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115919</v>
      </c>
      <c r="C23" s="9">
        <v>3552</v>
      </c>
      <c r="D23" s="9">
        <v>0</v>
      </c>
      <c r="E23" s="9">
        <v>0</v>
      </c>
      <c r="F23" s="9">
        <v>1221</v>
      </c>
      <c r="G23" s="9">
        <v>116325</v>
      </c>
      <c r="H23" s="9">
        <v>0</v>
      </c>
      <c r="I23" s="9"/>
      <c r="J23" s="9"/>
      <c r="K23" s="9"/>
      <c r="L23" s="9"/>
      <c r="M23" s="9"/>
      <c r="N23" s="9">
        <v>121098</v>
      </c>
      <c r="O23" s="3"/>
      <c r="P23" s="3"/>
      <c r="Q23" s="3"/>
      <c r="R23" s="3" t="s">
        <v>27</v>
      </c>
      <c r="S23" s="12">
        <f>N42/1000</f>
        <v>752.03863999999999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248.87164000000001</v>
      </c>
      <c r="T26" s="14">
        <f>M43</f>
        <v>0.33092932565273508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207.518</v>
      </c>
      <c r="T27" s="15">
        <f>G43</f>
        <v>0.27594060858362279</v>
      </c>
    </row>
    <row r="28" spans="1:20">
      <c r="A28" s="4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25.815000000000001</v>
      </c>
      <c r="T29" s="14">
        <f>F43</f>
        <v>3.4326693639039611E-2</v>
      </c>
    </row>
    <row r="30" spans="1:20">
      <c r="B30" s="10"/>
      <c r="C30" s="10"/>
      <c r="D30" s="10"/>
      <c r="F30" s="10"/>
      <c r="G30" s="10"/>
      <c r="H30" s="10"/>
      <c r="I30" s="10"/>
      <c r="J30" s="10"/>
      <c r="K30" s="87"/>
      <c r="L30" s="10"/>
      <c r="M30" s="10"/>
      <c r="N30" s="10"/>
      <c r="O30" s="3"/>
      <c r="P30" s="3"/>
      <c r="Q30" s="3"/>
      <c r="R30" s="3" t="s">
        <v>35</v>
      </c>
      <c r="S30" s="12">
        <f>E42/1000</f>
        <v>9.9350000000000005</v>
      </c>
      <c r="T30" s="14">
        <f>E43</f>
        <v>1.3210757362148306E-2</v>
      </c>
    </row>
    <row r="31" spans="1:20">
      <c r="A31" s="5" t="s">
        <v>36</v>
      </c>
      <c r="B31" s="9">
        <v>0</v>
      </c>
      <c r="C31" s="9">
        <v>9201</v>
      </c>
      <c r="D31" s="9">
        <v>0</v>
      </c>
      <c r="E31" s="9">
        <v>0</v>
      </c>
      <c r="F31" s="9">
        <v>704</v>
      </c>
      <c r="G31" s="9">
        <v>0</v>
      </c>
      <c r="H31" s="9">
        <v>0</v>
      </c>
      <c r="I31" s="9"/>
      <c r="J31" s="9"/>
      <c r="K31" s="9"/>
      <c r="L31" s="9"/>
      <c r="M31" s="9">
        <v>21432</v>
      </c>
      <c r="N31" s="9">
        <v>31337</v>
      </c>
      <c r="O31" s="16">
        <f>N31/N$39</f>
        <v>4.3474279879636576E-2</v>
      </c>
      <c r="P31" s="17" t="s">
        <v>37</v>
      </c>
      <c r="Q31" s="3"/>
      <c r="R31" s="3" t="s">
        <v>38</v>
      </c>
      <c r="S31" s="13">
        <f>C42/1000</f>
        <v>259.899</v>
      </c>
      <c r="T31" s="15">
        <f>C43</f>
        <v>0.34559261476245423</v>
      </c>
    </row>
    <row r="32" spans="1:20">
      <c r="A32" s="5" t="s">
        <v>39</v>
      </c>
      <c r="B32" s="9">
        <v>16513</v>
      </c>
      <c r="C32" s="9">
        <v>38610</v>
      </c>
      <c r="D32" s="9">
        <v>0</v>
      </c>
      <c r="E32" s="43">
        <f>N32-SUM(F32:M32,B32:D32)</f>
        <v>9935</v>
      </c>
      <c r="F32" s="43">
        <v>5800</v>
      </c>
      <c r="G32" s="9">
        <v>1963</v>
      </c>
      <c r="H32" s="9">
        <v>0</v>
      </c>
      <c r="I32" s="9"/>
      <c r="J32" s="9"/>
      <c r="K32" s="9"/>
      <c r="L32" s="9"/>
      <c r="M32" s="9">
        <v>27328</v>
      </c>
      <c r="N32" s="9">
        <v>100149</v>
      </c>
      <c r="O32" s="16">
        <f>N32/N$39</f>
        <v>0.13893817709626716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19870</v>
      </c>
      <c r="C33" s="9">
        <v>483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25696</v>
      </c>
      <c r="N33" s="9">
        <v>46048</v>
      </c>
      <c r="O33" s="16">
        <f>N33/N$39</f>
        <v>6.3883066020917936E-2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204981</v>
      </c>
      <c r="D34" s="9">
        <v>0</v>
      </c>
      <c r="E34" s="9">
        <v>0</v>
      </c>
      <c r="F34" s="9">
        <v>18090</v>
      </c>
      <c r="G34" s="9">
        <v>0</v>
      </c>
      <c r="H34" s="9">
        <v>0</v>
      </c>
      <c r="I34" s="9"/>
      <c r="J34" s="9"/>
      <c r="K34" s="9"/>
      <c r="L34" s="9"/>
      <c r="M34" s="9">
        <v>62</v>
      </c>
      <c r="N34" s="9">
        <v>223132</v>
      </c>
      <c r="O34" s="16">
        <f>N34/N$39</f>
        <v>0.30955429741529406</v>
      </c>
      <c r="P34" s="17" t="s">
        <v>45</v>
      </c>
      <c r="Q34" s="3"/>
      <c r="R34" s="3"/>
      <c r="S34" s="13">
        <f>SUM(S26:S33)</f>
        <v>752.03863999999999</v>
      </c>
      <c r="T34" s="14">
        <f>SUM(T26:T33)</f>
        <v>1</v>
      </c>
    </row>
    <row r="35" spans="1:47">
      <c r="A35" s="5" t="s">
        <v>46</v>
      </c>
      <c r="B35" s="9">
        <v>14071</v>
      </c>
      <c r="C35" s="9">
        <v>707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37464</v>
      </c>
      <c r="N35" s="9">
        <v>52242</v>
      </c>
      <c r="O35" s="16">
        <f>N35/N$39</f>
        <v>7.2476093099913014E-2</v>
      </c>
      <c r="P35" s="17" t="s">
        <v>47</v>
      </c>
      <c r="Q35" s="17"/>
    </row>
    <row r="36" spans="1:47">
      <c r="A36" s="5" t="s">
        <v>48</v>
      </c>
      <c r="B36" s="9">
        <v>12895</v>
      </c>
      <c r="C36" s="9">
        <v>2106</v>
      </c>
      <c r="D36" s="9">
        <v>0</v>
      </c>
      <c r="E36" s="9">
        <v>0</v>
      </c>
      <c r="F36" s="9">
        <v>0</v>
      </c>
      <c r="G36" s="9">
        <v>77202</v>
      </c>
      <c r="H36" s="9">
        <v>0</v>
      </c>
      <c r="I36" s="9"/>
      <c r="J36" s="9"/>
      <c r="K36" s="9"/>
      <c r="L36" s="9"/>
      <c r="M36" s="9">
        <v>105574</v>
      </c>
      <c r="N36" s="9">
        <v>197777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47219</v>
      </c>
      <c r="C37" s="9">
        <v>260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13447</v>
      </c>
      <c r="N37" s="9">
        <v>60925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9206</v>
      </c>
      <c r="N38" s="9">
        <v>9206</v>
      </c>
      <c r="O38" s="17">
        <f>SUM(O31:O35)</f>
        <v>0.62832591351202871</v>
      </c>
      <c r="P38" s="17"/>
      <c r="Q38" s="3"/>
      <c r="R38" s="7" t="s">
        <v>51</v>
      </c>
      <c r="S38" s="19">
        <f>N45/1000</f>
        <v>24.567640000000001</v>
      </c>
      <c r="T38" s="7"/>
    </row>
    <row r="39" spans="1:47">
      <c r="A39" s="5" t="s">
        <v>17</v>
      </c>
      <c r="B39" s="9">
        <v>110568</v>
      </c>
      <c r="C39" s="9">
        <v>256347</v>
      </c>
      <c r="D39" s="9">
        <v>0</v>
      </c>
      <c r="E39" s="43">
        <f>SUM(E31:E38)</f>
        <v>9935</v>
      </c>
      <c r="F39" s="43">
        <f>SUM(F31:F38)</f>
        <v>24594</v>
      </c>
      <c r="G39" s="9">
        <v>79165</v>
      </c>
      <c r="H39" s="9">
        <v>0</v>
      </c>
      <c r="I39" s="9"/>
      <c r="J39" s="9"/>
      <c r="K39" s="9"/>
      <c r="L39" s="9"/>
      <c r="M39" s="9">
        <v>240208</v>
      </c>
      <c r="N39" s="9">
        <v>720817</v>
      </c>
      <c r="O39" s="3"/>
      <c r="P39" s="3"/>
      <c r="Q39" s="3"/>
      <c r="R39" s="7" t="s">
        <v>52</v>
      </c>
      <c r="S39" s="20">
        <f>N41/1000</f>
        <v>267.90800000000002</v>
      </c>
      <c r="T39" s="14">
        <f>O41</f>
        <v>0.3716726991732992</v>
      </c>
    </row>
    <row r="40" spans="1:47">
      <c r="R40" s="7" t="s">
        <v>53</v>
      </c>
      <c r="S40" s="20">
        <f>N35/1000</f>
        <v>52.241999999999997</v>
      </c>
      <c r="T40" s="15">
        <f>O35</f>
        <v>7.2476093099913014E-2</v>
      </c>
    </row>
    <row r="41" spans="1:47">
      <c r="A41" s="21" t="s">
        <v>54</v>
      </c>
      <c r="B41" s="22">
        <f>B38+B37+B36</f>
        <v>60114</v>
      </c>
      <c r="C41" s="22">
        <f t="shared" ref="C41:N41" si="0">C38+C37+C36</f>
        <v>2366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77202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128227</v>
      </c>
      <c r="N41" s="22">
        <f t="shared" si="0"/>
        <v>267908</v>
      </c>
      <c r="O41" s="16">
        <f>N41/N$39</f>
        <v>0.3716726991732992</v>
      </c>
      <c r="P41" s="16" t="s">
        <v>55</v>
      </c>
      <c r="Q41" s="7"/>
      <c r="R41" s="7" t="s">
        <v>56</v>
      </c>
      <c r="S41" s="20">
        <f>N33/1000</f>
        <v>46.048000000000002</v>
      </c>
      <c r="T41" s="14">
        <f>O33</f>
        <v>6.3883066020917936E-2</v>
      </c>
    </row>
    <row r="42" spans="1:47">
      <c r="A42" s="23" t="s">
        <v>57</v>
      </c>
      <c r="B42" s="22"/>
      <c r="C42" s="24">
        <f>C39+C23+C10</f>
        <v>259899</v>
      </c>
      <c r="D42" s="24">
        <f t="shared" ref="D42:L42" si="1">D39+D23+D10</f>
        <v>0</v>
      </c>
      <c r="E42" s="24">
        <f t="shared" si="1"/>
        <v>9935</v>
      </c>
      <c r="F42" s="24">
        <f t="shared" si="1"/>
        <v>25815</v>
      </c>
      <c r="G42" s="24">
        <f t="shared" si="1"/>
        <v>207518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248871.64</v>
      </c>
      <c r="N42" s="25">
        <f>SUM(C42:M42)</f>
        <v>752038.64</v>
      </c>
      <c r="O42" s="7"/>
      <c r="P42" s="7"/>
      <c r="Q42" s="7"/>
      <c r="R42" s="7" t="s">
        <v>37</v>
      </c>
      <c r="S42" s="20">
        <f>N31/1000</f>
        <v>31.337</v>
      </c>
      <c r="T42" s="14">
        <f>O31</f>
        <v>4.3474279879636576E-2</v>
      </c>
    </row>
    <row r="43" spans="1:47">
      <c r="A43" s="23" t="s">
        <v>58</v>
      </c>
      <c r="B43" s="22"/>
      <c r="C43" s="16">
        <f t="shared" ref="C43:M43" si="2">C42/$N42</f>
        <v>0.34559261476245423</v>
      </c>
      <c r="D43" s="16">
        <f t="shared" si="2"/>
        <v>0</v>
      </c>
      <c r="E43" s="16">
        <f t="shared" si="2"/>
        <v>1.3210757362148306E-2</v>
      </c>
      <c r="F43" s="16">
        <f t="shared" si="2"/>
        <v>3.4326693639039611E-2</v>
      </c>
      <c r="G43" s="16">
        <f t="shared" si="2"/>
        <v>0.27594060858362279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0.33092932565273508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100.149</v>
      </c>
      <c r="T43" s="15">
        <f>O32</f>
        <v>0.13893817709626716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223.13200000000001</v>
      </c>
      <c r="T44" s="15">
        <f>O34</f>
        <v>0.30955429741529406</v>
      </c>
    </row>
    <row r="45" spans="1:47">
      <c r="A45" s="6" t="s">
        <v>61</v>
      </c>
      <c r="B45" s="6">
        <f>B23-B39</f>
        <v>5351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19216.64</v>
      </c>
      <c r="N45" s="25">
        <f>B45+M45</f>
        <v>24567.64</v>
      </c>
      <c r="O45" s="7"/>
      <c r="P45" s="7"/>
      <c r="Q45" s="7"/>
      <c r="R45" s="7" t="s">
        <v>62</v>
      </c>
      <c r="S45" s="20">
        <f>SUM(S39:S44)</f>
        <v>720.81600000000003</v>
      </c>
      <c r="T45" s="14">
        <f>SUM(T39:T44)</f>
        <v>0.99999861268532797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86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46817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46817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41334</v>
      </c>
      <c r="C18" s="9">
        <v>2478</v>
      </c>
      <c r="D18" s="41">
        <v>0</v>
      </c>
      <c r="E18" s="9">
        <v>0</v>
      </c>
      <c r="F18" s="9">
        <v>0</v>
      </c>
      <c r="G18" s="95">
        <f>25208+22260</f>
        <v>47468</v>
      </c>
      <c r="H18" s="9">
        <v>0</v>
      </c>
      <c r="I18" s="9"/>
      <c r="J18" s="9"/>
      <c r="K18" s="9"/>
      <c r="L18" s="9"/>
      <c r="M18" s="9"/>
      <c r="N18" s="9">
        <v>49946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428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41762</v>
      </c>
      <c r="C23" s="9">
        <v>2478</v>
      </c>
      <c r="D23" s="95">
        <f>SUM(D17:D22)</f>
        <v>0</v>
      </c>
      <c r="E23" s="9">
        <v>0</v>
      </c>
      <c r="F23" s="9">
        <v>0</v>
      </c>
      <c r="G23" s="95">
        <f>SUM(G17:G22)</f>
        <v>47468</v>
      </c>
      <c r="H23" s="9">
        <v>0</v>
      </c>
      <c r="I23" s="9"/>
      <c r="J23" s="9"/>
      <c r="K23" s="9"/>
      <c r="L23" s="9"/>
      <c r="M23" s="9"/>
      <c r="N23" s="9">
        <v>49946</v>
      </c>
      <c r="O23" s="3"/>
      <c r="P23" s="3"/>
      <c r="Q23" s="3"/>
      <c r="R23" s="3" t="s">
        <v>27</v>
      </c>
      <c r="S23" s="12">
        <f>N42/1000</f>
        <v>272.25383999999997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107.18783999999999</v>
      </c>
      <c r="T26" s="14">
        <f>M43</f>
        <v>0.39370552128851521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83.230999999999995</v>
      </c>
      <c r="T27" s="15">
        <f>G43</f>
        <v>0.30571102321274884</v>
      </c>
    </row>
    <row r="28" spans="1:20">
      <c r="A28" s="4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6.1050000000000004</v>
      </c>
      <c r="T29" s="14">
        <f>F43</f>
        <v>2.2423926141868195E-2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1.3560000000000001</v>
      </c>
      <c r="T30" s="14">
        <f>E43</f>
        <v>4.9806460030095449E-3</v>
      </c>
    </row>
    <row r="31" spans="1:20">
      <c r="A31" s="5" t="s">
        <v>36</v>
      </c>
      <c r="B31" s="9">
        <v>0</v>
      </c>
      <c r="C31" s="9">
        <v>2618</v>
      </c>
      <c r="D31" s="9">
        <v>0</v>
      </c>
      <c r="E31" s="9">
        <v>0</v>
      </c>
      <c r="F31" s="9">
        <v>277</v>
      </c>
      <c r="G31" s="9">
        <v>0</v>
      </c>
      <c r="H31" s="9">
        <v>0</v>
      </c>
      <c r="I31" s="9"/>
      <c r="J31" s="9"/>
      <c r="K31" s="9"/>
      <c r="L31" s="9"/>
      <c r="M31" s="9">
        <v>11626</v>
      </c>
      <c r="N31" s="9">
        <v>14522</v>
      </c>
      <c r="O31" s="16">
        <f>N31/N$39</f>
        <v>5.7118358741995875E-2</v>
      </c>
      <c r="P31" s="17" t="s">
        <v>37</v>
      </c>
      <c r="Q31" s="3"/>
      <c r="R31" s="3" t="s">
        <v>38</v>
      </c>
      <c r="S31" s="13">
        <f>C42/1000</f>
        <v>74.373999999999995</v>
      </c>
      <c r="T31" s="15">
        <f>C43</f>
        <v>0.27317888335385831</v>
      </c>
    </row>
    <row r="32" spans="1:20">
      <c r="A32" s="5" t="s">
        <v>39</v>
      </c>
      <c r="B32" s="9">
        <v>13947</v>
      </c>
      <c r="C32" s="9">
        <v>7087</v>
      </c>
      <c r="D32" s="9">
        <v>0</v>
      </c>
      <c r="E32" s="43">
        <f>N32-SUM(F32:M32,B32:D32)</f>
        <v>1356</v>
      </c>
      <c r="F32" s="43">
        <v>267</v>
      </c>
      <c r="G32" s="43">
        <v>0</v>
      </c>
      <c r="H32" s="9">
        <v>0</v>
      </c>
      <c r="I32" s="9"/>
      <c r="J32" s="9"/>
      <c r="K32" s="9"/>
      <c r="L32" s="9"/>
      <c r="M32" s="9">
        <v>15503</v>
      </c>
      <c r="N32" s="9">
        <v>38160</v>
      </c>
      <c r="O32" s="16">
        <f>N32/N$39</f>
        <v>0.15009203757020814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6611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11420</v>
      </c>
      <c r="N33" s="9">
        <v>18031</v>
      </c>
      <c r="O33" s="16">
        <f>N33/N$39</f>
        <v>7.0920061043721783E-2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60324</v>
      </c>
      <c r="D34" s="9">
        <v>0</v>
      </c>
      <c r="E34" s="9">
        <v>0</v>
      </c>
      <c r="F34" s="9">
        <v>5561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65885</v>
      </c>
      <c r="O34" s="16">
        <f>N34/N$39</f>
        <v>0.25914082534887745</v>
      </c>
      <c r="P34" s="17" t="s">
        <v>45</v>
      </c>
      <c r="Q34" s="3"/>
      <c r="R34" s="3"/>
      <c r="S34" s="13">
        <f>SUM(S26:S33)</f>
        <v>272.25383999999997</v>
      </c>
      <c r="T34" s="14">
        <f>SUM(T26:T33)</f>
        <v>1</v>
      </c>
    </row>
    <row r="35" spans="1:47">
      <c r="A35" s="5" t="s">
        <v>46</v>
      </c>
      <c r="B35" s="9">
        <v>6294</v>
      </c>
      <c r="C35" s="9">
        <v>1427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15233</v>
      </c>
      <c r="N35" s="9">
        <v>22954</v>
      </c>
      <c r="O35" s="16">
        <f>N35/N$39</f>
        <v>9.028334985289721E-2</v>
      </c>
      <c r="P35" s="17" t="s">
        <v>47</v>
      </c>
      <c r="Q35" s="17"/>
    </row>
    <row r="36" spans="1:47">
      <c r="A36" s="5" t="s">
        <v>48</v>
      </c>
      <c r="B36" s="9">
        <v>5906</v>
      </c>
      <c r="C36" s="9">
        <v>360</v>
      </c>
      <c r="D36" s="9">
        <v>0</v>
      </c>
      <c r="E36" s="9">
        <v>0</v>
      </c>
      <c r="F36" s="9">
        <v>0</v>
      </c>
      <c r="G36" s="9">
        <v>35763</v>
      </c>
      <c r="H36" s="9">
        <v>0</v>
      </c>
      <c r="I36" s="9"/>
      <c r="J36" s="9"/>
      <c r="K36" s="9"/>
      <c r="L36" s="9"/>
      <c r="M36" s="9">
        <v>36215</v>
      </c>
      <c r="N36" s="9">
        <v>78243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7119</v>
      </c>
      <c r="C37" s="9">
        <v>80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3865</v>
      </c>
      <c r="N37" s="9">
        <v>11063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5386</v>
      </c>
      <c r="N38" s="9">
        <v>5386</v>
      </c>
      <c r="O38" s="17">
        <f>SUM(O31:O35)</f>
        <v>0.62755463255770039</v>
      </c>
      <c r="P38" s="17"/>
      <c r="Q38" s="3"/>
      <c r="R38" s="7" t="s">
        <v>51</v>
      </c>
      <c r="S38" s="19">
        <f>N45/1000</f>
        <v>9.82484</v>
      </c>
      <c r="T38" s="7"/>
    </row>
    <row r="39" spans="1:47">
      <c r="A39" s="5" t="s">
        <v>17</v>
      </c>
      <c r="B39" s="9">
        <v>39877</v>
      </c>
      <c r="C39" s="9">
        <v>71896</v>
      </c>
      <c r="D39" s="9">
        <v>0</v>
      </c>
      <c r="E39" s="43">
        <f>SUM(E31:E38)</f>
        <v>1356</v>
      </c>
      <c r="F39" s="43">
        <f>SUM(F31:F38)</f>
        <v>6105</v>
      </c>
      <c r="G39" s="43">
        <f>SUM(G31:G38)</f>
        <v>35763</v>
      </c>
      <c r="H39" s="9">
        <v>0</v>
      </c>
      <c r="I39" s="9"/>
      <c r="J39" s="9"/>
      <c r="K39" s="9"/>
      <c r="L39" s="9"/>
      <c r="M39" s="9">
        <v>99248</v>
      </c>
      <c r="N39" s="9">
        <v>254244</v>
      </c>
      <c r="O39" s="3"/>
      <c r="P39" s="3"/>
      <c r="Q39" s="3"/>
      <c r="R39" s="7" t="s">
        <v>52</v>
      </c>
      <c r="S39" s="20">
        <f>N41/1000</f>
        <v>94.691999999999993</v>
      </c>
      <c r="T39" s="14">
        <f>O41</f>
        <v>0.3724453674422995</v>
      </c>
    </row>
    <row r="40" spans="1:47">
      <c r="R40" s="7" t="s">
        <v>53</v>
      </c>
      <c r="S40" s="20">
        <f>N35/1000</f>
        <v>22.954000000000001</v>
      </c>
      <c r="T40" s="15">
        <f>O35</f>
        <v>9.028334985289721E-2</v>
      </c>
    </row>
    <row r="41" spans="1:47">
      <c r="A41" s="21" t="s">
        <v>54</v>
      </c>
      <c r="B41" s="22">
        <f>B38+B37+B36</f>
        <v>13025</v>
      </c>
      <c r="C41" s="22">
        <f t="shared" ref="C41:N41" si="0">C38+C37+C36</f>
        <v>440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35763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45466</v>
      </c>
      <c r="N41" s="22">
        <f t="shared" si="0"/>
        <v>94692</v>
      </c>
      <c r="O41" s="16">
        <f>N41/N$39</f>
        <v>0.3724453674422995</v>
      </c>
      <c r="P41" s="16" t="s">
        <v>55</v>
      </c>
      <c r="Q41" s="7"/>
      <c r="R41" s="7" t="s">
        <v>56</v>
      </c>
      <c r="S41" s="20">
        <f>N33/1000</f>
        <v>18.030999999999999</v>
      </c>
      <c r="T41" s="14">
        <f>O33</f>
        <v>7.0920061043721783E-2</v>
      </c>
    </row>
    <row r="42" spans="1:47">
      <c r="A42" s="23" t="s">
        <v>57</v>
      </c>
      <c r="B42" s="22"/>
      <c r="C42" s="24">
        <f>C39+C23+C10</f>
        <v>74374</v>
      </c>
      <c r="D42" s="24">
        <f t="shared" ref="D42:L42" si="1">D39+D23+D10</f>
        <v>0</v>
      </c>
      <c r="E42" s="24">
        <f t="shared" si="1"/>
        <v>1356</v>
      </c>
      <c r="F42" s="24">
        <f t="shared" si="1"/>
        <v>6105</v>
      </c>
      <c r="G42" s="24">
        <f t="shared" si="1"/>
        <v>83231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107187.84</v>
      </c>
      <c r="N42" s="25">
        <f>SUM(C42:M42)</f>
        <v>272253.83999999997</v>
      </c>
      <c r="O42" s="7"/>
      <c r="P42" s="7"/>
      <c r="Q42" s="7"/>
      <c r="R42" s="7" t="s">
        <v>37</v>
      </c>
      <c r="S42" s="20">
        <f>N31/1000</f>
        <v>14.522</v>
      </c>
      <c r="T42" s="14">
        <f>O31</f>
        <v>5.7118358741995875E-2</v>
      </c>
    </row>
    <row r="43" spans="1:47">
      <c r="A43" s="23" t="s">
        <v>58</v>
      </c>
      <c r="B43" s="22"/>
      <c r="C43" s="16">
        <f t="shared" ref="C43:M43" si="2">C42/$N42</f>
        <v>0.27317888335385831</v>
      </c>
      <c r="D43" s="16">
        <f t="shared" si="2"/>
        <v>0</v>
      </c>
      <c r="E43" s="16">
        <f t="shared" si="2"/>
        <v>4.9806460030095449E-3</v>
      </c>
      <c r="F43" s="16">
        <f t="shared" si="2"/>
        <v>2.2423926141868195E-2</v>
      </c>
      <c r="G43" s="16">
        <f t="shared" si="2"/>
        <v>0.30571102321274884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0.39370552128851521</v>
      </c>
      <c r="N43" s="16">
        <f>SUM(C43:M43)</f>
        <v>1.0000000000000002</v>
      </c>
      <c r="O43" s="7"/>
      <c r="P43" s="7"/>
      <c r="Q43" s="7"/>
      <c r="R43" s="7" t="s">
        <v>59</v>
      </c>
      <c r="S43" s="20">
        <f>N32/1000</f>
        <v>38.159999999999997</v>
      </c>
      <c r="T43" s="15">
        <f>O32</f>
        <v>0.15009203757020814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65.885000000000005</v>
      </c>
      <c r="T44" s="15">
        <f>O34</f>
        <v>0.25914082534887745</v>
      </c>
    </row>
    <row r="45" spans="1:47">
      <c r="A45" s="6" t="s">
        <v>61</v>
      </c>
      <c r="B45" s="6">
        <f>B23-B39</f>
        <v>1885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7939.84</v>
      </c>
      <c r="N45" s="25">
        <f>B45+M45</f>
        <v>9824.84</v>
      </c>
      <c r="O45" s="7"/>
      <c r="P45" s="7"/>
      <c r="Q45" s="7"/>
      <c r="R45" s="7" t="s">
        <v>62</v>
      </c>
      <c r="S45" s="20">
        <f>SUM(S39:S44)</f>
        <v>254.24399999999997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2" width="8.83203125" style="2"/>
    <col min="13" max="13" width="15.1640625" style="2" bestFit="1" customWidth="1"/>
    <col min="14" max="14" width="10.164062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87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43">
        <v>510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v>510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4">
        <f>26087+1929</f>
        <v>28016</v>
      </c>
      <c r="C18" s="44">
        <v>707</v>
      </c>
      <c r="D18" s="9">
        <v>0</v>
      </c>
      <c r="E18" s="9">
        <v>0</v>
      </c>
      <c r="F18" s="9">
        <v>0</v>
      </c>
      <c r="G18" s="43">
        <v>27228</v>
      </c>
      <c r="H18" s="9">
        <v>0</v>
      </c>
      <c r="I18" s="9"/>
      <c r="J18" s="9"/>
      <c r="K18" s="9"/>
      <c r="L18" s="9"/>
      <c r="M18" s="9"/>
      <c r="N18" s="44">
        <f>SUM(C18:M18)</f>
        <v>27935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44">
        <v>488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1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4">
        <f>SUM(B17:B22)</f>
        <v>28504</v>
      </c>
      <c r="C23" s="45">
        <f>SUM(C17:C22)</f>
        <v>707</v>
      </c>
      <c r="D23" s="9">
        <v>0</v>
      </c>
      <c r="E23" s="9">
        <v>0</v>
      </c>
      <c r="F23" s="9">
        <v>0</v>
      </c>
      <c r="G23" s="43">
        <f>SUM(G17:G22)</f>
        <v>27228</v>
      </c>
      <c r="H23" s="9">
        <v>0</v>
      </c>
      <c r="I23" s="9"/>
      <c r="J23" s="9"/>
      <c r="K23" s="9"/>
      <c r="L23" s="9"/>
      <c r="M23" s="9"/>
      <c r="N23" s="44">
        <f>SUM(C23:M23)</f>
        <v>27935</v>
      </c>
      <c r="O23" s="3"/>
      <c r="P23" s="3"/>
      <c r="Q23" s="3"/>
      <c r="R23" s="3" t="s">
        <v>27</v>
      </c>
      <c r="S23" s="12">
        <f>N42/1000</f>
        <v>257.52728000000002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92"/>
      <c r="L26" s="92"/>
      <c r="M26" s="92"/>
      <c r="N26" s="7"/>
      <c r="O26" s="7"/>
      <c r="P26" s="7"/>
      <c r="Q26" s="3"/>
      <c r="R26" s="3" t="s">
        <v>11</v>
      </c>
      <c r="S26" s="13">
        <f>M42/1000</f>
        <v>134.26128</v>
      </c>
      <c r="T26" s="14">
        <f>M43</f>
        <v>0.52134779662954545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7"/>
      <c r="O27" s="7"/>
      <c r="P27" s="7"/>
      <c r="Q27" s="3"/>
      <c r="R27" s="3" t="s">
        <v>33</v>
      </c>
      <c r="S27" s="13">
        <f>G42/1000</f>
        <v>65.914000000000001</v>
      </c>
      <c r="T27" s="15">
        <f>G43</f>
        <v>0.25594958328298267</v>
      </c>
    </row>
    <row r="28" spans="1:20">
      <c r="A28" s="4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92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4.282</v>
      </c>
      <c r="T29" s="14">
        <f>F43</f>
        <v>1.6627364681520342E-2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8"/>
      <c r="O30" s="3"/>
      <c r="P30" s="3"/>
      <c r="Q30" s="3"/>
      <c r="R30" s="3" t="s">
        <v>35</v>
      </c>
      <c r="S30" s="12">
        <f>E42/1000</f>
        <v>1.028</v>
      </c>
      <c r="T30" s="14">
        <f>E43</f>
        <v>3.9918101103696667E-3</v>
      </c>
    </row>
    <row r="31" spans="1:20">
      <c r="A31" s="5" t="s">
        <v>36</v>
      </c>
      <c r="B31" s="9">
        <v>0</v>
      </c>
      <c r="C31" s="9">
        <v>8748</v>
      </c>
      <c r="D31" s="9">
        <v>0</v>
      </c>
      <c r="E31" s="9">
        <v>0</v>
      </c>
      <c r="F31" s="43">
        <f>F39-F34-F32</f>
        <v>943.17299669974454</v>
      </c>
      <c r="G31" s="9">
        <v>0</v>
      </c>
      <c r="H31" s="9">
        <v>0</v>
      </c>
      <c r="I31" s="9"/>
      <c r="J31" s="9"/>
      <c r="K31" s="9"/>
      <c r="L31" s="9"/>
      <c r="M31" s="43">
        <f>(M39-M36)*10787/(1400+2975+10492+7+8377+10787+57773)</f>
        <v>11053.587914302208</v>
      </c>
      <c r="N31" s="43">
        <f>SUM(B31:M31)</f>
        <v>20744.760911001955</v>
      </c>
      <c r="O31" s="16">
        <f>N31/N$39</f>
        <v>8.5715422801523666E-2</v>
      </c>
      <c r="P31" s="17" t="s">
        <v>37</v>
      </c>
      <c r="Q31" s="3"/>
      <c r="R31" s="3" t="s">
        <v>38</v>
      </c>
      <c r="S31" s="13">
        <f>C42/1000</f>
        <v>52.042000000000002</v>
      </c>
      <c r="T31" s="15">
        <f>C43</f>
        <v>0.20208344529558189</v>
      </c>
    </row>
    <row r="32" spans="1:20">
      <c r="A32" s="5" t="s">
        <v>39</v>
      </c>
      <c r="B32" s="44">
        <f>9986*1510/(1510+5800+3150)</f>
        <v>1441.5736137667304</v>
      </c>
      <c r="C32" s="9">
        <v>9971</v>
      </c>
      <c r="D32" s="9">
        <v>0</v>
      </c>
      <c r="E32" s="43">
        <f>E39</f>
        <v>1028</v>
      </c>
      <c r="F32" s="9">
        <v>768</v>
      </c>
      <c r="G32" s="9">
        <v>886</v>
      </c>
      <c r="H32" s="9">
        <v>0</v>
      </c>
      <c r="I32" s="9"/>
      <c r="J32" s="9"/>
      <c r="K32" s="9"/>
      <c r="L32" s="9"/>
      <c r="M32" s="43">
        <f>(M39-M36)*57773/(1400+2975+10492+7+8377+10787+57773)</f>
        <v>59200.79119059808</v>
      </c>
      <c r="N32" s="41">
        <f>SUM(B32:M32)</f>
        <v>73295.364804364814</v>
      </c>
      <c r="O32" s="16">
        <f>N32/N$39</f>
        <v>0.30284963083214467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4">
        <f>9986*5800/(1510+5800+3150)</f>
        <v>5537.1701720841302</v>
      </c>
      <c r="C33" s="9">
        <v>72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43">
        <f>(M39-M36)*8377/(1400+2975+10492+7+8377+10787+57773)</f>
        <v>8584.0276219625102</v>
      </c>
      <c r="N33" s="43">
        <f>SUM(B33:M33)</f>
        <v>14193.19779404664</v>
      </c>
      <c r="O33" s="16">
        <f>N33/N$39</f>
        <v>5.864497330394159E-2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32120</v>
      </c>
      <c r="D34" s="9">
        <v>0</v>
      </c>
      <c r="E34" s="9">
        <v>0</v>
      </c>
      <c r="F34" s="43">
        <f>N34-M34-C34</f>
        <v>2570.8270033002555</v>
      </c>
      <c r="G34" s="9">
        <v>0</v>
      </c>
      <c r="H34" s="9">
        <v>0</v>
      </c>
      <c r="I34" s="9"/>
      <c r="J34" s="9"/>
      <c r="K34" s="9"/>
      <c r="L34" s="9"/>
      <c r="M34" s="43">
        <f>(M39-M36)*7/(1400+2975+10492+7+8377+10787+57773)</f>
        <v>7.1729966997418613</v>
      </c>
      <c r="N34" s="89">
        <v>34698</v>
      </c>
      <c r="O34" s="16">
        <f>N34/N$39</f>
        <v>0.14336890905259506</v>
      </c>
      <c r="P34" s="17" t="s">
        <v>45</v>
      </c>
      <c r="Q34" s="3"/>
      <c r="R34" s="3"/>
      <c r="S34" s="13">
        <f>SUM(S26:S33)</f>
        <v>257.52728000000002</v>
      </c>
      <c r="T34" s="14">
        <f>SUM(T26:T33)</f>
        <v>1</v>
      </c>
    </row>
    <row r="35" spans="1:47">
      <c r="A35" s="5" t="s">
        <v>46</v>
      </c>
      <c r="B35" s="43">
        <f>9986*3150/(1510+5800+3150)</f>
        <v>3007.2562141491394</v>
      </c>
      <c r="C35" s="9">
        <v>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43">
        <f>(M39-M36)*10492/(1400+2975+10492+7+8377+10787+57773)</f>
        <v>10751.297339098801</v>
      </c>
      <c r="N35" s="43">
        <f>SUM(B35:M35)</f>
        <v>13783.553553247941</v>
      </c>
      <c r="O35" s="16">
        <f>N35/N$39</f>
        <v>5.6952361398270139E-2</v>
      </c>
      <c r="P35" s="17" t="s">
        <v>47</v>
      </c>
      <c r="Q35" s="17"/>
    </row>
    <row r="36" spans="1:47">
      <c r="A36" s="5" t="s">
        <v>48</v>
      </c>
      <c r="B36" s="44">
        <f>12386-9386</f>
        <v>3000</v>
      </c>
      <c r="C36" s="9">
        <v>361</v>
      </c>
      <c r="D36" s="9">
        <v>0</v>
      </c>
      <c r="E36" s="9">
        <v>0</v>
      </c>
      <c r="F36" s="9">
        <v>0</v>
      </c>
      <c r="G36" s="43">
        <v>37800</v>
      </c>
      <c r="H36" s="9">
        <v>0</v>
      </c>
      <c r="I36" s="9"/>
      <c r="J36" s="9"/>
      <c r="K36" s="9"/>
      <c r="L36" s="9"/>
      <c r="M36" s="43">
        <f>N36-G36-C36-B36</f>
        <v>30236</v>
      </c>
      <c r="N36" s="89">
        <f>71397</f>
        <v>71397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4">
        <v>9386</v>
      </c>
      <c r="C37" s="9">
        <v>40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43">
        <f>(M39-M36)*2975/(1400+2975+10492+7+8377+10787+57773)</f>
        <v>3048.5235973902909</v>
      </c>
      <c r="N37" s="43">
        <f>SUM(B37:M37)</f>
        <v>12474.523597390291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43">
        <f>(M39-M36)*1400/(1400+2975+10492+7+8377+10787+57773)</f>
        <v>1434.5993399483723</v>
      </c>
      <c r="N38" s="43">
        <f>SUM(B38:M38)</f>
        <v>1434.5993399483723</v>
      </c>
      <c r="O38" s="17">
        <f>SUM(O31:O35)</f>
        <v>0.64753129738847504</v>
      </c>
      <c r="P38" s="17"/>
      <c r="Q38" s="3"/>
      <c r="R38" s="7" t="s">
        <v>51</v>
      </c>
      <c r="S38" s="19">
        <f>N45/1000</f>
        <v>16.077280000000002</v>
      </c>
      <c r="T38" s="7"/>
    </row>
    <row r="39" spans="1:47">
      <c r="A39" s="5" t="s">
        <v>17</v>
      </c>
      <c r="B39" s="40">
        <f>SUM(B31:B38)</f>
        <v>22372</v>
      </c>
      <c r="C39" s="9">
        <v>51335</v>
      </c>
      <c r="D39" s="9">
        <v>0</v>
      </c>
      <c r="E39" s="43">
        <f>N39-SUM(F39:M39,B39:C39)</f>
        <v>1028</v>
      </c>
      <c r="F39" s="9">
        <v>4282</v>
      </c>
      <c r="G39" s="43">
        <f>SUM(G31:G38)</f>
        <v>38686</v>
      </c>
      <c r="H39" s="9">
        <v>0</v>
      </c>
      <c r="I39" s="9"/>
      <c r="J39" s="9"/>
      <c r="K39" s="9"/>
      <c r="L39" s="9"/>
      <c r="M39" s="9">
        <v>124316</v>
      </c>
      <c r="N39" s="41">
        <f>243097-23450+B39</f>
        <v>242019</v>
      </c>
      <c r="O39" s="3"/>
      <c r="P39" s="3"/>
      <c r="Q39" s="3"/>
      <c r="R39" s="7" t="s">
        <v>52</v>
      </c>
      <c r="S39" s="20">
        <f>N41/1000</f>
        <v>85.306122937338657</v>
      </c>
      <c r="T39" s="14">
        <f>O41</f>
        <v>0.35247696642552301</v>
      </c>
    </row>
    <row r="40" spans="1:47">
      <c r="B40" s="10"/>
      <c r="C40" s="10"/>
      <c r="F40" s="10"/>
      <c r="I40" s="10"/>
      <c r="L40" s="10"/>
      <c r="M40" s="10"/>
      <c r="N40" s="10"/>
      <c r="O40" s="10"/>
      <c r="R40" s="7" t="s">
        <v>53</v>
      </c>
      <c r="S40" s="20">
        <f>N35/1000</f>
        <v>13.783553553247941</v>
      </c>
      <c r="T40" s="15">
        <f>O35</f>
        <v>5.6952361398270139E-2</v>
      </c>
    </row>
    <row r="41" spans="1:47">
      <c r="A41" s="21" t="s">
        <v>54</v>
      </c>
      <c r="B41" s="22">
        <f>B38+B37+B36</f>
        <v>12386</v>
      </c>
      <c r="C41" s="22">
        <f t="shared" ref="C41:N41" si="0">C38+C37+C36</f>
        <v>401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37800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34719.12293733866</v>
      </c>
      <c r="N41" s="22">
        <f t="shared" si="0"/>
        <v>85306.12293733866</v>
      </c>
      <c r="O41" s="16">
        <f>N41/N$39</f>
        <v>0.35247696642552301</v>
      </c>
      <c r="P41" s="16" t="s">
        <v>55</v>
      </c>
      <c r="Q41" s="7"/>
      <c r="R41" s="7" t="s">
        <v>56</v>
      </c>
      <c r="S41" s="20">
        <f>N33/1000</f>
        <v>14.19319779404664</v>
      </c>
      <c r="T41" s="14">
        <f>O33</f>
        <v>5.864497330394159E-2</v>
      </c>
    </row>
    <row r="42" spans="1:47">
      <c r="A42" s="23" t="s">
        <v>57</v>
      </c>
      <c r="B42" s="22"/>
      <c r="C42" s="24">
        <f>C39+C23+C10</f>
        <v>52042</v>
      </c>
      <c r="D42" s="24">
        <f t="shared" ref="D42:L42" si="1">D39+D23+D10</f>
        <v>0</v>
      </c>
      <c r="E42" s="24">
        <f t="shared" si="1"/>
        <v>1028</v>
      </c>
      <c r="F42" s="24">
        <f t="shared" si="1"/>
        <v>4282</v>
      </c>
      <c r="G42" s="24">
        <f t="shared" si="1"/>
        <v>65914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134261.28</v>
      </c>
      <c r="N42" s="25">
        <f>SUM(C42:M42)</f>
        <v>257527.28</v>
      </c>
      <c r="O42" s="7"/>
      <c r="P42" s="7"/>
      <c r="Q42" s="7"/>
      <c r="R42" s="7" t="s">
        <v>37</v>
      </c>
      <c r="S42" s="20">
        <f>N31/1000</f>
        <v>20.744760911001954</v>
      </c>
      <c r="T42" s="14">
        <f>O31</f>
        <v>8.5715422801523666E-2</v>
      </c>
    </row>
    <row r="43" spans="1:47">
      <c r="A43" s="23" t="s">
        <v>58</v>
      </c>
      <c r="B43" s="22"/>
      <c r="C43" s="16">
        <f t="shared" ref="C43:M43" si="2">C42/$N42</f>
        <v>0.20208344529558189</v>
      </c>
      <c r="D43" s="16">
        <f t="shared" si="2"/>
        <v>0</v>
      </c>
      <c r="E43" s="16">
        <f t="shared" si="2"/>
        <v>3.9918101103696667E-3</v>
      </c>
      <c r="F43" s="16">
        <f t="shared" si="2"/>
        <v>1.6627364681520342E-2</v>
      </c>
      <c r="G43" s="16">
        <f t="shared" si="2"/>
        <v>0.25594958328298267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0.52134779662954545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73.295364804364809</v>
      </c>
      <c r="T43" s="15">
        <f>O32</f>
        <v>0.30284963083214467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34.698</v>
      </c>
      <c r="T44" s="15">
        <f>O34</f>
        <v>0.14336890905259506</v>
      </c>
    </row>
    <row r="45" spans="1:47">
      <c r="A45" s="6" t="s">
        <v>61</v>
      </c>
      <c r="B45" s="6">
        <f>B23-B39</f>
        <v>6132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9945.2800000000007</v>
      </c>
      <c r="N45" s="25">
        <f>B45+M45</f>
        <v>16077.28</v>
      </c>
      <c r="O45" s="7"/>
      <c r="P45" s="7"/>
      <c r="Q45" s="7"/>
      <c r="R45" s="7" t="s">
        <v>62</v>
      </c>
      <c r="S45" s="20">
        <f>SUM(S39:S44)</f>
        <v>242.02099999999999</v>
      </c>
      <c r="T45" s="14">
        <f>SUM(T39:T44)</f>
        <v>1.0000082638139982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8"/>
      <c r="H47" s="27"/>
      <c r="I47" s="27"/>
      <c r="J47" s="27"/>
      <c r="K47" s="27"/>
      <c r="L47" s="27"/>
      <c r="M47" s="27"/>
      <c r="N47" s="28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8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8"/>
      <c r="O48" s="27"/>
      <c r="P48" s="27"/>
      <c r="Q48" s="27"/>
      <c r="R48" s="4"/>
      <c r="S48" s="28"/>
      <c r="T48" s="28"/>
      <c r="U48" s="27"/>
      <c r="V48" s="27"/>
      <c r="W48" s="27"/>
      <c r="X48" s="28"/>
      <c r="Y48" s="27"/>
      <c r="Z48" s="27"/>
      <c r="AA48" s="27"/>
      <c r="AB48" s="27"/>
      <c r="AC48" s="27"/>
      <c r="AD48" s="27"/>
      <c r="AE48" s="28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8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8"/>
      <c r="H50" s="27"/>
      <c r="I50" s="27"/>
      <c r="J50" s="27"/>
      <c r="K50" s="27"/>
      <c r="L50" s="27"/>
      <c r="M50" s="27"/>
      <c r="N50" s="28"/>
      <c r="O50" s="27"/>
      <c r="P50" s="27"/>
      <c r="Q50" s="27"/>
      <c r="R50" s="4"/>
      <c r="S50" s="2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28"/>
      <c r="P51" s="27"/>
      <c r="Q51" s="27"/>
      <c r="R51" s="4"/>
      <c r="S51" s="28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8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8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8"/>
      <c r="P53" s="27"/>
      <c r="Q53" s="27"/>
      <c r="R53" s="4"/>
      <c r="S53" s="28"/>
      <c r="T53" s="28"/>
      <c r="U53" s="27"/>
      <c r="V53" s="27"/>
      <c r="W53" s="27"/>
      <c r="X53" s="28"/>
      <c r="Y53" s="27"/>
      <c r="Z53" s="27"/>
      <c r="AA53" s="27"/>
      <c r="AB53" s="27"/>
      <c r="AC53" s="27"/>
      <c r="AD53" s="27"/>
      <c r="AE53" s="28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7"/>
      <c r="Q54" s="27"/>
      <c r="R54" s="4"/>
      <c r="S54" s="28"/>
      <c r="T54" s="28"/>
      <c r="U54" s="27"/>
      <c r="V54" s="27"/>
      <c r="W54" s="27"/>
      <c r="X54" s="28"/>
      <c r="Y54" s="27"/>
      <c r="Z54" s="27"/>
      <c r="AA54" s="27"/>
      <c r="AB54" s="27"/>
      <c r="AC54" s="27"/>
      <c r="AD54" s="27"/>
      <c r="AE54" s="28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8"/>
      <c r="T55" s="28"/>
      <c r="U55" s="27"/>
      <c r="V55" s="27"/>
      <c r="W55" s="27"/>
      <c r="X55" s="28"/>
      <c r="Y55" s="27"/>
      <c r="Z55" s="27"/>
      <c r="AA55" s="27"/>
      <c r="AB55" s="27"/>
      <c r="AC55" s="27"/>
      <c r="AD55" s="27"/>
      <c r="AE55" s="28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8"/>
      <c r="T56" s="28"/>
      <c r="U56" s="27"/>
      <c r="V56" s="27"/>
      <c r="W56" s="27"/>
      <c r="X56" s="28"/>
      <c r="Y56" s="27"/>
      <c r="Z56" s="27"/>
      <c r="AA56" s="27"/>
      <c r="AB56" s="27"/>
      <c r="AC56" s="27"/>
      <c r="AD56" s="27"/>
      <c r="AE56" s="28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88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2018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168191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170209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48628+3006</f>
        <v>51634</v>
      </c>
      <c r="C18" s="9">
        <v>10</v>
      </c>
      <c r="D18" s="9">
        <v>0</v>
      </c>
      <c r="E18" s="9">
        <v>0</v>
      </c>
      <c r="F18" s="9">
        <v>0</v>
      </c>
      <c r="G18" s="9">
        <v>52909</v>
      </c>
      <c r="H18" s="9">
        <v>0</v>
      </c>
      <c r="I18" s="9"/>
      <c r="J18" s="9"/>
      <c r="K18" s="9"/>
      <c r="L18" s="9"/>
      <c r="M18" s="9"/>
      <c r="N18" s="9">
        <v>52919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86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51720</v>
      </c>
      <c r="C23" s="9">
        <v>10</v>
      </c>
      <c r="D23" s="9">
        <v>0</v>
      </c>
      <c r="E23" s="9">
        <v>0</v>
      </c>
      <c r="F23" s="9">
        <v>0</v>
      </c>
      <c r="G23" s="9">
        <v>52909</v>
      </c>
      <c r="H23" s="9">
        <v>0</v>
      </c>
      <c r="I23" s="9"/>
      <c r="J23" s="9"/>
      <c r="K23" s="9"/>
      <c r="L23" s="9"/>
      <c r="M23" s="9"/>
      <c r="N23" s="9">
        <v>52919</v>
      </c>
      <c r="O23" s="3"/>
      <c r="P23" s="3"/>
      <c r="Q23" s="3"/>
      <c r="R23" s="3" t="s">
        <v>27</v>
      </c>
      <c r="S23" s="12">
        <f>N42/1000</f>
        <v>575.10436000000004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210.86135999999999</v>
      </c>
      <c r="T26" s="14">
        <f>M43</f>
        <v>0.36664886352104858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125.443</v>
      </c>
      <c r="T27" s="15">
        <f>G43</f>
        <v>0.21812215090840209</v>
      </c>
    </row>
    <row r="28" spans="1:20">
      <c r="A28" s="4" t="s">
        <v>88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19.902999999999999</v>
      </c>
      <c r="T29" s="14">
        <f>F43</f>
        <v>3.4607631908754787E-2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3.0000000000000001E-3</v>
      </c>
      <c r="T30" s="14">
        <f>E43</f>
        <v>5.2164445423435842E-6</v>
      </c>
    </row>
    <row r="31" spans="1:20">
      <c r="A31" s="5" t="s">
        <v>36</v>
      </c>
      <c r="B31" s="9">
        <v>0</v>
      </c>
      <c r="C31" s="9">
        <v>43329</v>
      </c>
      <c r="D31" s="9">
        <v>0</v>
      </c>
      <c r="E31" s="9">
        <v>0</v>
      </c>
      <c r="F31" s="9">
        <v>4535</v>
      </c>
      <c r="G31" s="9">
        <v>0</v>
      </c>
      <c r="H31" s="9">
        <v>0</v>
      </c>
      <c r="I31" s="9"/>
      <c r="J31" s="9"/>
      <c r="K31" s="9"/>
      <c r="L31" s="9"/>
      <c r="M31" s="9">
        <v>29409</v>
      </c>
      <c r="N31" s="9">
        <v>77272</v>
      </c>
      <c r="O31" s="16">
        <f>N31/N$39</f>
        <v>0.13965862510211607</v>
      </c>
      <c r="P31" s="17" t="s">
        <v>37</v>
      </c>
      <c r="Q31" s="3"/>
      <c r="R31" s="3" t="s">
        <v>38</v>
      </c>
      <c r="S31" s="13">
        <f>C42/1000</f>
        <v>218.89400000000001</v>
      </c>
      <c r="T31" s="15">
        <f>C43</f>
        <v>0.38061613721725218</v>
      </c>
    </row>
    <row r="32" spans="1:20">
      <c r="A32" s="5" t="s">
        <v>39</v>
      </c>
      <c r="B32" s="9">
        <v>10955</v>
      </c>
      <c r="C32" s="9">
        <v>19410</v>
      </c>
      <c r="D32" s="9">
        <v>0</v>
      </c>
      <c r="E32" s="43">
        <v>3</v>
      </c>
      <c r="F32" s="43">
        <v>300</v>
      </c>
      <c r="G32" s="43">
        <f>N32-SUM(H32:M32,B32:F32)</f>
        <v>19770</v>
      </c>
      <c r="H32" s="9">
        <v>0</v>
      </c>
      <c r="I32" s="9"/>
      <c r="J32" s="9"/>
      <c r="K32" s="9"/>
      <c r="L32" s="9"/>
      <c r="M32" s="9">
        <v>68036</v>
      </c>
      <c r="N32" s="9">
        <v>118474</v>
      </c>
      <c r="O32" s="16">
        <f>N32/N$39</f>
        <v>0.21412563348105521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13173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17132</v>
      </c>
      <c r="N33" s="9">
        <v>30305</v>
      </c>
      <c r="O33" s="16">
        <f>N33/N$39</f>
        <v>5.4772163703794743E-2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154736</v>
      </c>
      <c r="D34" s="9">
        <v>0</v>
      </c>
      <c r="E34" s="9">
        <v>0</v>
      </c>
      <c r="F34" s="9">
        <v>15068</v>
      </c>
      <c r="G34" s="9">
        <v>0</v>
      </c>
      <c r="H34" s="9">
        <v>0</v>
      </c>
      <c r="I34" s="9"/>
      <c r="J34" s="9"/>
      <c r="K34" s="9"/>
      <c r="L34" s="9"/>
      <c r="M34" s="9">
        <v>445</v>
      </c>
      <c r="N34" s="9">
        <v>170249</v>
      </c>
      <c r="O34" s="16">
        <f>N34/N$39</f>
        <v>0.30770190062390201</v>
      </c>
      <c r="P34" s="17" t="s">
        <v>45</v>
      </c>
      <c r="Q34" s="3"/>
      <c r="R34" s="3"/>
      <c r="S34" s="13">
        <f>SUM(S26:S33)</f>
        <v>575.10436000000004</v>
      </c>
      <c r="T34" s="14">
        <f>SUM(T26:T33)</f>
        <v>1</v>
      </c>
    </row>
    <row r="35" spans="1:47">
      <c r="A35" s="5" t="s">
        <v>46</v>
      </c>
      <c r="B35" s="9">
        <v>3708</v>
      </c>
      <c r="C35" s="9">
        <v>644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24405</v>
      </c>
      <c r="N35" s="9">
        <v>28756</v>
      </c>
      <c r="O35" s="16">
        <f>N35/N$39</f>
        <v>5.1972556986184512E-2</v>
      </c>
      <c r="P35" s="17" t="s">
        <v>47</v>
      </c>
      <c r="Q35" s="17"/>
    </row>
    <row r="36" spans="1:47">
      <c r="A36" s="5" t="s">
        <v>48</v>
      </c>
      <c r="B36" s="9">
        <v>4703</v>
      </c>
      <c r="C36" s="9">
        <v>706</v>
      </c>
      <c r="D36" s="9">
        <v>0</v>
      </c>
      <c r="E36" s="9">
        <v>0</v>
      </c>
      <c r="F36" s="9">
        <v>0</v>
      </c>
      <c r="G36" s="9">
        <v>52764</v>
      </c>
      <c r="H36" s="9">
        <v>0</v>
      </c>
      <c r="I36" s="9"/>
      <c r="J36" s="9"/>
      <c r="K36" s="9"/>
      <c r="L36" s="9"/>
      <c r="M36" s="9">
        <v>48611</v>
      </c>
      <c r="N36" s="9">
        <v>106785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14185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5419</v>
      </c>
      <c r="N37" s="9">
        <v>19663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1787</v>
      </c>
      <c r="N38" s="9">
        <v>1787</v>
      </c>
      <c r="O38" s="17">
        <f>SUM(O31:O35)</f>
        <v>0.76823087989705263</v>
      </c>
      <c r="P38" s="17"/>
      <c r="Q38" s="3"/>
      <c r="R38" s="7" t="s">
        <v>51</v>
      </c>
      <c r="S38" s="19">
        <f>N45/1000</f>
        <v>20.615359999999999</v>
      </c>
      <c r="T38" s="7"/>
    </row>
    <row r="39" spans="1:47">
      <c r="A39" s="5" t="s">
        <v>17</v>
      </c>
      <c r="B39" s="9">
        <v>46724</v>
      </c>
      <c r="C39" s="9">
        <v>218884</v>
      </c>
      <c r="D39" s="9">
        <v>0</v>
      </c>
      <c r="E39" s="43">
        <f>SUM(E31:E38)</f>
        <v>3</v>
      </c>
      <c r="F39" s="18">
        <f>SUM(F31:F38)</f>
        <v>19903</v>
      </c>
      <c r="G39" s="43">
        <f>SUM(G31:G38)</f>
        <v>72534</v>
      </c>
      <c r="H39" s="9">
        <v>0</v>
      </c>
      <c r="I39" s="9"/>
      <c r="J39" s="9"/>
      <c r="K39" s="9"/>
      <c r="L39" s="9"/>
      <c r="M39" s="9">
        <v>195242</v>
      </c>
      <c r="N39" s="9">
        <v>553292</v>
      </c>
      <c r="O39" s="3"/>
      <c r="P39" s="3"/>
      <c r="Q39" s="3"/>
      <c r="R39" s="7" t="s">
        <v>52</v>
      </c>
      <c r="S39" s="20">
        <f>N41/1000</f>
        <v>128.23500000000001</v>
      </c>
      <c r="T39" s="14">
        <f>O41</f>
        <v>0.23176731273902387</v>
      </c>
    </row>
    <row r="40" spans="1:47">
      <c r="R40" s="7" t="s">
        <v>53</v>
      </c>
      <c r="S40" s="20">
        <f>N35/1000</f>
        <v>28.756</v>
      </c>
      <c r="T40" s="15">
        <f>O35</f>
        <v>5.1972556986184512E-2</v>
      </c>
    </row>
    <row r="41" spans="1:47">
      <c r="A41" s="21" t="s">
        <v>54</v>
      </c>
      <c r="B41" s="22">
        <f>B38+B37+B36</f>
        <v>18888</v>
      </c>
      <c r="C41" s="22">
        <f t="shared" ref="C41:N41" si="0">C38+C37+C36</f>
        <v>766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52764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55817</v>
      </c>
      <c r="N41" s="22">
        <f t="shared" si="0"/>
        <v>128235</v>
      </c>
      <c r="O41" s="16">
        <f>N41/N$39</f>
        <v>0.23176731273902387</v>
      </c>
      <c r="P41" s="16" t="s">
        <v>55</v>
      </c>
      <c r="Q41" s="7"/>
      <c r="R41" s="7" t="s">
        <v>56</v>
      </c>
      <c r="S41" s="20">
        <f>N33/1000</f>
        <v>30.305</v>
      </c>
      <c r="T41" s="14">
        <f>O33</f>
        <v>5.4772163703794743E-2</v>
      </c>
    </row>
    <row r="42" spans="1:47">
      <c r="A42" s="23" t="s">
        <v>57</v>
      </c>
      <c r="B42" s="22"/>
      <c r="C42" s="24">
        <f>C39+C23+C10</f>
        <v>218894</v>
      </c>
      <c r="D42" s="24">
        <f t="shared" ref="D42:L42" si="1">D39+D23+D10</f>
        <v>0</v>
      </c>
      <c r="E42" s="24">
        <f t="shared" si="1"/>
        <v>3</v>
      </c>
      <c r="F42" s="24">
        <f t="shared" si="1"/>
        <v>19903</v>
      </c>
      <c r="G42" s="24">
        <f t="shared" si="1"/>
        <v>125443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210861.36</v>
      </c>
      <c r="N42" s="25">
        <f>SUM(C42:M42)</f>
        <v>575104.36</v>
      </c>
      <c r="O42" s="7"/>
      <c r="P42" s="7"/>
      <c r="Q42" s="7"/>
      <c r="R42" s="7" t="s">
        <v>37</v>
      </c>
      <c r="S42" s="20">
        <f>N31/1000</f>
        <v>77.272000000000006</v>
      </c>
      <c r="T42" s="14">
        <f>O31</f>
        <v>0.13965862510211607</v>
      </c>
    </row>
    <row r="43" spans="1:47">
      <c r="A43" s="23" t="s">
        <v>58</v>
      </c>
      <c r="B43" s="22"/>
      <c r="C43" s="16">
        <f t="shared" ref="C43:M43" si="2">C42/$N42</f>
        <v>0.38061613721725218</v>
      </c>
      <c r="D43" s="16">
        <f t="shared" si="2"/>
        <v>0</v>
      </c>
      <c r="E43" s="16">
        <f t="shared" si="2"/>
        <v>5.2164445423435842E-6</v>
      </c>
      <c r="F43" s="16">
        <f t="shared" si="2"/>
        <v>3.4607631908754787E-2</v>
      </c>
      <c r="G43" s="16">
        <f t="shared" si="2"/>
        <v>0.21812215090840209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0.36664886352104858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118.474</v>
      </c>
      <c r="T43" s="15">
        <f>O32</f>
        <v>0.21412563348105521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170.249</v>
      </c>
      <c r="T44" s="15">
        <f>O34</f>
        <v>0.30770190062390201</v>
      </c>
    </row>
    <row r="45" spans="1:47">
      <c r="A45" s="6" t="s">
        <v>61</v>
      </c>
      <c r="B45" s="6">
        <f>B23-B39</f>
        <v>4996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15619.36</v>
      </c>
      <c r="N45" s="25">
        <f>B45+M45</f>
        <v>20615.36</v>
      </c>
      <c r="O45" s="7"/>
      <c r="P45" s="7"/>
      <c r="Q45" s="7"/>
      <c r="R45" s="7" t="s">
        <v>62</v>
      </c>
      <c r="S45" s="20">
        <f>SUM(S39:S44)</f>
        <v>553.29100000000005</v>
      </c>
      <c r="T45" s="14">
        <f>SUM(T39:T44)</f>
        <v>0.99999819263607637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1" enableFormatConditionsCalculation="0"/>
  <dimension ref="A1:AU70"/>
  <sheetViews>
    <sheetView topLeftCell="A17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89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71213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71213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89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0">
        <v>42600</v>
      </c>
      <c r="C18" s="40">
        <v>2140.44</v>
      </c>
      <c r="D18" s="9">
        <v>0</v>
      </c>
      <c r="E18" s="9">
        <v>0</v>
      </c>
      <c r="F18" s="9">
        <v>0</v>
      </c>
      <c r="G18" s="40">
        <v>44203.199999999997</v>
      </c>
      <c r="H18" s="9">
        <v>0</v>
      </c>
      <c r="I18" s="9">
        <v>0</v>
      </c>
      <c r="J18" s="9"/>
      <c r="K18" s="9"/>
      <c r="L18" s="9"/>
      <c r="M18" s="9"/>
      <c r="N18" s="40">
        <v>46343.64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538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7">
        <v>0</v>
      </c>
      <c r="J21" s="9"/>
      <c r="K21" s="9"/>
      <c r="L21" s="9"/>
      <c r="M21" s="9"/>
      <c r="N21" s="7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0">
        <f>SUM(B17:B22)</f>
        <v>43138</v>
      </c>
      <c r="C23" s="40">
        <v>2140.44</v>
      </c>
      <c r="D23" s="9">
        <v>0</v>
      </c>
      <c r="E23" s="9">
        <v>0</v>
      </c>
      <c r="F23" s="9">
        <v>0</v>
      </c>
      <c r="G23" s="40">
        <v>44203.199999999997</v>
      </c>
      <c r="H23" s="9">
        <v>0</v>
      </c>
      <c r="I23" s="9">
        <v>0</v>
      </c>
      <c r="J23" s="9"/>
      <c r="K23" s="9"/>
      <c r="L23" s="9"/>
      <c r="M23" s="9"/>
      <c r="N23" s="40">
        <f>SUM(N17:N22)</f>
        <v>46343.64</v>
      </c>
      <c r="O23" s="3"/>
      <c r="P23" s="3"/>
      <c r="Q23" s="3"/>
      <c r="R23" s="3" t="s">
        <v>27</v>
      </c>
      <c r="S23" s="12">
        <f>N42/1000</f>
        <v>668.81848000000002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282.09384</v>
      </c>
      <c r="T26" s="14">
        <f>M43</f>
        <v>0.42177937427805529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161.50299999999999</v>
      </c>
      <c r="T27" s="15">
        <f>G43</f>
        <v>0.24147508603530213</v>
      </c>
    </row>
    <row r="28" spans="1:20">
      <c r="A28" s="4" t="s">
        <v>89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14.734999999999999</v>
      </c>
      <c r="T29" s="14">
        <f>F43</f>
        <v>2.2031388845595294E-2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30.197200000000013</v>
      </c>
      <c r="T30" s="14">
        <f>E43</f>
        <v>4.515006822179915E-2</v>
      </c>
    </row>
    <row r="31" spans="1:20">
      <c r="A31" s="5" t="s">
        <v>36</v>
      </c>
      <c r="B31" s="9">
        <v>0</v>
      </c>
      <c r="C31" s="9">
        <v>14764</v>
      </c>
      <c r="D31" s="9">
        <v>0</v>
      </c>
      <c r="E31" s="9">
        <v>0</v>
      </c>
      <c r="F31" s="9">
        <v>1523</v>
      </c>
      <c r="G31" s="9">
        <v>0</v>
      </c>
      <c r="H31" s="9">
        <v>0</v>
      </c>
      <c r="I31" s="9"/>
      <c r="J31" s="9"/>
      <c r="K31" s="9"/>
      <c r="L31" s="9"/>
      <c r="M31" s="9">
        <v>12574</v>
      </c>
      <c r="N31" s="9">
        <v>28861</v>
      </c>
      <c r="O31" s="16">
        <f>N31/N$39</f>
        <v>4.5205005270601943E-2</v>
      </c>
      <c r="P31" s="17" t="s">
        <v>37</v>
      </c>
      <c r="Q31" s="3"/>
      <c r="R31" s="3" t="s">
        <v>38</v>
      </c>
      <c r="S31" s="13">
        <f>C42/1000</f>
        <v>180.28944000000001</v>
      </c>
      <c r="T31" s="15">
        <f>C43</f>
        <v>0.26956408261924819</v>
      </c>
    </row>
    <row r="32" spans="1:20">
      <c r="A32" s="5" t="s">
        <v>39</v>
      </c>
      <c r="B32" s="9">
        <v>3381</v>
      </c>
      <c r="C32" s="9">
        <v>41564</v>
      </c>
      <c r="D32" s="43">
        <v>0</v>
      </c>
      <c r="E32" s="43">
        <f>N32-SUM(F32:M32,B32:D32)</f>
        <v>30197.200000000012</v>
      </c>
      <c r="F32" s="9">
        <v>1332</v>
      </c>
      <c r="G32" s="43">
        <f>(131.313*1000)-G18</f>
        <v>87109.8</v>
      </c>
      <c r="H32" s="9">
        <v>0</v>
      </c>
      <c r="I32" s="9"/>
      <c r="J32" s="9"/>
      <c r="K32" s="9"/>
      <c r="L32" s="9"/>
      <c r="M32" s="9">
        <v>151027</v>
      </c>
      <c r="N32" s="9">
        <v>314611</v>
      </c>
      <c r="O32" s="16">
        <f>N32/N$39</f>
        <v>0.49277543789852563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7130</v>
      </c>
      <c r="C33" s="9">
        <v>420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10563</v>
      </c>
      <c r="N33" s="9">
        <v>18113</v>
      </c>
      <c r="O33" s="16">
        <f>N33/N$39</f>
        <v>2.8370405061030907E-2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120405</v>
      </c>
      <c r="D34" s="9">
        <v>0</v>
      </c>
      <c r="E34" s="9">
        <v>0</v>
      </c>
      <c r="F34" s="9">
        <v>11881</v>
      </c>
      <c r="G34" s="9">
        <v>0</v>
      </c>
      <c r="H34" s="9">
        <v>0</v>
      </c>
      <c r="I34" s="9"/>
      <c r="J34" s="9"/>
      <c r="K34" s="9"/>
      <c r="L34" s="9"/>
      <c r="M34" s="9">
        <v>5</v>
      </c>
      <c r="N34" s="9">
        <v>132291</v>
      </c>
      <c r="O34" s="16">
        <f>N34/N$39</f>
        <v>0.20720748942355435</v>
      </c>
      <c r="P34" s="17" t="s">
        <v>45</v>
      </c>
      <c r="Q34" s="3"/>
      <c r="R34" s="3"/>
      <c r="S34" s="13">
        <f>SUM(S26:S33)</f>
        <v>668.81848000000002</v>
      </c>
      <c r="T34" s="14">
        <f>SUM(T26:T33)</f>
        <v>1</v>
      </c>
    </row>
    <row r="35" spans="1:47">
      <c r="A35" s="5" t="s">
        <v>46</v>
      </c>
      <c r="B35" s="9">
        <v>2294</v>
      </c>
      <c r="C35" s="9">
        <v>194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27346</v>
      </c>
      <c r="N35" s="9">
        <v>29834</v>
      </c>
      <c r="O35" s="16">
        <f>N35/N$39</f>
        <v>4.6729015877590464E-2</v>
      </c>
      <c r="P35" s="17" t="s">
        <v>47</v>
      </c>
      <c r="Q35" s="17"/>
    </row>
    <row r="36" spans="1:47">
      <c r="A36" s="5" t="s">
        <v>48</v>
      </c>
      <c r="B36" s="9">
        <v>10853</v>
      </c>
      <c r="C36" s="9">
        <v>514</v>
      </c>
      <c r="D36" s="9">
        <v>0</v>
      </c>
      <c r="E36" s="9">
        <v>0</v>
      </c>
      <c r="F36" s="9">
        <v>0</v>
      </c>
      <c r="G36" s="9">
        <v>30190</v>
      </c>
      <c r="H36" s="9">
        <v>0</v>
      </c>
      <c r="I36" s="9"/>
      <c r="J36" s="9"/>
      <c r="K36" s="9"/>
      <c r="L36" s="9"/>
      <c r="M36" s="9">
        <v>52144</v>
      </c>
      <c r="N36" s="9">
        <v>93702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13209</v>
      </c>
      <c r="C37" s="9">
        <v>287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3096</v>
      </c>
      <c r="N37" s="9">
        <v>16592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4443</v>
      </c>
      <c r="N38" s="9">
        <v>4443</v>
      </c>
      <c r="O38" s="17">
        <f>SUM(O31:O35)</f>
        <v>0.82028735353130333</v>
      </c>
      <c r="P38" s="17"/>
      <c r="Q38" s="3"/>
      <c r="R38" s="7" t="s">
        <v>51</v>
      </c>
      <c r="S38" s="19">
        <f>N45/1000</f>
        <v>27.166840000000001</v>
      </c>
      <c r="T38" s="7"/>
    </row>
    <row r="39" spans="1:47">
      <c r="A39" s="5" t="s">
        <v>17</v>
      </c>
      <c r="B39" s="9">
        <v>36867</v>
      </c>
      <c r="C39" s="9">
        <v>178149</v>
      </c>
      <c r="D39" s="43">
        <f>SUM(D31:D38)</f>
        <v>0</v>
      </c>
      <c r="E39" s="43">
        <f>SUM(E31:E38)</f>
        <v>30197.200000000012</v>
      </c>
      <c r="F39" s="9">
        <v>14735</v>
      </c>
      <c r="G39" s="43">
        <f>SUM(G31:G38)</f>
        <v>117299.8</v>
      </c>
      <c r="H39" s="9">
        <v>0</v>
      </c>
      <c r="I39" s="9"/>
      <c r="J39" s="9"/>
      <c r="K39" s="9"/>
      <c r="L39" s="9"/>
      <c r="M39" s="9">
        <v>261198</v>
      </c>
      <c r="N39" s="9">
        <v>638447</v>
      </c>
      <c r="O39" s="3"/>
      <c r="P39" s="3"/>
      <c r="Q39" s="3"/>
      <c r="R39" s="7" t="s">
        <v>52</v>
      </c>
      <c r="S39" s="20">
        <f>N41/1000</f>
        <v>114.73699999999999</v>
      </c>
      <c r="T39" s="14">
        <f>O41</f>
        <v>0.1797126464686967</v>
      </c>
    </row>
    <row r="40" spans="1:47">
      <c r="R40" s="7" t="s">
        <v>53</v>
      </c>
      <c r="S40" s="20">
        <f>N35/1000</f>
        <v>29.834</v>
      </c>
      <c r="T40" s="15">
        <f>O35</f>
        <v>4.6729015877590464E-2</v>
      </c>
    </row>
    <row r="41" spans="1:47">
      <c r="A41" s="21" t="s">
        <v>54</v>
      </c>
      <c r="B41" s="22">
        <f>B38+B37+B36</f>
        <v>24062</v>
      </c>
      <c r="C41" s="22">
        <f t="shared" ref="C41:N41" si="0">C38+C37+C36</f>
        <v>801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30190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59683</v>
      </c>
      <c r="N41" s="22">
        <f t="shared" si="0"/>
        <v>114737</v>
      </c>
      <c r="O41" s="16">
        <f>N41/N$39</f>
        <v>0.1797126464686967</v>
      </c>
      <c r="P41" s="16" t="s">
        <v>55</v>
      </c>
      <c r="Q41" s="7"/>
      <c r="R41" s="7" t="s">
        <v>56</v>
      </c>
      <c r="S41" s="20">
        <f>N33/1000</f>
        <v>18.113</v>
      </c>
      <c r="T41" s="14">
        <f>O33</f>
        <v>2.8370405061030907E-2</v>
      </c>
    </row>
    <row r="42" spans="1:47">
      <c r="A42" s="23" t="s">
        <v>57</v>
      </c>
      <c r="B42" s="22"/>
      <c r="C42" s="24">
        <f>C39+C23+C10</f>
        <v>180289.44</v>
      </c>
      <c r="D42" s="24">
        <f t="shared" ref="D42:L42" si="1">D39+D23+D10</f>
        <v>0</v>
      </c>
      <c r="E42" s="24">
        <f t="shared" si="1"/>
        <v>30197.200000000012</v>
      </c>
      <c r="F42" s="24">
        <f t="shared" si="1"/>
        <v>14735</v>
      </c>
      <c r="G42" s="24">
        <f t="shared" si="1"/>
        <v>161503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282093.84000000003</v>
      </c>
      <c r="N42" s="25">
        <f>SUM(C42:M42)</f>
        <v>668818.48</v>
      </c>
      <c r="O42" s="7"/>
      <c r="P42" s="7"/>
      <c r="Q42" s="7"/>
      <c r="R42" s="7" t="s">
        <v>37</v>
      </c>
      <c r="S42" s="20">
        <f>N31/1000</f>
        <v>28.861000000000001</v>
      </c>
      <c r="T42" s="14">
        <f>O31</f>
        <v>4.5205005270601943E-2</v>
      </c>
    </row>
    <row r="43" spans="1:47">
      <c r="A43" s="23" t="s">
        <v>58</v>
      </c>
      <c r="B43" s="22"/>
      <c r="C43" s="16">
        <f t="shared" ref="C43:M43" si="2">C42/$N42</f>
        <v>0.26956408261924819</v>
      </c>
      <c r="D43" s="16">
        <f t="shared" si="2"/>
        <v>0</v>
      </c>
      <c r="E43" s="16">
        <f t="shared" si="2"/>
        <v>4.515006822179915E-2</v>
      </c>
      <c r="F43" s="16">
        <f t="shared" si="2"/>
        <v>2.2031388845595294E-2</v>
      </c>
      <c r="G43" s="16">
        <f t="shared" si="2"/>
        <v>0.24147508603530213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0.42177937427805529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314.61099999999999</v>
      </c>
      <c r="T43" s="15">
        <f>O32</f>
        <v>0.49277543789852563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132.291</v>
      </c>
      <c r="T44" s="15">
        <f>O34</f>
        <v>0.20720748942355435</v>
      </c>
    </row>
    <row r="45" spans="1:47">
      <c r="A45" s="6" t="s">
        <v>61</v>
      </c>
      <c r="B45" s="6">
        <f>B23-B39</f>
        <v>6271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20895.84</v>
      </c>
      <c r="N45" s="25">
        <f>B45+M45</f>
        <v>27166.84</v>
      </c>
      <c r="O45" s="7"/>
      <c r="P45" s="7"/>
      <c r="Q45" s="7"/>
      <c r="R45" s="7" t="s">
        <v>62</v>
      </c>
      <c r="S45" s="20">
        <f>SUM(S39:S44)</f>
        <v>638.44699999999989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9"/>
      <c r="J47" s="9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8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63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4963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4963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A16" s="9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480.41476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239.64876000000001</v>
      </c>
      <c r="T26" s="14">
        <f>M43</f>
        <v>0.49883721307813272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7.05</v>
      </c>
      <c r="T27" s="15">
        <f>G43</f>
        <v>1.4674819732849174E-2</v>
      </c>
    </row>
    <row r="28" spans="1:20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20.29</v>
      </c>
      <c r="T29" s="14">
        <f>F43</f>
        <v>4.2234339344611307E-2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3.2120000000000002</v>
      </c>
      <c r="T30" s="14">
        <f>E43</f>
        <v>6.6858895009803609E-3</v>
      </c>
    </row>
    <row r="31" spans="1:20">
      <c r="A31" s="5" t="s">
        <v>36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>
        <v>278</v>
      </c>
      <c r="N31" s="9">
        <v>278</v>
      </c>
      <c r="O31" s="16">
        <f>N31/N$39</f>
        <v>4.4335643145916896E-4</v>
      </c>
      <c r="P31" s="17" t="s">
        <v>37</v>
      </c>
      <c r="Q31" s="3"/>
      <c r="R31" s="3" t="s">
        <v>38</v>
      </c>
      <c r="S31" s="13">
        <f>C42/1000</f>
        <v>210.214</v>
      </c>
      <c r="T31" s="15">
        <f>C43</f>
        <v>0.43756773834342638</v>
      </c>
    </row>
    <row r="32" spans="1:20">
      <c r="A32" s="5" t="s">
        <v>39</v>
      </c>
      <c r="B32" s="91">
        <v>7960</v>
      </c>
      <c r="C32" s="9">
        <v>1778</v>
      </c>
      <c r="D32" s="9">
        <v>0</v>
      </c>
      <c r="E32" s="43">
        <f>N32-SUM(F32:M32,B32:D32)</f>
        <v>3212</v>
      </c>
      <c r="F32" s="9">
        <v>106</v>
      </c>
      <c r="G32" s="43">
        <v>0</v>
      </c>
      <c r="H32" s="9">
        <v>0</v>
      </c>
      <c r="I32" s="9"/>
      <c r="J32" s="9"/>
      <c r="K32" s="9"/>
      <c r="L32" s="9"/>
      <c r="M32" s="9">
        <v>17230</v>
      </c>
      <c r="N32" s="41">
        <f>38330-8044</f>
        <v>30286</v>
      </c>
      <c r="O32" s="16">
        <f>N32/N$39</f>
        <v>4.8300334112130902E-2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f>2/5*35810</f>
        <v>14324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6586</v>
      </c>
      <c r="N33" s="43">
        <f>SUM(B33:M33)</f>
        <v>20910</v>
      </c>
      <c r="O33" s="16">
        <f>N33/N$39</f>
        <v>3.3347420797882096E-2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207762</v>
      </c>
      <c r="D34" s="9">
        <v>0</v>
      </c>
      <c r="E34" s="9">
        <v>0</v>
      </c>
      <c r="F34" s="9">
        <v>20184</v>
      </c>
      <c r="G34" s="9">
        <v>0</v>
      </c>
      <c r="H34" s="9">
        <v>0</v>
      </c>
      <c r="I34" s="9"/>
      <c r="J34" s="9"/>
      <c r="K34" s="9"/>
      <c r="L34" s="9"/>
      <c r="M34" s="9">
        <v>469</v>
      </c>
      <c r="N34" s="9">
        <v>228415</v>
      </c>
      <c r="O34" s="16">
        <f>N34/N$39</f>
        <v>0.36427791112138874</v>
      </c>
      <c r="P34" s="17" t="s">
        <v>45</v>
      </c>
      <c r="Q34" s="3"/>
      <c r="R34" s="3"/>
      <c r="S34" s="13">
        <f>SUM(S26:S33)</f>
        <v>480.41476</v>
      </c>
      <c r="T34" s="14">
        <f>SUM(T26:T33)</f>
        <v>1</v>
      </c>
    </row>
    <row r="35" spans="1:47">
      <c r="A35" s="5" t="s">
        <v>46</v>
      </c>
      <c r="B35" s="43">
        <f>3/5*35810</f>
        <v>21486</v>
      </c>
      <c r="C35" s="9">
        <v>40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90417</v>
      </c>
      <c r="N35" s="43">
        <f>SUM(B35:M35)</f>
        <v>111943</v>
      </c>
      <c r="O35" s="16">
        <f>N35/N$39</f>
        <v>0.17852751441307105</v>
      </c>
      <c r="P35" s="17" t="s">
        <v>47</v>
      </c>
      <c r="Q35" s="17"/>
    </row>
    <row r="36" spans="1:47">
      <c r="A36" s="5" t="s">
        <v>48</v>
      </c>
      <c r="B36" s="91">
        <v>37430</v>
      </c>
      <c r="C36" s="9">
        <v>396</v>
      </c>
      <c r="D36" s="9">
        <v>0</v>
      </c>
      <c r="E36" s="9">
        <v>0</v>
      </c>
      <c r="F36" s="9">
        <v>0</v>
      </c>
      <c r="G36" s="43">
        <v>7050</v>
      </c>
      <c r="H36" s="9">
        <v>0</v>
      </c>
      <c r="I36" s="9"/>
      <c r="J36" s="9"/>
      <c r="K36" s="9"/>
      <c r="L36" s="9"/>
      <c r="M36" s="9">
        <v>89437</v>
      </c>
      <c r="N36" s="43">
        <f>SUM(B36:M36)</f>
        <v>134313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1">
        <v>83171</v>
      </c>
      <c r="C37" s="9">
        <v>239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17383</v>
      </c>
      <c r="N37" s="43">
        <f>SUM(B37:M37)</f>
        <v>100793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97</v>
      </c>
      <c r="N38" s="9">
        <v>97</v>
      </c>
      <c r="O38" s="17">
        <f>SUM(O31:O35)</f>
        <v>0.62489653687593194</v>
      </c>
      <c r="P38" s="17"/>
      <c r="Q38" s="3"/>
      <c r="R38" s="7" t="s">
        <v>51</v>
      </c>
      <c r="S38" s="19">
        <f>N45/1000</f>
        <v>-146.61923999999999</v>
      </c>
      <c r="T38" s="7"/>
    </row>
    <row r="39" spans="1:47">
      <c r="A39" s="5" t="s">
        <v>17</v>
      </c>
      <c r="B39" s="41">
        <f>SUM(B31:B38)</f>
        <v>164371</v>
      </c>
      <c r="C39" s="9">
        <v>210214</v>
      </c>
      <c r="D39" s="9">
        <v>0</v>
      </c>
      <c r="E39" s="43">
        <f>SUM(E31:E38)</f>
        <v>3212</v>
      </c>
      <c r="F39" s="9">
        <v>20290</v>
      </c>
      <c r="G39" s="43">
        <f>SUM(G31:G38)</f>
        <v>7050</v>
      </c>
      <c r="H39" s="9">
        <v>0</v>
      </c>
      <c r="I39" s="9"/>
      <c r="J39" s="9"/>
      <c r="K39" s="9"/>
      <c r="L39" s="9"/>
      <c r="M39" s="9">
        <v>221897</v>
      </c>
      <c r="N39" s="41">
        <f>790863-328199+B39</f>
        <v>627035</v>
      </c>
      <c r="O39" s="3"/>
      <c r="P39" s="3"/>
      <c r="Q39" s="3"/>
      <c r="R39" s="7" t="s">
        <v>52</v>
      </c>
      <c r="S39" s="20">
        <f>N41/1000</f>
        <v>235.203</v>
      </c>
      <c r="T39" s="14">
        <f>O41</f>
        <v>0.37510346312406806</v>
      </c>
    </row>
    <row r="40" spans="1:47">
      <c r="N40" s="10"/>
      <c r="O40" s="10"/>
      <c r="R40" s="7" t="s">
        <v>53</v>
      </c>
      <c r="S40" s="20">
        <f>N35/1000</f>
        <v>111.943</v>
      </c>
      <c r="T40" s="15">
        <f>O35</f>
        <v>0.17852751441307105</v>
      </c>
    </row>
    <row r="41" spans="1:47">
      <c r="A41" s="21" t="s">
        <v>54</v>
      </c>
      <c r="B41" s="22">
        <f>B38+B37+B36</f>
        <v>120601</v>
      </c>
      <c r="C41" s="22">
        <f t="shared" ref="C41:N41" si="0">C38+C37+C36</f>
        <v>635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7050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106917</v>
      </c>
      <c r="N41" s="22">
        <f t="shared" si="0"/>
        <v>235203</v>
      </c>
      <c r="O41" s="16">
        <f>N41/N$39</f>
        <v>0.37510346312406806</v>
      </c>
      <c r="P41" s="16" t="s">
        <v>55</v>
      </c>
      <c r="Q41" s="7"/>
      <c r="R41" s="7" t="s">
        <v>56</v>
      </c>
      <c r="S41" s="20">
        <f>N33/1000</f>
        <v>20.91</v>
      </c>
      <c r="T41" s="14">
        <f>O33</f>
        <v>3.3347420797882096E-2</v>
      </c>
    </row>
    <row r="42" spans="1:47">
      <c r="A42" s="23" t="s">
        <v>57</v>
      </c>
      <c r="B42" s="22"/>
      <c r="C42" s="24">
        <f>C39+C23+C10</f>
        <v>210214</v>
      </c>
      <c r="D42" s="24">
        <f t="shared" ref="D42:L42" si="1">D39+D23+D10</f>
        <v>0</v>
      </c>
      <c r="E42" s="24">
        <f t="shared" si="1"/>
        <v>3212</v>
      </c>
      <c r="F42" s="24">
        <f t="shared" si="1"/>
        <v>20290</v>
      </c>
      <c r="G42" s="24">
        <f t="shared" si="1"/>
        <v>7050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239648.76</v>
      </c>
      <c r="N42" s="25">
        <f>SUM(C42:M42)</f>
        <v>480414.76</v>
      </c>
      <c r="O42" s="7"/>
      <c r="P42" s="7"/>
      <c r="Q42" s="7"/>
      <c r="R42" s="7" t="s">
        <v>37</v>
      </c>
      <c r="S42" s="20">
        <f>N31/1000</f>
        <v>0.27800000000000002</v>
      </c>
      <c r="T42" s="14">
        <f>O31</f>
        <v>4.4335643145916896E-4</v>
      </c>
    </row>
    <row r="43" spans="1:47">
      <c r="A43" s="23" t="s">
        <v>58</v>
      </c>
      <c r="B43" s="22"/>
      <c r="C43" s="16">
        <f t="shared" ref="C43:M43" si="2">C42/$N42</f>
        <v>0.43756773834342638</v>
      </c>
      <c r="D43" s="16">
        <f t="shared" si="2"/>
        <v>0</v>
      </c>
      <c r="E43" s="16">
        <f t="shared" si="2"/>
        <v>6.6858895009803609E-3</v>
      </c>
      <c r="F43" s="16">
        <f t="shared" si="2"/>
        <v>4.2234339344611307E-2</v>
      </c>
      <c r="G43" s="16">
        <f t="shared" si="2"/>
        <v>1.4674819732849174E-2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0.49883721307813272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30.286000000000001</v>
      </c>
      <c r="T43" s="15">
        <f>O32</f>
        <v>4.8300334112130902E-2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228.41499999999999</v>
      </c>
      <c r="T44" s="15">
        <f>O34</f>
        <v>0.36427791112138874</v>
      </c>
    </row>
    <row r="45" spans="1:47">
      <c r="A45" s="6" t="s">
        <v>61</v>
      </c>
      <c r="B45" s="6">
        <f>B23-B39</f>
        <v>-164371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17751.760000000002</v>
      </c>
      <c r="N45" s="25">
        <f>B45+M45</f>
        <v>-146619.24</v>
      </c>
      <c r="O45" s="7"/>
      <c r="P45" s="7"/>
      <c r="Q45" s="7"/>
      <c r="R45" s="7" t="s">
        <v>62</v>
      </c>
      <c r="S45" s="20">
        <f>SUM(S39:S44)</f>
        <v>627.03500000000008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8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8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90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3154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3154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59054</v>
      </c>
      <c r="C18" s="9">
        <v>90</v>
      </c>
      <c r="D18" s="9">
        <v>0</v>
      </c>
      <c r="E18" s="9">
        <v>0</v>
      </c>
      <c r="F18" s="9">
        <v>0</v>
      </c>
      <c r="G18" s="9">
        <v>68075</v>
      </c>
      <c r="H18" s="9">
        <v>0</v>
      </c>
      <c r="I18" s="9"/>
      <c r="J18" s="9"/>
      <c r="K18" s="9"/>
      <c r="L18" s="9"/>
      <c r="M18" s="9"/>
      <c r="N18" s="9">
        <v>68165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59054</v>
      </c>
      <c r="C23" s="9">
        <v>90</v>
      </c>
      <c r="D23" s="9">
        <v>0</v>
      </c>
      <c r="E23" s="9">
        <v>0</v>
      </c>
      <c r="F23" s="9">
        <v>0</v>
      </c>
      <c r="G23" s="9">
        <v>68075</v>
      </c>
      <c r="H23" s="9">
        <v>0</v>
      </c>
      <c r="I23" s="9"/>
      <c r="J23" s="9"/>
      <c r="K23" s="9"/>
      <c r="L23" s="9"/>
      <c r="M23" s="9"/>
      <c r="N23" s="9">
        <v>68165</v>
      </c>
      <c r="O23" s="3"/>
      <c r="P23" s="3"/>
      <c r="Q23" s="3"/>
      <c r="R23" s="3" t="s">
        <v>27</v>
      </c>
      <c r="S23" s="12">
        <f>N42/1000</f>
        <v>303.64688000000001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111.54888000000001</v>
      </c>
      <c r="T26" s="14">
        <f>M43</f>
        <v>0.36736382735103357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93.869</v>
      </c>
      <c r="T27" s="15">
        <f>G43</f>
        <v>0.30913869426222984</v>
      </c>
    </row>
    <row r="28" spans="1:20">
      <c r="A28" s="4" t="s">
        <v>90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7.9660000000000002</v>
      </c>
      <c r="T29" s="14">
        <f>F43</f>
        <v>2.623442071922491E-2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43">
        <f>(N31-M31)*10/11</f>
        <v>4262.727272727273</v>
      </c>
      <c r="D31" s="9">
        <v>0</v>
      </c>
      <c r="E31" s="9">
        <v>0</v>
      </c>
      <c r="F31" s="43">
        <f>(N31-M31)/11</f>
        <v>426.27272727272725</v>
      </c>
      <c r="G31" s="9">
        <v>0</v>
      </c>
      <c r="H31" s="9">
        <v>0</v>
      </c>
      <c r="I31" s="9"/>
      <c r="J31" s="9"/>
      <c r="K31" s="9"/>
      <c r="L31" s="9"/>
      <c r="M31" s="9">
        <v>3614</v>
      </c>
      <c r="N31" s="9">
        <v>8303</v>
      </c>
      <c r="O31" s="16">
        <f>N31/N$39</f>
        <v>2.9950509335411074E-2</v>
      </c>
      <c r="P31" s="17" t="s">
        <v>37</v>
      </c>
      <c r="Q31" s="3"/>
      <c r="R31" s="3" t="s">
        <v>38</v>
      </c>
      <c r="S31" s="13">
        <f>C42/1000</f>
        <v>90.263000000000005</v>
      </c>
      <c r="T31" s="15">
        <f>C43</f>
        <v>0.29726305766751165</v>
      </c>
    </row>
    <row r="32" spans="1:20">
      <c r="A32" s="5" t="s">
        <v>39</v>
      </c>
      <c r="B32" s="9">
        <v>14995</v>
      </c>
      <c r="C32" s="43">
        <f>C39-SUM(C31,C33:C38)</f>
        <v>1167.2727272727207</v>
      </c>
      <c r="D32" s="9">
        <v>0</v>
      </c>
      <c r="E32" s="9">
        <v>0</v>
      </c>
      <c r="F32" s="43">
        <f>F39-F34-F31</f>
        <v>84.727272727272748</v>
      </c>
      <c r="G32" s="9">
        <v>2900</v>
      </c>
      <c r="H32" s="9">
        <v>0</v>
      </c>
      <c r="I32" s="9"/>
      <c r="J32" s="9"/>
      <c r="K32" s="9"/>
      <c r="L32" s="9"/>
      <c r="M32" s="9">
        <v>22457</v>
      </c>
      <c r="N32" s="9">
        <v>41603</v>
      </c>
      <c r="O32" s="16">
        <f>N32/N$39</f>
        <v>0.15006997951115345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154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9982</v>
      </c>
      <c r="N33" s="9">
        <v>10136</v>
      </c>
      <c r="O33" s="16">
        <f>N33/N$39</f>
        <v>3.6562490982021759E-2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83962</v>
      </c>
      <c r="D34" s="9">
        <v>0</v>
      </c>
      <c r="E34" s="9">
        <v>0</v>
      </c>
      <c r="F34" s="9">
        <v>7455</v>
      </c>
      <c r="G34" s="9">
        <v>0</v>
      </c>
      <c r="H34" s="9">
        <v>0</v>
      </c>
      <c r="I34" s="9"/>
      <c r="J34" s="9"/>
      <c r="K34" s="9"/>
      <c r="L34" s="9"/>
      <c r="M34" s="9">
        <v>106</v>
      </c>
      <c r="N34" s="9">
        <v>91524</v>
      </c>
      <c r="O34" s="16">
        <f>N34/N$39</f>
        <v>0.33014457622716648</v>
      </c>
      <c r="P34" s="17" t="s">
        <v>45</v>
      </c>
      <c r="Q34" s="3"/>
      <c r="R34" s="3"/>
      <c r="S34" s="13">
        <f>SUM(S26:S33)</f>
        <v>303.64688000000001</v>
      </c>
      <c r="T34" s="14">
        <f>SUM(T26:T33)</f>
        <v>1</v>
      </c>
    </row>
    <row r="35" spans="1:47">
      <c r="A35" s="5" t="s">
        <v>46</v>
      </c>
      <c r="B35" s="9">
        <v>3314</v>
      </c>
      <c r="C35" s="9">
        <v>533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21346</v>
      </c>
      <c r="N35" s="9">
        <v>25193</v>
      </c>
      <c r="O35" s="16">
        <f>N35/N$39</f>
        <v>9.087597033445878E-2</v>
      </c>
      <c r="P35" s="17" t="s">
        <v>47</v>
      </c>
      <c r="Q35" s="17"/>
    </row>
    <row r="36" spans="1:47">
      <c r="A36" s="5" t="s">
        <v>48</v>
      </c>
      <c r="B36" s="40">
        <f>303+5198</f>
        <v>5501</v>
      </c>
      <c r="C36" s="9">
        <v>94</v>
      </c>
      <c r="D36" s="9">
        <v>0</v>
      </c>
      <c r="E36" s="9">
        <v>0</v>
      </c>
      <c r="F36" s="9">
        <v>0</v>
      </c>
      <c r="G36" s="9">
        <v>22893</v>
      </c>
      <c r="H36" s="9">
        <v>0</v>
      </c>
      <c r="I36" s="9"/>
      <c r="J36" s="9"/>
      <c r="K36" s="9"/>
      <c r="L36" s="9"/>
      <c r="M36" s="9">
        <v>38345</v>
      </c>
      <c r="N36" s="40">
        <f>SUM(B36:M36)</f>
        <v>66833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0">
        <v>26194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4391</v>
      </c>
      <c r="N37" s="40">
        <f>SUM(B37:M37)</f>
        <v>30585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3047</v>
      </c>
      <c r="N38" s="9">
        <v>3047</v>
      </c>
      <c r="O38" s="17">
        <f>SUM(O31:O35)</f>
        <v>0.63760352639021156</v>
      </c>
      <c r="P38" s="17"/>
      <c r="Q38" s="3"/>
      <c r="R38" s="7" t="s">
        <v>51</v>
      </c>
      <c r="S38" s="19">
        <f>N45/1000</f>
        <v>17.31288</v>
      </c>
      <c r="T38" s="7"/>
    </row>
    <row r="39" spans="1:47">
      <c r="A39" s="5" t="s">
        <v>17</v>
      </c>
      <c r="B39" s="40">
        <f>SUM(B31:B38)</f>
        <v>50004</v>
      </c>
      <c r="C39" s="9">
        <v>90173</v>
      </c>
      <c r="D39" s="9">
        <v>0</v>
      </c>
      <c r="E39" s="9">
        <v>0</v>
      </c>
      <c r="F39" s="9">
        <v>7966</v>
      </c>
      <c r="G39" s="9">
        <v>25794</v>
      </c>
      <c r="H39" s="9">
        <v>0</v>
      </c>
      <c r="I39" s="9"/>
      <c r="J39" s="9"/>
      <c r="K39" s="9"/>
      <c r="L39" s="9"/>
      <c r="M39" s="9">
        <v>103286</v>
      </c>
      <c r="N39" s="41">
        <f>SUM(N31:N38)</f>
        <v>277224</v>
      </c>
      <c r="O39" s="3"/>
      <c r="P39" s="3"/>
      <c r="Q39" s="3"/>
      <c r="R39" s="7" t="s">
        <v>52</v>
      </c>
      <c r="S39" s="20">
        <f>N41/1000</f>
        <v>100.465</v>
      </c>
      <c r="T39" s="14">
        <f>O41</f>
        <v>0.36239647360978849</v>
      </c>
    </row>
    <row r="40" spans="1:47">
      <c r="R40" s="7" t="s">
        <v>53</v>
      </c>
      <c r="S40" s="20">
        <f>N35/1000</f>
        <v>25.193000000000001</v>
      </c>
      <c r="T40" s="15">
        <f>O35</f>
        <v>9.087597033445878E-2</v>
      </c>
    </row>
    <row r="41" spans="1:47">
      <c r="A41" s="21" t="s">
        <v>54</v>
      </c>
      <c r="B41" s="22">
        <f>B38+B37+B36</f>
        <v>31695</v>
      </c>
      <c r="C41" s="22">
        <f t="shared" ref="C41:N41" si="0">C38+C37+C36</f>
        <v>94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22893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45783</v>
      </c>
      <c r="N41" s="22">
        <f t="shared" si="0"/>
        <v>100465</v>
      </c>
      <c r="O41" s="16">
        <f>N41/N$39</f>
        <v>0.36239647360978849</v>
      </c>
      <c r="P41" s="16" t="s">
        <v>55</v>
      </c>
      <c r="Q41" s="7"/>
      <c r="R41" s="7" t="s">
        <v>56</v>
      </c>
      <c r="S41" s="20">
        <f>N33/1000</f>
        <v>10.135999999999999</v>
      </c>
      <c r="T41" s="14">
        <f>O33</f>
        <v>3.6562490982021759E-2</v>
      </c>
    </row>
    <row r="42" spans="1:47">
      <c r="A42" s="23" t="s">
        <v>57</v>
      </c>
      <c r="B42" s="22"/>
      <c r="C42" s="24">
        <f>C39+C23+C10</f>
        <v>90263</v>
      </c>
      <c r="D42" s="24">
        <f t="shared" ref="D42:L42" si="1">D39+D23+D10</f>
        <v>0</v>
      </c>
      <c r="E42" s="24">
        <f t="shared" si="1"/>
        <v>0</v>
      </c>
      <c r="F42" s="24">
        <f t="shared" si="1"/>
        <v>7966</v>
      </c>
      <c r="G42" s="24">
        <f t="shared" si="1"/>
        <v>93869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111548.88</v>
      </c>
      <c r="N42" s="25">
        <f>SUM(C42:M42)</f>
        <v>303646.88</v>
      </c>
      <c r="O42" s="7"/>
      <c r="P42" s="7"/>
      <c r="Q42" s="7"/>
      <c r="R42" s="7" t="s">
        <v>37</v>
      </c>
      <c r="S42" s="20">
        <f>N31/1000</f>
        <v>8.3030000000000008</v>
      </c>
      <c r="T42" s="14">
        <f>O31</f>
        <v>2.9950509335411074E-2</v>
      </c>
    </row>
    <row r="43" spans="1:47">
      <c r="A43" s="23" t="s">
        <v>58</v>
      </c>
      <c r="B43" s="22"/>
      <c r="C43" s="16">
        <f t="shared" ref="C43:M43" si="2">C42/$N42</f>
        <v>0.29726305766751165</v>
      </c>
      <c r="D43" s="16">
        <f t="shared" si="2"/>
        <v>0</v>
      </c>
      <c r="E43" s="16">
        <f t="shared" si="2"/>
        <v>0</v>
      </c>
      <c r="F43" s="16">
        <f t="shared" si="2"/>
        <v>2.623442071922491E-2</v>
      </c>
      <c r="G43" s="16">
        <f t="shared" si="2"/>
        <v>0.30913869426222984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0.36736382735103357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41.603000000000002</v>
      </c>
      <c r="T43" s="15">
        <f>O32</f>
        <v>0.15006997951115345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91.524000000000001</v>
      </c>
      <c r="T44" s="15">
        <f>O34</f>
        <v>0.33014457622716648</v>
      </c>
    </row>
    <row r="45" spans="1:47">
      <c r="A45" s="6" t="s">
        <v>61</v>
      </c>
      <c r="B45" s="6">
        <f>B23-B39</f>
        <v>9050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8262.880000000001</v>
      </c>
      <c r="N45" s="25">
        <f>B45+M45</f>
        <v>17312.88</v>
      </c>
      <c r="O45" s="7"/>
      <c r="P45" s="7"/>
      <c r="Q45" s="7"/>
      <c r="R45" s="7" t="s">
        <v>62</v>
      </c>
      <c r="S45" s="20">
        <f>SUM(S39:S44)</f>
        <v>277.22400000000005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91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4957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4957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24004+2400</f>
        <v>26404</v>
      </c>
      <c r="C18" s="9">
        <v>0</v>
      </c>
      <c r="D18" s="9">
        <v>0</v>
      </c>
      <c r="E18" s="9">
        <v>0</v>
      </c>
      <c r="F18" s="9">
        <v>0</v>
      </c>
      <c r="G18" s="41">
        <v>27665</v>
      </c>
      <c r="H18" s="9">
        <v>0</v>
      </c>
      <c r="I18" s="9"/>
      <c r="J18" s="9"/>
      <c r="K18" s="9"/>
      <c r="L18" s="9"/>
      <c r="M18" s="9"/>
      <c r="N18" s="41">
        <v>27665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SUM(B17:B22)</f>
        <v>26404</v>
      </c>
      <c r="C23" s="9">
        <v>0</v>
      </c>
      <c r="D23" s="9">
        <v>0</v>
      </c>
      <c r="E23" s="9">
        <v>0</v>
      </c>
      <c r="F23" s="9">
        <v>0</v>
      </c>
      <c r="G23" s="41">
        <f>SUM(G17:G22)</f>
        <v>27665</v>
      </c>
      <c r="H23" s="9">
        <v>0</v>
      </c>
      <c r="I23" s="9"/>
      <c r="J23" s="9"/>
      <c r="K23" s="9"/>
      <c r="L23" s="9"/>
      <c r="M23" s="9"/>
      <c r="N23" s="41">
        <f>SUM(N17:N22)</f>
        <v>27665</v>
      </c>
      <c r="O23" s="3"/>
      <c r="P23" s="3"/>
      <c r="Q23" s="3"/>
      <c r="R23" s="3" t="s">
        <v>27</v>
      </c>
      <c r="S23" s="12">
        <f>N42/1000</f>
        <v>308.01216000000005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165.56616</v>
      </c>
      <c r="T26" s="14">
        <f>M43</f>
        <v>0.53753124551965736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61.750999999999998</v>
      </c>
      <c r="T27" s="15">
        <f>G43</f>
        <v>0.20048234459314851</v>
      </c>
    </row>
    <row r="28" spans="1:20">
      <c r="A28" s="4" t="s">
        <v>91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5.2880000000000003</v>
      </c>
      <c r="T29" s="14">
        <f>F43</f>
        <v>1.7168153361217946E-2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14089</v>
      </c>
      <c r="D31" s="9">
        <v>0</v>
      </c>
      <c r="E31" s="9">
        <v>0</v>
      </c>
      <c r="F31" s="9">
        <v>1399</v>
      </c>
      <c r="G31" s="9">
        <v>0</v>
      </c>
      <c r="H31" s="9">
        <v>0</v>
      </c>
      <c r="I31" s="9"/>
      <c r="J31" s="9"/>
      <c r="K31" s="9"/>
      <c r="L31" s="9"/>
      <c r="M31" s="9">
        <v>13100</v>
      </c>
      <c r="N31" s="9">
        <v>28588</v>
      </c>
      <c r="O31" s="16">
        <f>N31/N$39</f>
        <v>9.8118155016251207E-2</v>
      </c>
      <c r="P31" s="17" t="s">
        <v>37</v>
      </c>
      <c r="Q31" s="3"/>
      <c r="R31" s="3" t="s">
        <v>38</v>
      </c>
      <c r="S31" s="13">
        <f>C42/1000</f>
        <v>75.406999999999996</v>
      </c>
      <c r="T31" s="15">
        <f>C43</f>
        <v>0.24481825652597608</v>
      </c>
    </row>
    <row r="32" spans="1:20">
      <c r="A32" s="5" t="s">
        <v>39</v>
      </c>
      <c r="B32" s="41">
        <v>4611</v>
      </c>
      <c r="C32" s="43">
        <v>18400</v>
      </c>
      <c r="D32" s="9">
        <v>0</v>
      </c>
      <c r="E32" s="9">
        <v>0</v>
      </c>
      <c r="F32" s="9">
        <v>66</v>
      </c>
      <c r="G32" s="43">
        <f>N32-M32-F32-C32-B32</f>
        <v>5912</v>
      </c>
      <c r="H32" s="9">
        <v>0</v>
      </c>
      <c r="I32" s="9"/>
      <c r="J32" s="9"/>
      <c r="K32" s="9"/>
      <c r="L32" s="9"/>
      <c r="M32" s="9">
        <v>25468</v>
      </c>
      <c r="N32" s="41">
        <f>49846+B32</f>
        <v>54457</v>
      </c>
      <c r="O32" s="16">
        <f>N32/N$39</f>
        <v>0.18690430837134434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v>5973</v>
      </c>
      <c r="C33" s="9">
        <v>386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9325</v>
      </c>
      <c r="N33" s="41">
        <f>9711+B33</f>
        <v>15684</v>
      </c>
      <c r="O33" s="16">
        <f>N33/N$39</f>
        <v>5.3829758754543301E-2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40972</v>
      </c>
      <c r="D34" s="9">
        <v>0</v>
      </c>
      <c r="E34" s="9">
        <v>0</v>
      </c>
      <c r="F34" s="9">
        <v>3823</v>
      </c>
      <c r="G34" s="9">
        <v>0</v>
      </c>
      <c r="H34" s="9">
        <v>0</v>
      </c>
      <c r="I34" s="9"/>
      <c r="J34" s="9"/>
      <c r="K34" s="9"/>
      <c r="L34" s="9"/>
      <c r="M34" s="9">
        <v>53850</v>
      </c>
      <c r="N34" s="9">
        <v>98645</v>
      </c>
      <c r="O34" s="16">
        <f>N34/N$39</f>
        <v>0.33856392198048485</v>
      </c>
      <c r="P34" s="17" t="s">
        <v>45</v>
      </c>
      <c r="Q34" s="3"/>
      <c r="R34" s="3"/>
      <c r="S34" s="13">
        <f>SUM(S26:S33)</f>
        <v>308.01215999999999</v>
      </c>
      <c r="T34" s="14">
        <f>SUM(T26:T33)</f>
        <v>0.99999999999999989</v>
      </c>
    </row>
    <row r="35" spans="1:47">
      <c r="A35" s="5" t="s">
        <v>46</v>
      </c>
      <c r="B35" s="41">
        <v>1273</v>
      </c>
      <c r="C35" s="9">
        <v>1080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11278</v>
      </c>
      <c r="N35" s="41">
        <f>12358+B35</f>
        <v>13631</v>
      </c>
      <c r="O35" s="16">
        <f>N35/N$39</f>
        <v>4.6783565517927811E-2</v>
      </c>
      <c r="P35" s="17" t="s">
        <v>47</v>
      </c>
      <c r="Q35" s="17"/>
    </row>
    <row r="36" spans="1:47">
      <c r="A36" s="5" t="s">
        <v>48</v>
      </c>
      <c r="B36" s="40">
        <v>615</v>
      </c>
      <c r="C36" s="43">
        <v>400</v>
      </c>
      <c r="D36" s="9">
        <v>0</v>
      </c>
      <c r="E36" s="9">
        <v>0</v>
      </c>
      <c r="F36" s="9">
        <v>0</v>
      </c>
      <c r="G36" s="43">
        <f>N36-SUM(H36:M36,B36:F36)</f>
        <v>28174</v>
      </c>
      <c r="H36" s="9">
        <v>0</v>
      </c>
      <c r="I36" s="9"/>
      <c r="J36" s="9"/>
      <c r="K36" s="9"/>
      <c r="L36" s="9"/>
      <c r="M36" s="9">
        <v>33813</v>
      </c>
      <c r="N36" s="41">
        <f>62387+B36</f>
        <v>63002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0">
        <v>10808</v>
      </c>
      <c r="C37" s="9">
        <v>80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4255</v>
      </c>
      <c r="N37" s="41">
        <f>4335+B37</f>
        <v>15143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2213</v>
      </c>
      <c r="N38" s="9">
        <v>2213</v>
      </c>
      <c r="O38" s="17">
        <f>SUM(O31:O35)</f>
        <v>0.72419970964055147</v>
      </c>
      <c r="P38" s="17"/>
      <c r="Q38" s="3"/>
      <c r="R38" s="7" t="s">
        <v>51</v>
      </c>
      <c r="S38" s="19">
        <f>N45/1000</f>
        <v>15.388159999999999</v>
      </c>
      <c r="T38" s="7"/>
    </row>
    <row r="39" spans="1:47">
      <c r="A39" s="5" t="s">
        <v>17</v>
      </c>
      <c r="B39" s="40">
        <f>SUM(B31:B38)</f>
        <v>23280</v>
      </c>
      <c r="C39" s="43">
        <f>SUM(C31:C38)</f>
        <v>75407</v>
      </c>
      <c r="D39" s="9">
        <v>0</v>
      </c>
      <c r="E39" s="9">
        <v>0</v>
      </c>
      <c r="F39" s="9">
        <v>5288</v>
      </c>
      <c r="G39" s="43">
        <f>SUM(G31:G38)</f>
        <v>34086</v>
      </c>
      <c r="H39" s="9">
        <v>0</v>
      </c>
      <c r="I39" s="9"/>
      <c r="J39" s="9"/>
      <c r="K39" s="9"/>
      <c r="L39" s="9"/>
      <c r="M39" s="9">
        <v>153302</v>
      </c>
      <c r="N39" s="41">
        <f>268083+B39</f>
        <v>291363</v>
      </c>
      <c r="O39" s="3"/>
      <c r="P39" s="3"/>
      <c r="Q39" s="3"/>
      <c r="R39" s="7" t="s">
        <v>52</v>
      </c>
      <c r="S39" s="20">
        <f>N41/1000</f>
        <v>80.358000000000004</v>
      </c>
      <c r="T39" s="14">
        <f>O41</f>
        <v>0.27580029035944853</v>
      </c>
    </row>
    <row r="40" spans="1:47">
      <c r="R40" s="7" t="s">
        <v>53</v>
      </c>
      <c r="S40" s="20">
        <f>N35/1000</f>
        <v>13.631</v>
      </c>
      <c r="T40" s="15">
        <f>O35</f>
        <v>4.6783565517927811E-2</v>
      </c>
    </row>
    <row r="41" spans="1:47">
      <c r="A41" s="21" t="s">
        <v>54</v>
      </c>
      <c r="B41" s="22">
        <f>B38+B37+B36</f>
        <v>11423</v>
      </c>
      <c r="C41" s="22">
        <f t="shared" ref="C41:N41" si="0">C38+C37+C36</f>
        <v>480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28174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40281</v>
      </c>
      <c r="N41" s="22">
        <f t="shared" si="0"/>
        <v>80358</v>
      </c>
      <c r="O41" s="16">
        <f>N41/N$39</f>
        <v>0.27580029035944853</v>
      </c>
      <c r="P41" s="16" t="s">
        <v>55</v>
      </c>
      <c r="Q41" s="7"/>
      <c r="R41" s="7" t="s">
        <v>56</v>
      </c>
      <c r="S41" s="20">
        <f>N33/1000</f>
        <v>15.683999999999999</v>
      </c>
      <c r="T41" s="14">
        <f>O33</f>
        <v>5.3829758754543301E-2</v>
      </c>
    </row>
    <row r="42" spans="1:47">
      <c r="A42" s="23" t="s">
        <v>57</v>
      </c>
      <c r="B42" s="22"/>
      <c r="C42" s="24">
        <f>C39+C23+C10</f>
        <v>75407</v>
      </c>
      <c r="D42" s="24">
        <f t="shared" ref="D42:L42" si="1">D39+D23+D10</f>
        <v>0</v>
      </c>
      <c r="E42" s="24">
        <f t="shared" si="1"/>
        <v>0</v>
      </c>
      <c r="F42" s="24">
        <f t="shared" si="1"/>
        <v>5288</v>
      </c>
      <c r="G42" s="24">
        <f t="shared" si="1"/>
        <v>61751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165566.16</v>
      </c>
      <c r="N42" s="25">
        <f>SUM(C42:M42)</f>
        <v>308012.16000000003</v>
      </c>
      <c r="O42" s="7"/>
      <c r="P42" s="7"/>
      <c r="Q42" s="7"/>
      <c r="R42" s="7" t="s">
        <v>37</v>
      </c>
      <c r="S42" s="20">
        <f>N31/1000</f>
        <v>28.588000000000001</v>
      </c>
      <c r="T42" s="14">
        <f>O31</f>
        <v>9.8118155016251207E-2</v>
      </c>
    </row>
    <row r="43" spans="1:47">
      <c r="A43" s="23" t="s">
        <v>58</v>
      </c>
      <c r="B43" s="22"/>
      <c r="C43" s="16">
        <f t="shared" ref="C43:M43" si="2">C42/$N42</f>
        <v>0.24481825652597608</v>
      </c>
      <c r="D43" s="16">
        <f t="shared" si="2"/>
        <v>0</v>
      </c>
      <c r="E43" s="16">
        <f t="shared" si="2"/>
        <v>0</v>
      </c>
      <c r="F43" s="16">
        <f t="shared" si="2"/>
        <v>1.7168153361217946E-2</v>
      </c>
      <c r="G43" s="16">
        <f t="shared" si="2"/>
        <v>0.20048234459314851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0.53753124551965736</v>
      </c>
      <c r="N43" s="16">
        <f>SUM(C43:M43)</f>
        <v>0.99999999999999989</v>
      </c>
      <c r="O43" s="7"/>
      <c r="P43" s="7"/>
      <c r="Q43" s="7"/>
      <c r="R43" s="7" t="s">
        <v>59</v>
      </c>
      <c r="S43" s="20">
        <f>N32/1000</f>
        <v>54.457000000000001</v>
      </c>
      <c r="T43" s="15">
        <f>O32</f>
        <v>0.18690430837134434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98.644999999999996</v>
      </c>
      <c r="T44" s="15">
        <f>O34</f>
        <v>0.33856392198048485</v>
      </c>
    </row>
    <row r="45" spans="1:47">
      <c r="A45" s="6" t="s">
        <v>61</v>
      </c>
      <c r="B45" s="6">
        <f>B23-B39</f>
        <v>3124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12264.16</v>
      </c>
      <c r="N45" s="25">
        <f>B45+M45</f>
        <v>15388.16</v>
      </c>
      <c r="O45" s="7"/>
      <c r="P45" s="7"/>
      <c r="Q45" s="7"/>
      <c r="R45" s="7" t="s">
        <v>62</v>
      </c>
      <c r="S45" s="20">
        <f>SUM(S39:S44)</f>
        <v>291.363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8" width="9.1640625" style="2" bestFit="1" customWidth="1"/>
    <col min="9" max="12" width="8.83203125" style="2"/>
    <col min="13" max="13" width="9.1640625" style="2" bestFit="1" customWidth="1"/>
    <col min="14" max="14" width="9.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92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43">
        <f>B10-B9-B8</f>
        <v>847324.56725344504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2703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35988.432746554899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886016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f>SUM(N6:N9)</f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A16" s="90" t="s">
        <v>114</v>
      </c>
      <c r="B16" s="46">
        <f>153000-(64673-35600)</f>
        <v>123927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3">
        <f>1147100</f>
        <v>1147100</v>
      </c>
      <c r="C17" s="41">
        <v>0</v>
      </c>
      <c r="D17" s="41">
        <v>0</v>
      </c>
      <c r="E17" s="41">
        <f>607400+825300</f>
        <v>1432700</v>
      </c>
      <c r="F17" s="41">
        <v>0</v>
      </c>
      <c r="G17" s="41">
        <f>322800+96700</f>
        <v>419500</v>
      </c>
      <c r="H17" s="9">
        <v>0</v>
      </c>
      <c r="I17" s="9"/>
      <c r="J17" s="9"/>
      <c r="K17" s="9"/>
      <c r="L17" s="9"/>
      <c r="M17" s="9"/>
      <c r="N17" s="41">
        <f>SUM(C17:M17)</f>
        <v>1852200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3032600-B20-B21-B16-Ale!B18</f>
        <v>1662106</v>
      </c>
      <c r="C18" s="41">
        <f>2700+10800-Ale!C18</f>
        <v>11169.36</v>
      </c>
      <c r="D18" s="9">
        <v>0</v>
      </c>
      <c r="E18" s="41">
        <v>90560</v>
      </c>
      <c r="F18" s="41">
        <v>0</v>
      </c>
      <c r="G18" s="41">
        <f>142900-Ale!G18</f>
        <v>138618.4</v>
      </c>
      <c r="H18" s="9">
        <v>0</v>
      </c>
      <c r="I18" s="9"/>
      <c r="J18" s="9"/>
      <c r="K18" s="41">
        <v>907200</v>
      </c>
      <c r="L18" s="9"/>
      <c r="M18" s="9"/>
      <c r="N18" s="41">
        <f>SUM(C18:M18)</f>
        <v>1147547.76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f t="shared" ref="N19:N20" si="0">SUM(C19:M19)</f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43">
        <v>295300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1">
        <v>130100</v>
      </c>
      <c r="N20" s="41">
        <f t="shared" si="0"/>
        <v>130100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41">
        <f>981760-Ale!B21</f>
        <v>946583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7"/>
      <c r="J21" s="9"/>
      <c r="K21" s="9"/>
      <c r="L21" s="9"/>
      <c r="M21" s="9"/>
      <c r="N21" s="9">
        <f>SUM(C21:M21)</f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3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f>SUM(C22:M22)</f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 t="shared" ref="B23:G23" si="1">SUM(B17:B22)</f>
        <v>4051089</v>
      </c>
      <c r="C23" s="41">
        <f t="shared" si="1"/>
        <v>11169.36</v>
      </c>
      <c r="D23" s="41">
        <f t="shared" si="1"/>
        <v>0</v>
      </c>
      <c r="E23" s="41">
        <f t="shared" si="1"/>
        <v>1523260</v>
      </c>
      <c r="F23" s="41">
        <f t="shared" si="1"/>
        <v>0</v>
      </c>
      <c r="G23" s="41">
        <f t="shared" si="1"/>
        <v>558118.40000000002</v>
      </c>
      <c r="H23" s="9">
        <v>0</v>
      </c>
      <c r="I23" s="9"/>
      <c r="J23" s="9"/>
      <c r="K23" s="41">
        <f>SUM(K18:K22)</f>
        <v>907200</v>
      </c>
      <c r="L23" s="9"/>
      <c r="M23" s="41">
        <f>SUM(M20:M22)</f>
        <v>130100</v>
      </c>
      <c r="N23" s="41">
        <f>SUM(N17:N22)</f>
        <v>3129847.76</v>
      </c>
      <c r="O23" s="3"/>
      <c r="P23" s="3"/>
      <c r="Q23" s="3"/>
      <c r="R23" s="3" t="s">
        <v>27</v>
      </c>
      <c r="S23" s="12">
        <f>N42/1000</f>
        <v>17346.324952746556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4215.9151927465546</v>
      </c>
      <c r="T26" s="14">
        <f>M43</f>
        <v>0.24304371123169935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618.58540000000005</v>
      </c>
      <c r="T27" s="15">
        <f>G43</f>
        <v>3.566089080454217E-2</v>
      </c>
    </row>
    <row r="28" spans="1:20">
      <c r="A28" s="4" t="s">
        <v>92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415.13400000000001</v>
      </c>
      <c r="T29" s="14">
        <f>F43</f>
        <v>2.3932100956881312E-2</v>
      </c>
    </row>
    <row r="30" spans="1:20">
      <c r="A30" s="90" t="s">
        <v>113</v>
      </c>
      <c r="B30" s="46">
        <f>35600</f>
        <v>35600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6077.2879999999996</v>
      </c>
      <c r="T30" s="14">
        <f>E43</f>
        <v>0.35035017599147095</v>
      </c>
    </row>
    <row r="31" spans="1:20">
      <c r="A31" s="5" t="s">
        <v>36</v>
      </c>
      <c r="B31" s="9">
        <v>0</v>
      </c>
      <c r="C31" s="9">
        <v>8694</v>
      </c>
      <c r="D31" s="9">
        <v>0</v>
      </c>
      <c r="E31" s="9">
        <v>0</v>
      </c>
      <c r="F31" s="9">
        <v>848</v>
      </c>
      <c r="G31" s="9">
        <v>0</v>
      </c>
      <c r="H31" s="9">
        <v>0</v>
      </c>
      <c r="I31" s="9"/>
      <c r="J31" s="9"/>
      <c r="K31" s="9"/>
      <c r="L31" s="9"/>
      <c r="M31" s="9">
        <v>7544</v>
      </c>
      <c r="N31" s="9">
        <v>17086</v>
      </c>
      <c r="O31" s="16">
        <f>N31/N$39</f>
        <v>9.4100868023505059E-4</v>
      </c>
      <c r="P31" s="17" t="s">
        <v>37</v>
      </c>
      <c r="Q31" s="3"/>
      <c r="R31" s="3" t="s">
        <v>38</v>
      </c>
      <c r="S31" s="13">
        <f>C42/1000</f>
        <v>5112.2023600000002</v>
      </c>
      <c r="T31" s="15">
        <f>C43</f>
        <v>0.29471385863727595</v>
      </c>
    </row>
    <row r="32" spans="1:20">
      <c r="A32" s="5" t="s">
        <v>39</v>
      </c>
      <c r="B32" s="41">
        <v>212260</v>
      </c>
      <c r="C32" s="43">
        <f>C39-SUM(C31,C33:C38)</f>
        <v>205410</v>
      </c>
      <c r="D32" s="9">
        <v>0</v>
      </c>
      <c r="E32" s="134">
        <f>N32-SUM(F32:M32,B32:D32)</f>
        <v>4554028</v>
      </c>
      <c r="F32" s="9">
        <v>3907</v>
      </c>
      <c r="G32" s="43">
        <v>5000</v>
      </c>
      <c r="H32" s="9">
        <v>0</v>
      </c>
      <c r="I32" s="9"/>
      <c r="J32" s="9"/>
      <c r="K32" s="9"/>
      <c r="L32" s="9"/>
      <c r="M32" s="9">
        <v>659215</v>
      </c>
      <c r="N32" s="41">
        <f>5647943-220383+B32</f>
        <v>5639820</v>
      </c>
      <c r="O32" s="16">
        <f>N32/N$39</f>
        <v>0.31061217224413223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f>881698-B35</f>
        <v>453795</v>
      </c>
      <c r="C33" s="9">
        <v>39273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436241</v>
      </c>
      <c r="N33" s="41">
        <f>823198-347684+B33</f>
        <v>929309</v>
      </c>
      <c r="O33" s="16">
        <f>N33/N$39</f>
        <v>5.1181542527247728E-2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4092027</v>
      </c>
      <c r="D34" s="9">
        <v>0</v>
      </c>
      <c r="E34" s="9">
        <v>0</v>
      </c>
      <c r="F34" s="9">
        <v>410380</v>
      </c>
      <c r="G34" s="9">
        <v>0</v>
      </c>
      <c r="H34" s="9">
        <v>0</v>
      </c>
      <c r="I34" s="9"/>
      <c r="J34" s="9"/>
      <c r="K34" s="9"/>
      <c r="L34" s="9"/>
      <c r="M34" s="9">
        <v>153380</v>
      </c>
      <c r="N34" s="9">
        <v>4655787</v>
      </c>
      <c r="O34" s="16">
        <f>N34/N$39</f>
        <v>0.25641671428804319</v>
      </c>
      <c r="P34" s="17" t="s">
        <v>45</v>
      </c>
      <c r="Q34" s="3"/>
      <c r="R34" s="3"/>
      <c r="S34" s="13">
        <f>SUM(S26:S33)</f>
        <v>16439.124952746555</v>
      </c>
      <c r="T34" s="14">
        <f>SUM(T26:T33)</f>
        <v>0.94770073762186979</v>
      </c>
    </row>
    <row r="35" spans="1:47">
      <c r="A35" s="5" t="s">
        <v>46</v>
      </c>
      <c r="B35" s="41">
        <v>427903</v>
      </c>
      <c r="C35" s="9">
        <v>746970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2132280</v>
      </c>
      <c r="N35" s="41">
        <f>3307153-427903+B35</f>
        <v>3307153</v>
      </c>
      <c r="O35" s="16">
        <f>N35/N$39</f>
        <v>0.18214091536142973</v>
      </c>
      <c r="P35" s="17" t="s">
        <v>47</v>
      </c>
      <c r="Q35" s="17"/>
    </row>
    <row r="36" spans="1:47">
      <c r="A36" s="5" t="s">
        <v>48</v>
      </c>
      <c r="B36" s="41">
        <v>193427</v>
      </c>
      <c r="C36" s="43">
        <v>6000</v>
      </c>
      <c r="D36" s="9">
        <v>0</v>
      </c>
      <c r="E36" s="9">
        <v>0</v>
      </c>
      <c r="F36" s="9">
        <v>0</v>
      </c>
      <c r="G36" s="43">
        <f>N36-SUM(H36:M36,B36:E36)</f>
        <v>55467</v>
      </c>
      <c r="H36" s="9">
        <v>0</v>
      </c>
      <c r="I36" s="9"/>
      <c r="J36" s="9"/>
      <c r="K36" s="9"/>
      <c r="L36" s="9"/>
      <c r="M36" s="9">
        <v>715912</v>
      </c>
      <c r="N36" s="41">
        <f>938574-161195+B36</f>
        <v>970806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v>2171342</v>
      </c>
      <c r="C37" s="9">
        <v>2659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452828</v>
      </c>
      <c r="N37" s="9">
        <f>2481392-2025905+B37</f>
        <v>2626829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10322</v>
      </c>
      <c r="N38" s="9">
        <v>10322</v>
      </c>
      <c r="O38" s="17">
        <f>SUM(O31:O35)</f>
        <v>0.80129235310108793</v>
      </c>
      <c r="P38" s="17"/>
      <c r="Q38" s="3"/>
      <c r="R38" s="7" t="s">
        <v>51</v>
      </c>
      <c r="S38" s="19">
        <f>N45/1000</f>
        <v>1046.1067600000001</v>
      </c>
      <c r="T38" s="7"/>
    </row>
    <row r="39" spans="1:47">
      <c r="A39" s="5" t="s">
        <v>17</v>
      </c>
      <c r="B39" s="41">
        <f>SUM(B31:B38)</f>
        <v>3458727</v>
      </c>
      <c r="C39" s="9">
        <v>5101033</v>
      </c>
      <c r="D39" s="9">
        <v>0</v>
      </c>
      <c r="E39" s="43">
        <f>SUM(E31:E38)</f>
        <v>4554028</v>
      </c>
      <c r="F39" s="9">
        <v>415134</v>
      </c>
      <c r="G39" s="43">
        <f>SUM(G31:G38)</f>
        <v>60467</v>
      </c>
      <c r="H39" s="9">
        <v>0</v>
      </c>
      <c r="I39" s="9"/>
      <c r="J39" s="9"/>
      <c r="K39" s="9"/>
      <c r="L39" s="9"/>
      <c r="M39" s="9">
        <v>4567722</v>
      </c>
      <c r="N39" s="41">
        <f>SUM(N31:N38)</f>
        <v>18157112</v>
      </c>
      <c r="O39" s="3"/>
      <c r="P39" s="3"/>
      <c r="Q39" s="3"/>
      <c r="R39" s="7" t="s">
        <v>52</v>
      </c>
      <c r="S39" s="20">
        <f>N41/1000</f>
        <v>3607.9569999999999</v>
      </c>
      <c r="T39" s="14">
        <f>O41</f>
        <v>0.19870764689891213</v>
      </c>
    </row>
    <row r="40" spans="1:47">
      <c r="N40" s="9"/>
      <c r="R40" s="7" t="s">
        <v>53</v>
      </c>
      <c r="S40" s="20">
        <f>N35/1000</f>
        <v>3307.1529999999998</v>
      </c>
      <c r="T40" s="15">
        <f>O35</f>
        <v>0.18214091536142973</v>
      </c>
    </row>
    <row r="41" spans="1:47">
      <c r="A41" s="21" t="s">
        <v>54</v>
      </c>
      <c r="B41" s="22">
        <f>B38+B37+B36</f>
        <v>2364769</v>
      </c>
      <c r="C41" s="22">
        <f t="shared" ref="C41:N41" si="2">C38+C37+C36</f>
        <v>8659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55467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1179062</v>
      </c>
      <c r="N41" s="22">
        <f t="shared" si="2"/>
        <v>3607957</v>
      </c>
      <c r="O41" s="16">
        <f>N41/N$39</f>
        <v>0.19870764689891213</v>
      </c>
      <c r="P41" s="16" t="s">
        <v>55</v>
      </c>
      <c r="Q41" s="7"/>
      <c r="R41" s="7" t="s">
        <v>56</v>
      </c>
      <c r="S41" s="20">
        <f>N33/1000</f>
        <v>929.30899999999997</v>
      </c>
      <c r="T41" s="14">
        <f>O33</f>
        <v>5.1181542527247728E-2</v>
      </c>
    </row>
    <row r="42" spans="1:47">
      <c r="A42" s="23" t="s">
        <v>57</v>
      </c>
      <c r="B42" s="22"/>
      <c r="C42" s="24">
        <f>C39+C23+C10</f>
        <v>5112202.3600000003</v>
      </c>
      <c r="D42" s="24">
        <f t="shared" ref="D42:L42" si="3">D39+D23+D10</f>
        <v>0</v>
      </c>
      <c r="E42" s="24">
        <f t="shared" si="3"/>
        <v>6077288</v>
      </c>
      <c r="F42" s="24">
        <f t="shared" si="3"/>
        <v>415134</v>
      </c>
      <c r="G42" s="24">
        <f t="shared" si="3"/>
        <v>618585.4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907200</v>
      </c>
      <c r="L42" s="24">
        <f t="shared" si="3"/>
        <v>0</v>
      </c>
      <c r="M42" s="24">
        <f>M39+M23-B6+M45</f>
        <v>4215915.1927465545</v>
      </c>
      <c r="N42" s="25">
        <f>SUM(C42:M42)</f>
        <v>17346324.952746555</v>
      </c>
      <c r="O42" s="7"/>
      <c r="P42" s="7"/>
      <c r="Q42" s="7"/>
      <c r="R42" s="7" t="s">
        <v>37</v>
      </c>
      <c r="S42" s="20">
        <f>N31/1000</f>
        <v>17.085999999999999</v>
      </c>
      <c r="T42" s="14">
        <f>O31</f>
        <v>9.4100868023505059E-4</v>
      </c>
    </row>
    <row r="43" spans="1:47">
      <c r="A43" s="23" t="s">
        <v>58</v>
      </c>
      <c r="B43" s="22"/>
      <c r="C43" s="16">
        <f t="shared" ref="C43:M43" si="4">C42/$N42</f>
        <v>0.29471385863727595</v>
      </c>
      <c r="D43" s="16">
        <f t="shared" si="4"/>
        <v>0</v>
      </c>
      <c r="E43" s="16">
        <f t="shared" si="4"/>
        <v>0.35035017599147095</v>
      </c>
      <c r="F43" s="16">
        <f t="shared" si="4"/>
        <v>2.3932100956881312E-2</v>
      </c>
      <c r="G43" s="16">
        <f t="shared" si="4"/>
        <v>3.566089080454217E-2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5.2299262378130255E-2</v>
      </c>
      <c r="L43" s="16">
        <f t="shared" si="4"/>
        <v>0</v>
      </c>
      <c r="M43" s="16">
        <f t="shared" si="4"/>
        <v>0.24304371123169935</v>
      </c>
      <c r="N43" s="16">
        <f>SUM(C43:M43)</f>
        <v>0.99999999999999989</v>
      </c>
      <c r="O43" s="7"/>
      <c r="P43" s="7"/>
      <c r="Q43" s="7"/>
      <c r="R43" s="7" t="s">
        <v>59</v>
      </c>
      <c r="S43" s="20">
        <f>N32/1000</f>
        <v>5639.82</v>
      </c>
      <c r="T43" s="15">
        <f>O32</f>
        <v>0.31061217224413223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4655.7870000000003</v>
      </c>
      <c r="T44" s="15">
        <f>O34</f>
        <v>0.25641671428804319</v>
      </c>
    </row>
    <row r="45" spans="1:47">
      <c r="A45" s="6" t="s">
        <v>61</v>
      </c>
      <c r="B45" s="6">
        <f>B23+B16-B39-B30</f>
        <v>680689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365417.76</v>
      </c>
      <c r="N45" s="25">
        <f>B45+M45</f>
        <v>1046106.76</v>
      </c>
      <c r="O45" s="7"/>
      <c r="P45" s="7"/>
      <c r="Q45" s="7"/>
      <c r="R45" s="7" t="s">
        <v>62</v>
      </c>
      <c r="S45" s="20">
        <f>SUM(S39:S44)</f>
        <v>18157.112000000001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27" t="s">
        <v>115</v>
      </c>
      <c r="B47" s="9">
        <f>B45+Ale!B45+Partille!B45</f>
        <v>491950</v>
      </c>
      <c r="C47" s="27"/>
      <c r="D47" s="27"/>
      <c r="E47" s="27"/>
      <c r="F47" s="27"/>
      <c r="G47" s="27"/>
      <c r="H47" s="27"/>
      <c r="I47" s="9"/>
      <c r="J47" s="27"/>
      <c r="K47" s="27"/>
      <c r="L47" s="27"/>
      <c r="M47" s="27"/>
      <c r="N47" s="27"/>
      <c r="O47" s="27"/>
      <c r="P47" s="27"/>
      <c r="Q47" s="4"/>
      <c r="R47" s="4"/>
      <c r="S47" s="28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8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8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93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127456</v>
      </c>
      <c r="C6" s="9">
        <v>0</v>
      </c>
      <c r="D6" s="41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127456</v>
      </c>
      <c r="C10" s="9">
        <v>0</v>
      </c>
      <c r="D10" s="41">
        <f>SUM(D6:D9)</f>
        <v>0</v>
      </c>
      <c r="E10" s="9">
        <v>0</v>
      </c>
      <c r="F10" s="9">
        <v>0</v>
      </c>
      <c r="G10" s="41">
        <f>SUM(G6:G9)</f>
        <v>0</v>
      </c>
      <c r="H10" s="9">
        <v>0</v>
      </c>
      <c r="I10" s="9"/>
      <c r="J10" s="9"/>
      <c r="K10" s="9"/>
      <c r="L10" s="9"/>
      <c r="M10" s="9"/>
      <c r="N10" s="41">
        <f>SUM(N6:N9)</f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349863+126694</f>
        <v>476557</v>
      </c>
      <c r="C17" s="9">
        <v>1124</v>
      </c>
      <c r="D17" s="41">
        <v>0</v>
      </c>
      <c r="E17" s="9">
        <v>0</v>
      </c>
      <c r="F17" s="9">
        <v>0</v>
      </c>
      <c r="G17" s="41">
        <f>468670+0*(466063+(100948-83450))</f>
        <v>468670</v>
      </c>
      <c r="H17" s="9">
        <v>0</v>
      </c>
      <c r="I17" s="9"/>
      <c r="J17" s="41">
        <v>104170</v>
      </c>
      <c r="K17" s="9"/>
      <c r="L17" s="9"/>
      <c r="M17" s="9"/>
      <c r="N17" s="41">
        <f>SUM(C17:M17)</f>
        <v>573964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476557</v>
      </c>
      <c r="C23" s="9">
        <v>1124</v>
      </c>
      <c r="D23" s="41">
        <f>SUM(D18:D22)</f>
        <v>0</v>
      </c>
      <c r="E23" s="9">
        <v>0</v>
      </c>
      <c r="F23" s="9">
        <v>0</v>
      </c>
      <c r="G23" s="41">
        <f>SUM(G17:G22)</f>
        <v>468670</v>
      </c>
      <c r="H23" s="9">
        <v>0</v>
      </c>
      <c r="I23" s="9"/>
      <c r="J23" s="41">
        <f>SUM(J17:J22)</f>
        <v>104170</v>
      </c>
      <c r="K23" s="9"/>
      <c r="L23" s="9"/>
      <c r="M23" s="9"/>
      <c r="N23" s="41">
        <f>SUM(N17:N22)</f>
        <v>573964</v>
      </c>
      <c r="O23" s="3"/>
      <c r="P23" s="3"/>
      <c r="Q23" s="3"/>
      <c r="R23" s="3" t="s">
        <v>27</v>
      </c>
      <c r="S23" s="12">
        <f>N42/1000</f>
        <v>1633.80168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32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482.06468000000001</v>
      </c>
      <c r="T26" s="14">
        <f>M43</f>
        <v>0.29505703531899907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490.91</v>
      </c>
      <c r="T27" s="15">
        <f>G43</f>
        <v>0.30047098494843022</v>
      </c>
    </row>
    <row r="28" spans="1:20">
      <c r="A28" s="4" t="s">
        <v>93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104.17</v>
      </c>
      <c r="T28" s="14">
        <f>J43</f>
        <v>6.3759268505587538E-2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45.466000000000001</v>
      </c>
      <c r="T29" s="14">
        <f>F43</f>
        <v>2.7828346950897982E-2</v>
      </c>
    </row>
    <row r="30" spans="1:20">
      <c r="A30" s="90" t="s">
        <v>112</v>
      </c>
      <c r="B30" s="10">
        <f>153000-(64673-35600)</f>
        <v>123927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27.28</v>
      </c>
      <c r="T30" s="14">
        <f>E43</f>
        <v>1.6697252998295362E-2</v>
      </c>
    </row>
    <row r="31" spans="1:20">
      <c r="A31" s="5" t="s">
        <v>36</v>
      </c>
      <c r="B31" s="9">
        <v>0</v>
      </c>
      <c r="C31" s="9">
        <v>738</v>
      </c>
      <c r="D31" s="9">
        <v>0</v>
      </c>
      <c r="E31" s="9">
        <v>0</v>
      </c>
      <c r="F31" s="9">
        <v>72</v>
      </c>
      <c r="G31" s="9">
        <v>0</v>
      </c>
      <c r="H31" s="9">
        <v>0</v>
      </c>
      <c r="I31" s="9"/>
      <c r="J31" s="9"/>
      <c r="K31" s="9"/>
      <c r="L31" s="9"/>
      <c r="M31" s="9">
        <v>3761</v>
      </c>
      <c r="N31" s="9">
        <v>4571</v>
      </c>
      <c r="O31" s="16">
        <f>N31/N$39</f>
        <v>3.1928127835446161E-3</v>
      </c>
      <c r="P31" s="17" t="s">
        <v>37</v>
      </c>
      <c r="Q31" s="3"/>
      <c r="R31" s="3" t="s">
        <v>38</v>
      </c>
      <c r="S31" s="13">
        <f>C42/1000</f>
        <v>483.911</v>
      </c>
      <c r="T31" s="15">
        <f>C43</f>
        <v>0.29618711127778985</v>
      </c>
    </row>
    <row r="32" spans="1:20">
      <c r="A32" s="5" t="s">
        <v>39</v>
      </c>
      <c r="B32" s="9">
        <v>32920</v>
      </c>
      <c r="C32" s="43">
        <f>C39-SUM(C31,C33:C38)</f>
        <v>10628</v>
      </c>
      <c r="D32" s="9">
        <v>0</v>
      </c>
      <c r="E32" s="43">
        <f>N32-SUM(F32:M32,B32:D32)</f>
        <v>27280</v>
      </c>
      <c r="F32" s="9">
        <v>792</v>
      </c>
      <c r="G32" s="43">
        <v>0</v>
      </c>
      <c r="H32" s="9">
        <v>0</v>
      </c>
      <c r="I32" s="9"/>
      <c r="J32" s="9"/>
      <c r="K32" s="9"/>
      <c r="L32" s="9"/>
      <c r="M32" s="9">
        <v>88713</v>
      </c>
      <c r="N32" s="9">
        <v>160333</v>
      </c>
      <c r="O32" s="16">
        <f>N32/N$39</f>
        <v>0.11199152308555216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45261</v>
      </c>
      <c r="C33" s="9">
        <v>1804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107521</v>
      </c>
      <c r="N33" s="9">
        <v>154586</v>
      </c>
      <c r="O33" s="16">
        <f>N33/N$39</f>
        <v>0.10797728220455655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454741</v>
      </c>
      <c r="D34" s="9">
        <v>0</v>
      </c>
      <c r="E34" s="9">
        <v>0</v>
      </c>
      <c r="F34" s="9">
        <v>44602</v>
      </c>
      <c r="G34" s="9">
        <v>0</v>
      </c>
      <c r="H34" s="9">
        <v>0</v>
      </c>
      <c r="I34" s="9"/>
      <c r="J34" s="9"/>
      <c r="K34" s="9"/>
      <c r="L34" s="9"/>
      <c r="M34" s="9">
        <v>1749</v>
      </c>
      <c r="N34" s="9">
        <v>501092</v>
      </c>
      <c r="O34" s="16">
        <f>N34/N$39</f>
        <v>0.35000939473461795</v>
      </c>
      <c r="P34" s="17" t="s">
        <v>45</v>
      </c>
      <c r="Q34" s="3"/>
      <c r="R34" s="3"/>
      <c r="S34" s="13">
        <f>SUM(S26:S33)</f>
        <v>1633.80168</v>
      </c>
      <c r="T34" s="14">
        <f>SUM(T26:T33)</f>
        <v>1</v>
      </c>
    </row>
    <row r="35" spans="1:47">
      <c r="A35" s="5" t="s">
        <v>46</v>
      </c>
      <c r="B35" s="9">
        <v>63923</v>
      </c>
      <c r="C35" s="9">
        <v>13247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148784</v>
      </c>
      <c r="N35" s="9">
        <v>225954</v>
      </c>
      <c r="O35" s="16">
        <f>N35/N$39</f>
        <v>0.15782735062197334</v>
      </c>
      <c r="P35" s="17" t="s">
        <v>47</v>
      </c>
      <c r="Q35" s="17"/>
    </row>
    <row r="36" spans="1:47">
      <c r="A36" s="5" t="s">
        <v>48</v>
      </c>
      <c r="B36" s="9">
        <v>23543</v>
      </c>
      <c r="C36" s="43">
        <v>1500</v>
      </c>
      <c r="D36" s="9">
        <v>0</v>
      </c>
      <c r="E36" s="9">
        <v>0</v>
      </c>
      <c r="F36" s="9">
        <v>0</v>
      </c>
      <c r="G36" s="43">
        <f>N36-SUM(H36:M36,B36:E36)</f>
        <v>22240</v>
      </c>
      <c r="H36" s="9">
        <v>0</v>
      </c>
      <c r="I36" s="9"/>
      <c r="J36" s="9"/>
      <c r="K36" s="9"/>
      <c r="L36" s="9"/>
      <c r="M36" s="9">
        <v>171663</v>
      </c>
      <c r="N36" s="9">
        <v>218946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123863</v>
      </c>
      <c r="C37" s="9">
        <v>129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40090</v>
      </c>
      <c r="N37" s="9">
        <v>164082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2090</v>
      </c>
      <c r="N38" s="9">
        <v>2090</v>
      </c>
      <c r="O38" s="17">
        <f>SUM(O31:O35)</f>
        <v>0.7309983634302446</v>
      </c>
      <c r="P38" s="17"/>
      <c r="Q38" s="3"/>
      <c r="R38" s="7" t="s">
        <v>51</v>
      </c>
      <c r="S38" s="19">
        <f>N45/1000</f>
        <v>108.26967999999999</v>
      </c>
      <c r="T38" s="7"/>
    </row>
    <row r="39" spans="1:47">
      <c r="A39" s="5" t="s">
        <v>17</v>
      </c>
      <c r="B39" s="9">
        <v>289510</v>
      </c>
      <c r="C39" s="9">
        <v>482787</v>
      </c>
      <c r="D39" s="9">
        <v>0</v>
      </c>
      <c r="E39" s="43">
        <f>SUM(E31:E38)</f>
        <v>27280</v>
      </c>
      <c r="F39" s="9">
        <v>45466</v>
      </c>
      <c r="G39" s="43">
        <f>SUM(G31:G38)</f>
        <v>22240</v>
      </c>
      <c r="H39" s="9">
        <v>0</v>
      </c>
      <c r="I39" s="9"/>
      <c r="J39" s="9"/>
      <c r="K39" s="9"/>
      <c r="L39" s="9"/>
      <c r="M39" s="9">
        <v>564371</v>
      </c>
      <c r="N39" s="9">
        <v>1431653</v>
      </c>
      <c r="O39" s="3"/>
      <c r="P39" s="3"/>
      <c r="Q39" s="3"/>
      <c r="R39" s="7" t="s">
        <v>52</v>
      </c>
      <c r="S39" s="20">
        <f>N41/1000</f>
        <v>385.11799999999999</v>
      </c>
      <c r="T39" s="14">
        <f>O41</f>
        <v>0.2690023350630355</v>
      </c>
    </row>
    <row r="40" spans="1:47">
      <c r="B40" s="10"/>
      <c r="R40" s="7" t="s">
        <v>53</v>
      </c>
      <c r="S40" s="20">
        <f>N35/1000</f>
        <v>225.95400000000001</v>
      </c>
      <c r="T40" s="15">
        <f>O35</f>
        <v>0.15782735062197334</v>
      </c>
    </row>
    <row r="41" spans="1:47">
      <c r="A41" s="21" t="s">
        <v>54</v>
      </c>
      <c r="B41" s="22">
        <f>B38+B37+B36</f>
        <v>147406</v>
      </c>
      <c r="C41" s="22">
        <f t="shared" ref="C41:N41" si="0">C38+C37+C36</f>
        <v>1629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22240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213843</v>
      </c>
      <c r="N41" s="22">
        <f t="shared" si="0"/>
        <v>385118</v>
      </c>
      <c r="O41" s="16">
        <f>N41/N$39</f>
        <v>0.2690023350630355</v>
      </c>
      <c r="P41" s="16" t="s">
        <v>55</v>
      </c>
      <c r="Q41" s="7"/>
      <c r="R41" s="7" t="s">
        <v>56</v>
      </c>
      <c r="S41" s="20">
        <f>N33/1000</f>
        <v>154.58600000000001</v>
      </c>
      <c r="T41" s="14">
        <f>O33</f>
        <v>0.10797728220455655</v>
      </c>
    </row>
    <row r="42" spans="1:47">
      <c r="A42" s="23" t="s">
        <v>57</v>
      </c>
      <c r="B42" s="22"/>
      <c r="C42" s="24">
        <f>C39+C23+C10</f>
        <v>483911</v>
      </c>
      <c r="D42" s="24">
        <f t="shared" ref="D42:L42" si="1">D39+D23+D10</f>
        <v>0</v>
      </c>
      <c r="E42" s="24">
        <f t="shared" si="1"/>
        <v>27280</v>
      </c>
      <c r="F42" s="24">
        <f t="shared" si="1"/>
        <v>45466</v>
      </c>
      <c r="G42" s="24">
        <f t="shared" si="1"/>
        <v>490910</v>
      </c>
      <c r="H42" s="24">
        <f t="shared" si="1"/>
        <v>0</v>
      </c>
      <c r="I42" s="24">
        <f t="shared" si="1"/>
        <v>0</v>
      </c>
      <c r="J42" s="24">
        <f t="shared" si="1"/>
        <v>104170</v>
      </c>
      <c r="K42" s="24">
        <f t="shared" si="1"/>
        <v>0</v>
      </c>
      <c r="L42" s="24">
        <f t="shared" si="1"/>
        <v>0</v>
      </c>
      <c r="M42" s="24">
        <f>M39+M23-B6+M45</f>
        <v>482064.68</v>
      </c>
      <c r="N42" s="25">
        <f>SUM(C42:M42)</f>
        <v>1633801.68</v>
      </c>
      <c r="O42" s="7"/>
      <c r="P42" s="7"/>
      <c r="Q42" s="7"/>
      <c r="R42" s="7" t="s">
        <v>37</v>
      </c>
      <c r="S42" s="20">
        <f>N31/1000</f>
        <v>4.5709999999999997</v>
      </c>
      <c r="T42" s="14">
        <f>O31</f>
        <v>3.1928127835446161E-3</v>
      </c>
    </row>
    <row r="43" spans="1:47">
      <c r="A43" s="23" t="s">
        <v>58</v>
      </c>
      <c r="B43" s="22"/>
      <c r="C43" s="16">
        <f t="shared" ref="C43:M43" si="2">C42/$N42</f>
        <v>0.29618711127778985</v>
      </c>
      <c r="D43" s="16">
        <f t="shared" si="2"/>
        <v>0</v>
      </c>
      <c r="E43" s="16">
        <f t="shared" si="2"/>
        <v>1.6697252998295362E-2</v>
      </c>
      <c r="F43" s="16">
        <f t="shared" si="2"/>
        <v>2.7828346950897982E-2</v>
      </c>
      <c r="G43" s="16">
        <f t="shared" si="2"/>
        <v>0.30047098494843022</v>
      </c>
      <c r="H43" s="16">
        <f t="shared" si="2"/>
        <v>0</v>
      </c>
      <c r="I43" s="16">
        <f t="shared" si="2"/>
        <v>0</v>
      </c>
      <c r="J43" s="16">
        <f t="shared" si="2"/>
        <v>6.3759268505587538E-2</v>
      </c>
      <c r="K43" s="16">
        <f t="shared" si="2"/>
        <v>0</v>
      </c>
      <c r="L43" s="16">
        <f t="shared" si="2"/>
        <v>0</v>
      </c>
      <c r="M43" s="16">
        <f t="shared" si="2"/>
        <v>0.29505703531899907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160.333</v>
      </c>
      <c r="T43" s="15">
        <f>O32</f>
        <v>0.11199152308555216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501.09199999999998</v>
      </c>
      <c r="T44" s="15">
        <f>O34</f>
        <v>0.35000939473461795</v>
      </c>
    </row>
    <row r="45" spans="1:47">
      <c r="A45" s="6" t="s">
        <v>61</v>
      </c>
      <c r="B45" s="6">
        <f>B23-B39-B30</f>
        <v>63120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45149.68</v>
      </c>
      <c r="N45" s="25">
        <f>B45+M45</f>
        <v>108269.68</v>
      </c>
      <c r="O45" s="7"/>
      <c r="P45" s="7"/>
      <c r="Q45" s="7"/>
      <c r="R45" s="7" t="s">
        <v>62</v>
      </c>
      <c r="S45" s="20">
        <f>SUM(S39:S44)</f>
        <v>1431.654</v>
      </c>
      <c r="T45" s="14">
        <f>SUM(T39:T44)</f>
        <v>1.0000006984932801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94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5507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5132.04032036434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10639.04032036434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A16" s="76" t="s">
        <v>111</v>
      </c>
      <c r="B16" s="10">
        <v>35600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73911+26090</f>
        <v>100001</v>
      </c>
      <c r="C17" s="9">
        <v>0</v>
      </c>
      <c r="D17" s="9">
        <v>0</v>
      </c>
      <c r="E17" s="9">
        <v>0</v>
      </c>
      <c r="F17" s="9">
        <v>1382</v>
      </c>
      <c r="G17" s="9">
        <v>100889</v>
      </c>
      <c r="H17" s="9">
        <v>0</v>
      </c>
      <c r="I17" s="9"/>
      <c r="J17" s="9"/>
      <c r="K17" s="9"/>
      <c r="L17" s="9"/>
      <c r="M17" s="9"/>
      <c r="N17" s="9">
        <v>102271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5654</v>
      </c>
      <c r="C18" s="9">
        <v>100</v>
      </c>
      <c r="D18" s="9">
        <v>0</v>
      </c>
      <c r="E18" s="9">
        <v>0</v>
      </c>
      <c r="F18" s="9">
        <v>0</v>
      </c>
      <c r="G18" s="9">
        <v>6216</v>
      </c>
      <c r="H18" s="9">
        <v>0</v>
      </c>
      <c r="I18" s="9"/>
      <c r="J18" s="9"/>
      <c r="K18" s="9"/>
      <c r="L18" s="9"/>
      <c r="M18" s="9"/>
      <c r="N18" s="9">
        <v>6316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105655</v>
      </c>
      <c r="C23" s="9">
        <v>100</v>
      </c>
      <c r="D23" s="9">
        <v>0</v>
      </c>
      <c r="E23" s="9">
        <v>0</v>
      </c>
      <c r="F23" s="9">
        <v>1382</v>
      </c>
      <c r="G23" s="9">
        <v>107105</v>
      </c>
      <c r="H23" s="9">
        <v>0</v>
      </c>
      <c r="I23" s="9"/>
      <c r="J23" s="9"/>
      <c r="K23" s="9"/>
      <c r="L23" s="9"/>
      <c r="M23" s="9"/>
      <c r="N23" s="9">
        <v>108587</v>
      </c>
      <c r="O23" s="3"/>
      <c r="P23" s="3"/>
      <c r="Q23" s="3"/>
      <c r="R23" s="3" t="s">
        <v>27</v>
      </c>
      <c r="S23" s="12">
        <f>N42/1000</f>
        <v>982.79943999999989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385.09444000000002</v>
      </c>
      <c r="T26" s="14">
        <f>M43</f>
        <v>0.39183420780133943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141.81</v>
      </c>
      <c r="T27" s="15">
        <f>G43</f>
        <v>0.144291901509427</v>
      </c>
    </row>
    <row r="28" spans="1:20">
      <c r="A28" s="4" t="s">
        <v>94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38.308</v>
      </c>
      <c r="T29" s="14">
        <f>F43</f>
        <v>3.8978451188372676E-2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12.558</v>
      </c>
      <c r="T30" s="14">
        <f>E43</f>
        <v>1.2777785058566986E-2</v>
      </c>
    </row>
    <row r="31" spans="1:20">
      <c r="A31" s="5" t="s">
        <v>36</v>
      </c>
      <c r="B31" s="9">
        <v>0</v>
      </c>
      <c r="C31" s="9">
        <v>3297</v>
      </c>
      <c r="D31" s="9">
        <v>0</v>
      </c>
      <c r="E31" s="9">
        <v>0</v>
      </c>
      <c r="F31" s="9">
        <v>326</v>
      </c>
      <c r="G31" s="9">
        <v>0</v>
      </c>
      <c r="H31" s="9">
        <v>0</v>
      </c>
      <c r="I31" s="9"/>
      <c r="J31" s="9"/>
      <c r="K31" s="9"/>
      <c r="L31" s="9"/>
      <c r="M31" s="9">
        <v>11507</v>
      </c>
      <c r="N31" s="9">
        <v>15130</v>
      </c>
      <c r="O31" s="16">
        <f>N31/N$39</f>
        <v>1.5478403381719116E-2</v>
      </c>
      <c r="P31" s="17" t="s">
        <v>37</v>
      </c>
      <c r="Q31" s="3"/>
      <c r="R31" s="3" t="s">
        <v>38</v>
      </c>
      <c r="S31" s="13">
        <f>C42/1000</f>
        <v>405.029</v>
      </c>
      <c r="T31" s="15">
        <f>C43</f>
        <v>0.41211765444229398</v>
      </c>
    </row>
    <row r="32" spans="1:20">
      <c r="A32" s="5" t="s">
        <v>39</v>
      </c>
      <c r="B32" s="9">
        <v>9199</v>
      </c>
      <c r="C32" s="43">
        <f>C39-SUM(C33:C38,C31)</f>
        <v>4414</v>
      </c>
      <c r="D32" s="9">
        <v>0</v>
      </c>
      <c r="E32" s="18">
        <f>N32-SUM(F32:M32,B32:D32)</f>
        <v>12558</v>
      </c>
      <c r="F32" s="9">
        <v>226</v>
      </c>
      <c r="G32" s="43">
        <v>200</v>
      </c>
      <c r="H32" s="9">
        <v>0</v>
      </c>
      <c r="I32" s="9"/>
      <c r="J32" s="9"/>
      <c r="K32" s="9"/>
      <c r="L32" s="9"/>
      <c r="M32" s="9">
        <v>48332</v>
      </c>
      <c r="N32" s="9">
        <v>74929</v>
      </c>
      <c r="O32" s="16">
        <f>N32/N$39</f>
        <v>7.6654414209440289E-2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26861</v>
      </c>
      <c r="C33" s="9">
        <v>2362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39099</v>
      </c>
      <c r="N33" s="9">
        <v>68323</v>
      </c>
      <c r="O33" s="16">
        <f>N33/N$39</f>
        <v>6.9896295720369803E-2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393683</v>
      </c>
      <c r="D34" s="9">
        <v>0</v>
      </c>
      <c r="E34" s="9">
        <v>0</v>
      </c>
      <c r="F34" s="9">
        <v>36374</v>
      </c>
      <c r="G34" s="9">
        <v>0</v>
      </c>
      <c r="H34" s="9">
        <v>0</v>
      </c>
      <c r="I34" s="9"/>
      <c r="J34" s="9"/>
      <c r="K34" s="9"/>
      <c r="L34" s="9"/>
      <c r="M34" s="9">
        <v>845</v>
      </c>
      <c r="N34" s="9">
        <v>430902</v>
      </c>
      <c r="O34" s="16">
        <f>N34/N$39</f>
        <v>0.44082451910043163</v>
      </c>
      <c r="P34" s="17" t="s">
        <v>45</v>
      </c>
      <c r="Q34" s="3"/>
      <c r="R34" s="3"/>
      <c r="S34" s="13">
        <f>SUM(S26:S33)</f>
        <v>982.79944</v>
      </c>
      <c r="T34" s="14">
        <f>SUM(T26:T33)</f>
        <v>1</v>
      </c>
    </row>
    <row r="35" spans="1:47">
      <c r="A35" s="5" t="s">
        <v>46</v>
      </c>
      <c r="B35" s="9">
        <v>11860</v>
      </c>
      <c r="C35" s="9">
        <v>373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79179</v>
      </c>
      <c r="N35" s="9">
        <v>91412</v>
      </c>
      <c r="O35" s="16">
        <f>N35/N$39</f>
        <v>9.3516973557812813E-2</v>
      </c>
      <c r="P35" s="17" t="s">
        <v>47</v>
      </c>
      <c r="Q35" s="17"/>
    </row>
    <row r="36" spans="1:47">
      <c r="A36" s="5" t="s">
        <v>48</v>
      </c>
      <c r="B36" s="9">
        <v>7197</v>
      </c>
      <c r="C36" s="43">
        <v>750</v>
      </c>
      <c r="D36" s="9">
        <v>0</v>
      </c>
      <c r="E36" s="9">
        <v>0</v>
      </c>
      <c r="F36" s="9">
        <v>0</v>
      </c>
      <c r="G36" s="43">
        <f>N36-SUM(H36:M36,B36:F36)</f>
        <v>34505</v>
      </c>
      <c r="H36" s="9">
        <v>0</v>
      </c>
      <c r="I36" s="9"/>
      <c r="J36" s="9"/>
      <c r="K36" s="9"/>
      <c r="L36" s="9"/>
      <c r="M36" s="9">
        <v>145205</v>
      </c>
      <c r="N36" s="9">
        <v>187657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71588</v>
      </c>
      <c r="C37" s="9">
        <v>50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22308</v>
      </c>
      <c r="N37" s="9">
        <v>93945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15193</v>
      </c>
      <c r="N38" s="9">
        <v>15193</v>
      </c>
      <c r="O38" s="17">
        <f>SUM(O31:O35)</f>
        <v>0.69637060596977374</v>
      </c>
      <c r="P38" s="17"/>
      <c r="Q38" s="3"/>
      <c r="R38" s="7" t="s">
        <v>51</v>
      </c>
      <c r="S38" s="19">
        <f>N45/1000</f>
        <v>43.483440000000002</v>
      </c>
      <c r="T38" s="7"/>
    </row>
    <row r="39" spans="1:47">
      <c r="A39" s="5" t="s">
        <v>17</v>
      </c>
      <c r="B39" s="9">
        <v>126705</v>
      </c>
      <c r="C39" s="9">
        <v>404929</v>
      </c>
      <c r="D39" s="9">
        <v>0</v>
      </c>
      <c r="E39" s="43">
        <f>SUM(E31:E38)</f>
        <v>12558</v>
      </c>
      <c r="F39" s="9">
        <v>36926</v>
      </c>
      <c r="G39" s="18">
        <f>SUM(G31:G38)</f>
        <v>34705</v>
      </c>
      <c r="H39" s="9">
        <v>0</v>
      </c>
      <c r="I39" s="9"/>
      <c r="J39" s="9"/>
      <c r="K39" s="9"/>
      <c r="L39" s="9"/>
      <c r="M39" s="9">
        <v>361668</v>
      </c>
      <c r="N39" s="9">
        <v>977491</v>
      </c>
      <c r="O39" s="3"/>
      <c r="P39" s="3"/>
      <c r="Q39" s="3"/>
      <c r="R39" s="7" t="s">
        <v>52</v>
      </c>
      <c r="S39" s="20">
        <f>N41/1000</f>
        <v>296.79500000000002</v>
      </c>
      <c r="T39" s="14">
        <f>O41</f>
        <v>0.30362939403022637</v>
      </c>
    </row>
    <row r="40" spans="1:47">
      <c r="F40" s="10"/>
      <c r="R40" s="7" t="s">
        <v>53</v>
      </c>
      <c r="S40" s="20">
        <f>N35/1000</f>
        <v>91.412000000000006</v>
      </c>
      <c r="T40" s="15">
        <f>O35</f>
        <v>9.3516973557812813E-2</v>
      </c>
    </row>
    <row r="41" spans="1:47">
      <c r="A41" s="21" t="s">
        <v>54</v>
      </c>
      <c r="B41" s="22">
        <f>B38+B37+B36</f>
        <v>78785</v>
      </c>
      <c r="C41" s="22">
        <f t="shared" ref="C41:N41" si="0">C38+C37+C36</f>
        <v>800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34505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182706</v>
      </c>
      <c r="N41" s="22">
        <f t="shared" si="0"/>
        <v>296795</v>
      </c>
      <c r="O41" s="16">
        <f>N41/N$39</f>
        <v>0.30362939403022637</v>
      </c>
      <c r="P41" s="16" t="s">
        <v>55</v>
      </c>
      <c r="Q41" s="7"/>
      <c r="R41" s="7" t="s">
        <v>56</v>
      </c>
      <c r="S41" s="20">
        <f>N33/1000</f>
        <v>68.322999999999993</v>
      </c>
      <c r="T41" s="14">
        <f>O33</f>
        <v>6.9896295720369803E-2</v>
      </c>
    </row>
    <row r="42" spans="1:47">
      <c r="A42" s="23" t="s">
        <v>57</v>
      </c>
      <c r="B42" s="22"/>
      <c r="C42" s="24">
        <f>C39+C23+C10</f>
        <v>405029</v>
      </c>
      <c r="D42" s="24">
        <f t="shared" ref="D42:L42" si="1">D39+D23+D10</f>
        <v>0</v>
      </c>
      <c r="E42" s="24">
        <f t="shared" si="1"/>
        <v>12558</v>
      </c>
      <c r="F42" s="24">
        <f t="shared" si="1"/>
        <v>38308</v>
      </c>
      <c r="G42" s="24">
        <f t="shared" si="1"/>
        <v>141810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385094.44</v>
      </c>
      <c r="N42" s="25">
        <f>SUM(C42:M42)</f>
        <v>982799.44</v>
      </c>
      <c r="O42" s="7"/>
      <c r="P42" s="7"/>
      <c r="Q42" s="7"/>
      <c r="R42" s="7" t="s">
        <v>37</v>
      </c>
      <c r="S42" s="20">
        <f>N31/1000</f>
        <v>15.13</v>
      </c>
      <c r="T42" s="14">
        <f>O31</f>
        <v>1.5478403381719116E-2</v>
      </c>
    </row>
    <row r="43" spans="1:47">
      <c r="A43" s="23" t="s">
        <v>58</v>
      </c>
      <c r="B43" s="22"/>
      <c r="C43" s="16">
        <f t="shared" ref="C43:M43" si="2">C42/$N42</f>
        <v>0.41211765444229398</v>
      </c>
      <c r="D43" s="16">
        <f t="shared" si="2"/>
        <v>0</v>
      </c>
      <c r="E43" s="16">
        <f t="shared" si="2"/>
        <v>1.2777785058566986E-2</v>
      </c>
      <c r="F43" s="16">
        <f t="shared" si="2"/>
        <v>3.8978451188372676E-2</v>
      </c>
      <c r="G43" s="16">
        <f t="shared" si="2"/>
        <v>0.144291901509427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0.39183420780133943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74.929000000000002</v>
      </c>
      <c r="T43" s="15">
        <f>O32</f>
        <v>7.6654414209440289E-2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430.90199999999999</v>
      </c>
      <c r="T44" s="15">
        <f>O34</f>
        <v>0.44082451910043163</v>
      </c>
    </row>
    <row r="45" spans="1:47">
      <c r="A45" s="6" t="s">
        <v>61</v>
      </c>
      <c r="B45" s="6">
        <f>B23-B39+B16</f>
        <v>14550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28933.440000000002</v>
      </c>
      <c r="N45" s="25">
        <f>B45+M45</f>
        <v>43483.44</v>
      </c>
      <c r="O45" s="7"/>
      <c r="P45" s="7"/>
      <c r="Q45" s="7"/>
      <c r="R45" s="7" t="s">
        <v>62</v>
      </c>
      <c r="S45" s="20">
        <f>SUM(S39:S44)</f>
        <v>977.49099999999999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1" enableFormatConditionsCalculation="0"/>
  <dimension ref="A1:AU70"/>
  <sheetViews>
    <sheetView topLeftCell="A9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95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19638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19638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10269</v>
      </c>
      <c r="C18" s="9">
        <v>11353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11353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42924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53193</v>
      </c>
      <c r="C23" s="9">
        <v>11353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11353</v>
      </c>
      <c r="O23" s="3"/>
      <c r="P23" s="3"/>
      <c r="Q23" s="3"/>
      <c r="R23" s="3" t="s">
        <v>27</v>
      </c>
      <c r="S23" s="12">
        <f>N42/1000</f>
        <v>6065.8425999999999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654.06959999999992</v>
      </c>
      <c r="T26" s="14">
        <f>M43</f>
        <v>0.10782831720691204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16.96</v>
      </c>
      <c r="T27" s="15">
        <f>G43</f>
        <v>2.7959841885775278E-3</v>
      </c>
    </row>
    <row r="28" spans="1:20">
      <c r="A28" s="4" t="s">
        <v>95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10.88</v>
      </c>
      <c r="T29" s="14">
        <f>F43</f>
        <v>1.7936502341818102E-3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4642.2822588996778</v>
      </c>
      <c r="T30" s="14">
        <f>E43</f>
        <v>0.76531531808947328</v>
      </c>
    </row>
    <row r="31" spans="1:20">
      <c r="A31" s="5" t="s">
        <v>36</v>
      </c>
      <c r="B31" s="9">
        <v>0</v>
      </c>
      <c r="C31" s="9">
        <v>3586</v>
      </c>
      <c r="D31" s="9">
        <v>0</v>
      </c>
      <c r="E31" s="9">
        <v>0</v>
      </c>
      <c r="F31" s="9">
        <v>389</v>
      </c>
      <c r="G31" s="9">
        <v>0</v>
      </c>
      <c r="H31" s="9">
        <v>0</v>
      </c>
      <c r="I31" s="9"/>
      <c r="J31" s="9"/>
      <c r="K31" s="9"/>
      <c r="L31" s="9"/>
      <c r="M31" s="9">
        <v>4107</v>
      </c>
      <c r="N31" s="9">
        <v>8082</v>
      </c>
      <c r="O31" s="16">
        <f>N31/N$39</f>
        <v>1.3360121904086822E-3</v>
      </c>
      <c r="P31" s="17" t="s">
        <v>37</v>
      </c>
      <c r="Q31" s="3"/>
      <c r="R31" s="3" t="s">
        <v>38</v>
      </c>
      <c r="S31" s="13">
        <f>C42/1000</f>
        <v>246.78100000000001</v>
      </c>
      <c r="T31" s="15">
        <f>C43</f>
        <v>4.0683713092060779E-2</v>
      </c>
    </row>
    <row r="32" spans="1:20">
      <c r="A32" s="5" t="s">
        <v>39</v>
      </c>
      <c r="B32" s="9">
        <v>4442</v>
      </c>
      <c r="C32" s="43">
        <v>100000</v>
      </c>
      <c r="D32" s="43">
        <v>494869.74110032298</v>
      </c>
      <c r="E32" s="43">
        <f>N32-SUM(F32:M32,B32:D32)</f>
        <v>4642282.2588996775</v>
      </c>
      <c r="F32" s="9">
        <v>418</v>
      </c>
      <c r="G32" s="43">
        <v>0</v>
      </c>
      <c r="H32" s="9">
        <v>0</v>
      </c>
      <c r="I32" s="9"/>
      <c r="J32" s="9"/>
      <c r="K32" s="9"/>
      <c r="L32" s="9"/>
      <c r="M32" s="9">
        <v>457037</v>
      </c>
      <c r="N32" s="9">
        <v>5699049</v>
      </c>
      <c r="O32" s="16">
        <f>N32/N$39</f>
        <v>0.94209340976694012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9011</v>
      </c>
      <c r="C33" s="9">
        <v>10819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22735</v>
      </c>
      <c r="N33" s="9">
        <v>42565</v>
      </c>
      <c r="O33" s="16">
        <f>N33/N$39</f>
        <v>7.0362978080605737E-3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113028</v>
      </c>
      <c r="D34" s="9">
        <v>0</v>
      </c>
      <c r="E34" s="9">
        <v>0</v>
      </c>
      <c r="F34" s="9">
        <v>10073</v>
      </c>
      <c r="G34" s="9">
        <v>0</v>
      </c>
      <c r="H34" s="9">
        <v>0</v>
      </c>
      <c r="I34" s="9"/>
      <c r="J34" s="9"/>
      <c r="K34" s="9"/>
      <c r="L34" s="9"/>
      <c r="M34" s="9">
        <v>16</v>
      </c>
      <c r="N34" s="9">
        <v>123118</v>
      </c>
      <c r="O34" s="16">
        <f>N34/N$39</f>
        <v>2.0352282709568934E-2</v>
      </c>
      <c r="P34" s="17" t="s">
        <v>45</v>
      </c>
      <c r="Q34" s="3"/>
      <c r="R34" s="3"/>
      <c r="S34" s="13">
        <f>SUM(S26:S33)</f>
        <v>5570.9728588996777</v>
      </c>
      <c r="T34" s="14">
        <f>SUM(T26:T33)</f>
        <v>0.91841698281120543</v>
      </c>
    </row>
    <row r="35" spans="1:47">
      <c r="A35" s="5" t="s">
        <v>46</v>
      </c>
      <c r="B35" s="9">
        <v>3148</v>
      </c>
      <c r="C35" s="9">
        <v>7197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24856</v>
      </c>
      <c r="N35" s="9">
        <v>35201</v>
      </c>
      <c r="O35" s="16">
        <f>N35/N$39</f>
        <v>5.8189761339490255E-3</v>
      </c>
      <c r="P35" s="17" t="s">
        <v>47</v>
      </c>
      <c r="Q35" s="17"/>
    </row>
    <row r="36" spans="1:47">
      <c r="A36" s="5" t="s">
        <v>48</v>
      </c>
      <c r="B36" s="9">
        <v>733</v>
      </c>
      <c r="C36" s="43">
        <v>400</v>
      </c>
      <c r="D36" s="9">
        <v>0</v>
      </c>
      <c r="E36" s="9">
        <v>0</v>
      </c>
      <c r="F36" s="9">
        <v>0</v>
      </c>
      <c r="G36" s="43">
        <f>N36-SUM(H36:M36,B36:F36)</f>
        <v>16960</v>
      </c>
      <c r="H36" s="9">
        <v>0</v>
      </c>
      <c r="I36" s="9"/>
      <c r="J36" s="9"/>
      <c r="K36" s="9"/>
      <c r="L36" s="9"/>
      <c r="M36" s="9">
        <v>61005</v>
      </c>
      <c r="N36" s="9">
        <v>79098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25972</v>
      </c>
      <c r="C37" s="9">
        <v>398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12469</v>
      </c>
      <c r="N37" s="9">
        <v>38839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23395</v>
      </c>
      <c r="N38" s="9">
        <v>23395</v>
      </c>
      <c r="O38" s="17">
        <f>SUM(O31:O35)</f>
        <v>0.97663697860892729</v>
      </c>
      <c r="P38" s="17"/>
      <c r="Q38" s="3"/>
      <c r="R38" s="7" t="s">
        <v>51</v>
      </c>
      <c r="S38" s="19">
        <f>N45/1000</f>
        <v>58.336599999999997</v>
      </c>
      <c r="T38" s="7"/>
    </row>
    <row r="39" spans="1:47">
      <c r="A39" s="5" t="s">
        <v>17</v>
      </c>
      <c r="B39" s="9">
        <v>43306</v>
      </c>
      <c r="C39" s="43">
        <f>SUM(C31:C38)</f>
        <v>235428</v>
      </c>
      <c r="D39" s="43">
        <f>SUM(D31:D38)</f>
        <v>494869.74110032298</v>
      </c>
      <c r="E39" s="43">
        <f>SUM(E31:E38)</f>
        <v>4642282.2588996775</v>
      </c>
      <c r="F39" s="9">
        <v>10880</v>
      </c>
      <c r="G39" s="43">
        <f>SUM(G31:G38)</f>
        <v>16960</v>
      </c>
      <c r="H39" s="9">
        <v>0</v>
      </c>
      <c r="I39" s="9"/>
      <c r="J39" s="9"/>
      <c r="K39" s="9"/>
      <c r="L39" s="9"/>
      <c r="M39" s="9">
        <v>605620</v>
      </c>
      <c r="N39" s="9">
        <v>6049346</v>
      </c>
      <c r="O39" s="3"/>
      <c r="P39" s="3"/>
      <c r="Q39" s="3"/>
      <c r="R39" s="7" t="s">
        <v>52</v>
      </c>
      <c r="S39" s="20">
        <f>N41/1000</f>
        <v>141.33199999999999</v>
      </c>
      <c r="T39" s="14">
        <f>O41</f>
        <v>2.3363186698198452E-2</v>
      </c>
    </row>
    <row r="40" spans="1:47">
      <c r="R40" s="7" t="s">
        <v>53</v>
      </c>
      <c r="S40" s="20">
        <f>N35/1000</f>
        <v>35.201000000000001</v>
      </c>
      <c r="T40" s="15">
        <f>O35</f>
        <v>5.8189761339490255E-3</v>
      </c>
    </row>
    <row r="41" spans="1:47">
      <c r="A41" s="21" t="s">
        <v>54</v>
      </c>
      <c r="B41" s="22">
        <f>B38+B37+B36</f>
        <v>26705</v>
      </c>
      <c r="C41" s="22">
        <f t="shared" ref="C41:N41" si="0">C38+C37+C36</f>
        <v>798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16960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96869</v>
      </c>
      <c r="N41" s="22">
        <f t="shared" si="0"/>
        <v>141332</v>
      </c>
      <c r="O41" s="16">
        <f>N41/N$39</f>
        <v>2.3363186698198452E-2</v>
      </c>
      <c r="P41" s="16" t="s">
        <v>55</v>
      </c>
      <c r="Q41" s="7"/>
      <c r="R41" s="7" t="s">
        <v>56</v>
      </c>
      <c r="S41" s="20">
        <f>N33/1000</f>
        <v>42.564999999999998</v>
      </c>
      <c r="T41" s="14">
        <f>O33</f>
        <v>7.0362978080605737E-3</v>
      </c>
    </row>
    <row r="42" spans="1:47">
      <c r="A42" s="23" t="s">
        <v>57</v>
      </c>
      <c r="B42" s="22"/>
      <c r="C42" s="24">
        <f>C39+C23+C10</f>
        <v>246781</v>
      </c>
      <c r="D42" s="24">
        <f t="shared" ref="D42:L42" si="1">D39+D23+D10</f>
        <v>494869.74110032298</v>
      </c>
      <c r="E42" s="24">
        <f t="shared" si="1"/>
        <v>4642282.2588996775</v>
      </c>
      <c r="F42" s="24">
        <f t="shared" si="1"/>
        <v>10880</v>
      </c>
      <c r="G42" s="24">
        <f t="shared" si="1"/>
        <v>16960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654069.6</v>
      </c>
      <c r="N42" s="25">
        <f>SUM(C42:M42)</f>
        <v>6065842.5999999996</v>
      </c>
      <c r="O42" s="7"/>
      <c r="P42" s="7"/>
      <c r="Q42" s="7"/>
      <c r="R42" s="7" t="s">
        <v>37</v>
      </c>
      <c r="S42" s="20">
        <f>N31/1000</f>
        <v>8.0820000000000007</v>
      </c>
      <c r="T42" s="14">
        <f>O31</f>
        <v>1.3360121904086822E-3</v>
      </c>
    </row>
    <row r="43" spans="1:47">
      <c r="A43" s="23" t="s">
        <v>58</v>
      </c>
      <c r="B43" s="22"/>
      <c r="C43" s="16">
        <f t="shared" ref="C43:M43" si="2">C42/$N42</f>
        <v>4.0683713092060779E-2</v>
      </c>
      <c r="D43" s="16">
        <f t="shared" si="2"/>
        <v>8.1583017188794682E-2</v>
      </c>
      <c r="E43" s="16">
        <f t="shared" si="2"/>
        <v>0.76531531808947328</v>
      </c>
      <c r="F43" s="16">
        <f t="shared" si="2"/>
        <v>1.7936502341818102E-3</v>
      </c>
      <c r="G43" s="16">
        <f t="shared" si="2"/>
        <v>2.7959841885775278E-3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0.10782831720691204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5699.049</v>
      </c>
      <c r="T43" s="15">
        <f>O32</f>
        <v>0.94209340976694012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123.11799999999999</v>
      </c>
      <c r="T44" s="15">
        <f>O34</f>
        <v>2.0352282709568934E-2</v>
      </c>
    </row>
    <row r="45" spans="1:47">
      <c r="A45" s="6" t="s">
        <v>61</v>
      </c>
      <c r="B45" s="6">
        <f>B23-B39</f>
        <v>9887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48449.599999999999</v>
      </c>
      <c r="N45" s="25">
        <f>B45+M45</f>
        <v>58336.6</v>
      </c>
      <c r="O45" s="7"/>
      <c r="P45" s="7"/>
      <c r="Q45" s="7"/>
      <c r="R45" s="7" t="s">
        <v>62</v>
      </c>
      <c r="S45" s="20">
        <f>SUM(S39:S44)</f>
        <v>6049.3470000000007</v>
      </c>
      <c r="T45" s="14">
        <f>SUM(T39:T44)</f>
        <v>1.0000001653071258</v>
      </c>
    </row>
    <row r="46" spans="1:47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94" t="s">
        <v>116</v>
      </c>
      <c r="D47" s="2" t="s">
        <v>119</v>
      </c>
      <c r="E47" s="27" t="s">
        <v>120</v>
      </c>
      <c r="F47" s="27" t="s">
        <v>122</v>
      </c>
      <c r="G47" s="27" t="s">
        <v>123</v>
      </c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8" t="s">
        <v>117</v>
      </c>
      <c r="D48" s="2">
        <v>7755</v>
      </c>
      <c r="E48" s="28">
        <v>41.6</v>
      </c>
      <c r="F48" s="2">
        <f>D48*E48*1000/3600</f>
        <v>89613.333333333328</v>
      </c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 t="s">
        <v>118</v>
      </c>
      <c r="D49" s="10">
        <v>602291</v>
      </c>
      <c r="E49" s="27">
        <v>30.7</v>
      </c>
      <c r="F49" s="2">
        <f t="shared" ref="F49:F50" si="3">D49*E49*1000/3600</f>
        <v>5136203.805555556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 t="s">
        <v>121</v>
      </c>
      <c r="D50" s="9">
        <v>51902</v>
      </c>
      <c r="E50" s="27">
        <v>37.5</v>
      </c>
      <c r="F50" s="2">
        <f t="shared" si="3"/>
        <v>540645.83333333337</v>
      </c>
      <c r="G50" s="27"/>
      <c r="H50" s="27"/>
      <c r="I50" s="27"/>
      <c r="J50" s="27"/>
      <c r="K50" s="9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>
        <f>SUM(F48:F50)</f>
        <v>5766462.972222222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1" enableFormatConditionsCalculation="0"/>
  <dimension ref="A1:AU70"/>
  <sheetViews>
    <sheetView workbookViewId="0">
      <selection activeCell="E44" sqref="E44"/>
    </sheetView>
  </sheetViews>
  <sheetFormatPr baseColWidth="10" defaultColWidth="8.83203125" defaultRowHeight="14" x14ac:dyDescent="0"/>
  <cols>
    <col min="1" max="1" width="22.5" style="47" customWidth="1"/>
    <col min="2" max="2" width="12" style="47" customWidth="1"/>
    <col min="3" max="3" width="13.83203125" style="47" customWidth="1"/>
    <col min="4" max="16384" width="8.83203125" style="47"/>
  </cols>
  <sheetData>
    <row r="1" spans="1:20">
      <c r="A1" s="8" t="s">
        <v>0</v>
      </c>
      <c r="O1" s="48"/>
      <c r="P1" s="48"/>
      <c r="Q1" s="48"/>
      <c r="R1" s="48"/>
      <c r="S1" s="48"/>
      <c r="T1" s="48"/>
    </row>
    <row r="2" spans="1:20">
      <c r="A2" s="4" t="s">
        <v>96</v>
      </c>
      <c r="O2" s="48"/>
      <c r="P2" s="48"/>
      <c r="Q2" s="48"/>
      <c r="R2" s="48"/>
      <c r="S2" s="48"/>
      <c r="T2" s="48"/>
    </row>
    <row r="3" spans="1:20">
      <c r="A3" s="8">
        <v>2013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6</v>
      </c>
      <c r="G3" s="49" t="s">
        <v>33</v>
      </c>
      <c r="H3" s="49" t="s">
        <v>7</v>
      </c>
      <c r="I3" s="49" t="s">
        <v>6</v>
      </c>
      <c r="J3" s="49" t="s">
        <v>8</v>
      </c>
      <c r="K3" s="49" t="s">
        <v>9</v>
      </c>
      <c r="L3" s="49" t="s">
        <v>10</v>
      </c>
      <c r="M3" s="49" t="s">
        <v>11</v>
      </c>
      <c r="N3" s="50" t="s">
        <v>12</v>
      </c>
      <c r="O3" s="48"/>
      <c r="P3" s="48"/>
      <c r="Q3" s="48"/>
      <c r="R3" s="48"/>
      <c r="S3" s="48"/>
      <c r="T3" s="48"/>
    </row>
    <row r="4" spans="1:20">
      <c r="O4" s="48"/>
      <c r="P4" s="48"/>
      <c r="Q4" s="48"/>
      <c r="R4" s="48"/>
      <c r="S4" s="48"/>
      <c r="T4" s="48"/>
    </row>
    <row r="5" spans="1:20">
      <c r="A5" s="8"/>
      <c r="C5" s="51"/>
      <c r="O5" s="48"/>
      <c r="P5" s="48"/>
      <c r="Q5" s="48"/>
      <c r="R5" s="48"/>
      <c r="S5" s="48"/>
      <c r="T5" s="48"/>
    </row>
    <row r="6" spans="1:20">
      <c r="A6" s="8" t="s">
        <v>13</v>
      </c>
      <c r="B6" s="43">
        <v>64445.531999999999</v>
      </c>
      <c r="C6" s="9">
        <v>0</v>
      </c>
      <c r="D6" s="18">
        <v>0</v>
      </c>
      <c r="E6" s="9">
        <v>0</v>
      </c>
      <c r="F6" s="9">
        <v>0</v>
      </c>
      <c r="G6" s="18">
        <v>0</v>
      </c>
      <c r="H6" s="9">
        <v>0</v>
      </c>
      <c r="I6" s="9"/>
      <c r="J6" s="9"/>
      <c r="K6" s="9"/>
      <c r="L6" s="9"/>
      <c r="M6" s="9"/>
      <c r="N6" s="18">
        <v>0</v>
      </c>
      <c r="O6" s="48"/>
      <c r="P6" s="48"/>
      <c r="Q6" s="48"/>
      <c r="R6" s="48"/>
      <c r="S6" s="48"/>
      <c r="T6" s="48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48"/>
      <c r="P7" s="48"/>
      <c r="Q7" s="48"/>
      <c r="R7" s="48"/>
      <c r="S7" s="48"/>
      <c r="T7" s="48"/>
    </row>
    <row r="8" spans="1:20">
      <c r="A8" s="8" t="s">
        <v>15</v>
      </c>
      <c r="B8" s="43">
        <v>4009.866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48"/>
      <c r="P8" s="48"/>
      <c r="Q8" s="48"/>
      <c r="R8" s="48"/>
      <c r="S8" s="48"/>
      <c r="T8" s="48"/>
    </row>
    <row r="9" spans="1:20">
      <c r="A9" s="8" t="s">
        <v>16</v>
      </c>
      <c r="B9" s="46">
        <f>B10-B8-B6</f>
        <v>50307.602000000006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48"/>
      <c r="P9" s="48"/>
      <c r="Q9" s="48"/>
      <c r="R9" s="48"/>
      <c r="S9" s="48"/>
      <c r="T9" s="48"/>
    </row>
    <row r="10" spans="1:20">
      <c r="A10" s="8" t="s">
        <v>17</v>
      </c>
      <c r="B10" s="9">
        <v>118763</v>
      </c>
      <c r="C10" s="9">
        <v>0</v>
      </c>
      <c r="D10" s="18">
        <v>0</v>
      </c>
      <c r="E10" s="9">
        <v>0</v>
      </c>
      <c r="F10" s="9">
        <v>0</v>
      </c>
      <c r="G10" s="18">
        <v>0</v>
      </c>
      <c r="H10" s="9">
        <v>0</v>
      </c>
      <c r="I10" s="9"/>
      <c r="J10" s="9"/>
      <c r="K10" s="9"/>
      <c r="L10" s="9"/>
      <c r="M10" s="9"/>
      <c r="N10" s="18">
        <v>0</v>
      </c>
      <c r="O10" s="48"/>
      <c r="P10" s="48"/>
      <c r="Q10" s="48"/>
      <c r="R10" s="48"/>
      <c r="S10" s="48"/>
      <c r="T10" s="48"/>
    </row>
    <row r="11" spans="1:20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8"/>
      <c r="P11" s="48"/>
      <c r="Q11" s="48"/>
      <c r="R11" s="48"/>
      <c r="S11" s="48"/>
      <c r="T11" s="48"/>
    </row>
    <row r="12" spans="1:20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8"/>
      <c r="P12" s="48"/>
      <c r="Q12" s="48"/>
      <c r="R12" s="48"/>
      <c r="S12" s="48"/>
      <c r="T12" s="48"/>
    </row>
    <row r="13" spans="1:20">
      <c r="A13" s="8" t="s">
        <v>18</v>
      </c>
      <c r="B13" s="52"/>
      <c r="C13" s="52"/>
      <c r="D13" s="52"/>
      <c r="E13" s="52"/>
      <c r="F13" s="52"/>
      <c r="G13" s="52"/>
      <c r="H13" s="52"/>
      <c r="I13" s="51"/>
      <c r="J13" s="51"/>
      <c r="K13" s="51"/>
      <c r="L13" s="51"/>
      <c r="M13" s="51"/>
      <c r="N13" s="52"/>
      <c r="O13" s="48"/>
      <c r="P13" s="48"/>
      <c r="Q13" s="48"/>
      <c r="R13" s="48"/>
      <c r="S13" s="48"/>
      <c r="T13" s="48"/>
    </row>
    <row r="14" spans="1:20">
      <c r="A14" s="4" t="s">
        <v>96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8"/>
      <c r="P14" s="48"/>
      <c r="Q14" s="48"/>
      <c r="R14" s="48"/>
      <c r="S14" s="48"/>
      <c r="T14" s="48"/>
    </row>
    <row r="15" spans="1:20">
      <c r="B15" s="49" t="s">
        <v>19</v>
      </c>
      <c r="C15" s="49" t="s">
        <v>3</v>
      </c>
      <c r="D15" s="49" t="s">
        <v>4</v>
      </c>
      <c r="E15" s="49" t="s">
        <v>5</v>
      </c>
      <c r="F15" s="49" t="s">
        <v>20</v>
      </c>
      <c r="G15" s="49" t="s">
        <v>33</v>
      </c>
      <c r="H15" s="49" t="s">
        <v>7</v>
      </c>
      <c r="I15" s="49" t="s">
        <v>6</v>
      </c>
      <c r="J15" s="49" t="s">
        <v>8</v>
      </c>
      <c r="K15" s="49" t="s">
        <v>9</v>
      </c>
      <c r="L15" s="49" t="s">
        <v>10</v>
      </c>
      <c r="M15" s="49" t="s">
        <v>11</v>
      </c>
      <c r="N15" s="51" t="s">
        <v>12</v>
      </c>
      <c r="O15" s="48"/>
      <c r="P15" s="48"/>
      <c r="Q15" s="48"/>
      <c r="R15" s="48"/>
      <c r="S15" s="48"/>
      <c r="T15" s="48"/>
    </row>
    <row r="16" spans="1:20" ht="15">
      <c r="B16" s="7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77"/>
      <c r="N16" s="51"/>
      <c r="O16" s="48"/>
      <c r="P16" s="48"/>
      <c r="Q16" s="48"/>
      <c r="R16" s="48"/>
      <c r="S16" s="48"/>
      <c r="T16" s="48"/>
    </row>
    <row r="17" spans="1:20" ht="15">
      <c r="A17" s="8" t="s">
        <v>21</v>
      </c>
      <c r="B17" s="44">
        <f>B23-B18</f>
        <v>216319</v>
      </c>
      <c r="C17" s="53">
        <f>650-C18</f>
        <v>268</v>
      </c>
      <c r="D17" s="18">
        <v>0</v>
      </c>
      <c r="E17" s="9">
        <v>0</v>
      </c>
      <c r="F17" s="41">
        <v>0</v>
      </c>
      <c r="G17" s="53">
        <f>82139-G18</f>
        <v>10158</v>
      </c>
      <c r="H17" s="9">
        <v>0</v>
      </c>
      <c r="I17" s="9"/>
      <c r="K17" s="54">
        <f>326670-K18</f>
        <v>326670</v>
      </c>
      <c r="L17" s="9"/>
      <c r="M17" s="7"/>
      <c r="N17" s="44">
        <f>SUM(C17:M17)</f>
        <v>337096</v>
      </c>
      <c r="O17" s="48"/>
      <c r="P17" s="48"/>
      <c r="Q17" s="48"/>
      <c r="R17" s="48"/>
      <c r="S17" s="48"/>
      <c r="T17" s="48"/>
    </row>
    <row r="18" spans="1:20" ht="15">
      <c r="A18" s="8" t="s">
        <v>22</v>
      </c>
      <c r="B18" s="44">
        <f>85904</f>
        <v>85904</v>
      </c>
      <c r="C18" s="45">
        <v>382</v>
      </c>
      <c r="D18" s="50">
        <v>0</v>
      </c>
      <c r="E18" s="50">
        <v>0</v>
      </c>
      <c r="F18" s="45">
        <v>0</v>
      </c>
      <c r="G18" s="45">
        <v>71981</v>
      </c>
      <c r="H18" s="50">
        <v>0</v>
      </c>
      <c r="I18" s="50"/>
      <c r="J18" s="40">
        <v>22837</v>
      </c>
      <c r="K18" s="7"/>
      <c r="L18" s="50"/>
      <c r="M18" s="50"/>
      <c r="N18" s="44">
        <f>SUM(C18:M18)</f>
        <v>95200</v>
      </c>
      <c r="O18" s="48"/>
      <c r="P18" s="48"/>
      <c r="Q18" s="48"/>
      <c r="R18" s="48"/>
      <c r="S18" s="48"/>
      <c r="T18" s="48"/>
    </row>
    <row r="19" spans="1:20">
      <c r="A19" s="8" t="s">
        <v>23</v>
      </c>
      <c r="B19" s="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9">
        <v>0</v>
      </c>
      <c r="O19" s="48"/>
      <c r="P19" s="48"/>
      <c r="Q19" s="48"/>
      <c r="R19" s="48"/>
      <c r="S19" s="48"/>
      <c r="T19" s="48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48"/>
      <c r="P20" s="48"/>
      <c r="Q20" s="48"/>
      <c r="R20" s="48"/>
      <c r="S20" s="48"/>
      <c r="T20" s="48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48"/>
      <c r="P21" s="48"/>
      <c r="Q21" s="48"/>
      <c r="R21" s="48"/>
      <c r="S21" s="48"/>
      <c r="T21" s="48"/>
    </row>
    <row r="22" spans="1:20">
      <c r="A22" s="8" t="s">
        <v>26</v>
      </c>
      <c r="B22" s="54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48"/>
      <c r="P22" s="48"/>
      <c r="Q22" s="48"/>
      <c r="R22" s="48"/>
      <c r="S22" s="48"/>
      <c r="T22" s="48"/>
    </row>
    <row r="23" spans="1:20">
      <c r="A23" s="8" t="s">
        <v>17</v>
      </c>
      <c r="B23" s="54">
        <v>302223</v>
      </c>
      <c r="C23" s="44">
        <f>SUM(C17:C22)</f>
        <v>650</v>
      </c>
      <c r="D23" s="44">
        <f>SUM(D17:D22)</f>
        <v>0</v>
      </c>
      <c r="E23" s="9">
        <v>0</v>
      </c>
      <c r="F23" s="44">
        <f>SUM(F17:F22)</f>
        <v>0</v>
      </c>
      <c r="G23" s="44">
        <f>SUM(G17:G22)</f>
        <v>82139</v>
      </c>
      <c r="H23" s="9">
        <v>0</v>
      </c>
      <c r="I23" s="9"/>
      <c r="J23" s="41">
        <f>SUM(J18:J22)</f>
        <v>22837</v>
      </c>
      <c r="K23" s="41">
        <f>SUM(K17:K22)</f>
        <v>326670</v>
      </c>
      <c r="L23" s="9"/>
      <c r="M23" s="9"/>
      <c r="N23" s="40">
        <f>SUM(N17:N22)</f>
        <v>432296</v>
      </c>
      <c r="O23" s="48"/>
      <c r="P23" s="48"/>
      <c r="Q23" s="48"/>
      <c r="R23" s="48" t="s">
        <v>27</v>
      </c>
      <c r="S23" s="55">
        <f>N42/1000</f>
        <v>1740.427308</v>
      </c>
      <c r="T23" s="48"/>
    </row>
    <row r="24" spans="1:20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48"/>
      <c r="P24" s="48"/>
      <c r="Q24" s="48"/>
      <c r="R24" s="48"/>
      <c r="S24" s="48"/>
      <c r="T24" s="48"/>
    </row>
    <row r="25" spans="1:20">
      <c r="B25" s="51"/>
      <c r="C25" s="51"/>
      <c r="D25" s="51"/>
      <c r="E25" s="51"/>
      <c r="F25" s="75"/>
      <c r="G25" s="51"/>
      <c r="H25" s="51"/>
      <c r="I25" s="51"/>
      <c r="J25" s="75"/>
      <c r="K25" s="51"/>
      <c r="L25" s="51"/>
      <c r="M25" s="51"/>
      <c r="N25" s="51"/>
      <c r="O25" s="48"/>
      <c r="P25" s="48"/>
      <c r="Q25" s="48"/>
      <c r="R25" s="48"/>
      <c r="S25" s="48" t="s">
        <v>28</v>
      </c>
      <c r="T25" s="48" t="s">
        <v>29</v>
      </c>
    </row>
    <row r="26" spans="1:20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48"/>
      <c r="P26" s="48"/>
      <c r="Q26" s="48"/>
      <c r="R26" s="48" t="s">
        <v>11</v>
      </c>
      <c r="S26" s="56">
        <f>M42/1000</f>
        <v>403.08430800000002</v>
      </c>
      <c r="T26" s="57">
        <f>M43</f>
        <v>0.23160077191801912</v>
      </c>
    </row>
    <row r="27" spans="1:20">
      <c r="A27" s="8" t="s">
        <v>30</v>
      </c>
      <c r="B27" s="52"/>
      <c r="C27" s="52"/>
      <c r="D27" s="52"/>
      <c r="E27" s="52"/>
      <c r="F27" s="52"/>
      <c r="G27" s="52"/>
      <c r="H27" s="98"/>
      <c r="I27" s="51"/>
      <c r="J27" s="51"/>
      <c r="K27" s="51"/>
      <c r="L27" s="51"/>
      <c r="M27" s="51"/>
      <c r="N27" s="51"/>
      <c r="O27" s="48"/>
      <c r="P27" s="48"/>
      <c r="Q27" s="48"/>
      <c r="R27" s="48" t="s">
        <v>33</v>
      </c>
      <c r="S27" s="56">
        <f>G42/1000</f>
        <v>149.339</v>
      </c>
      <c r="T27" s="58">
        <f>G43</f>
        <v>8.5805939330848513E-2</v>
      </c>
    </row>
    <row r="28" spans="1:20">
      <c r="A28" s="4" t="s">
        <v>96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48"/>
      <c r="P28" s="48"/>
      <c r="Q28" s="48"/>
      <c r="R28" s="48" t="s">
        <v>8</v>
      </c>
      <c r="S28" s="56">
        <f>J42/1000</f>
        <v>22.837</v>
      </c>
      <c r="T28" s="57">
        <f>J43</f>
        <v>1.3121490277145204E-2</v>
      </c>
    </row>
    <row r="29" spans="1:20">
      <c r="B29" s="49" t="s">
        <v>31</v>
      </c>
      <c r="C29" s="49" t="s">
        <v>3</v>
      </c>
      <c r="D29" s="49" t="s">
        <v>4</v>
      </c>
      <c r="E29" s="49" t="s">
        <v>5</v>
      </c>
      <c r="F29" s="49" t="s">
        <v>32</v>
      </c>
      <c r="G29" s="49" t="s">
        <v>33</v>
      </c>
      <c r="H29" s="49" t="s">
        <v>7</v>
      </c>
      <c r="I29" s="49" t="s">
        <v>6</v>
      </c>
      <c r="J29" s="49" t="s">
        <v>8</v>
      </c>
      <c r="K29" s="49" t="s">
        <v>9</v>
      </c>
      <c r="L29" s="49" t="s">
        <v>10</v>
      </c>
      <c r="M29" s="49" t="s">
        <v>11</v>
      </c>
      <c r="N29" s="49" t="s">
        <v>34</v>
      </c>
      <c r="O29" s="48"/>
      <c r="P29" s="48"/>
      <c r="Q29" s="48"/>
      <c r="R29" s="48" t="s">
        <v>32</v>
      </c>
      <c r="S29" s="56">
        <f>F42/1000</f>
        <v>72.070999999999998</v>
      </c>
      <c r="T29" s="57">
        <f>F43</f>
        <v>4.1409945516667337E-2</v>
      </c>
    </row>
    <row r="30" spans="1:20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8"/>
      <c r="P30" s="48"/>
      <c r="Q30" s="48"/>
      <c r="R30" s="48" t="s">
        <v>35</v>
      </c>
      <c r="S30" s="55">
        <f>E42/1000</f>
        <v>1.869</v>
      </c>
      <c r="T30" s="57">
        <f>E43</f>
        <v>1.0738742097466561E-3</v>
      </c>
    </row>
    <row r="31" spans="1:20">
      <c r="A31" s="8" t="s">
        <v>36</v>
      </c>
      <c r="B31" s="9">
        <v>0</v>
      </c>
      <c r="C31" s="9">
        <v>10116</v>
      </c>
      <c r="D31" s="9">
        <v>0</v>
      </c>
      <c r="E31" s="9">
        <v>0</v>
      </c>
      <c r="F31" s="9">
        <v>992</v>
      </c>
      <c r="G31" s="9">
        <v>0</v>
      </c>
      <c r="H31" s="9">
        <v>0</v>
      </c>
      <c r="I31" s="9"/>
      <c r="J31" s="9"/>
      <c r="K31" s="9"/>
      <c r="L31" s="9"/>
      <c r="M31" s="9">
        <v>8943</v>
      </c>
      <c r="N31" s="9">
        <v>20050</v>
      </c>
      <c r="O31" s="59">
        <f>N31/N$39</f>
        <v>1.2473722749892838E-2</v>
      </c>
      <c r="P31" s="60" t="s">
        <v>37</v>
      </c>
      <c r="Q31" s="48"/>
      <c r="R31" s="48" t="s">
        <v>38</v>
      </c>
      <c r="S31" s="56">
        <f>C42/1000</f>
        <v>764.55700000000002</v>
      </c>
      <c r="T31" s="58">
        <f>C43</f>
        <v>0.43929269351593053</v>
      </c>
    </row>
    <row r="32" spans="1:20">
      <c r="A32" s="8" t="s">
        <v>39</v>
      </c>
      <c r="B32" s="44">
        <v>21335</v>
      </c>
      <c r="C32" s="43">
        <f>C39-SUM(C31,C33:C38)</f>
        <v>14645</v>
      </c>
      <c r="D32" s="9">
        <v>0</v>
      </c>
      <c r="E32" s="43">
        <f>N32-SUM(F32:M32,B32:D32)</f>
        <v>1869</v>
      </c>
      <c r="F32" s="9">
        <v>364</v>
      </c>
      <c r="G32" s="99">
        <v>0</v>
      </c>
      <c r="H32" s="9">
        <v>0</v>
      </c>
      <c r="I32" s="9"/>
      <c r="J32" s="9"/>
      <c r="K32" s="9"/>
      <c r="L32" s="9"/>
      <c r="M32" s="9">
        <v>44076</v>
      </c>
      <c r="N32" s="9">
        <v>82289</v>
      </c>
      <c r="O32" s="59">
        <f>N32/N$39</f>
        <v>5.1194522262639985E-2</v>
      </c>
      <c r="P32" s="60" t="s">
        <v>40</v>
      </c>
      <c r="Q32" s="48"/>
      <c r="R32" s="48" t="s">
        <v>41</v>
      </c>
      <c r="S32" s="56">
        <f>I42/1000</f>
        <v>0</v>
      </c>
      <c r="T32" s="57">
        <f>I43</f>
        <v>0</v>
      </c>
    </row>
    <row r="33" spans="1:47">
      <c r="A33" s="8" t="s">
        <v>42</v>
      </c>
      <c r="B33" s="44">
        <v>49030</v>
      </c>
      <c r="C33" s="9">
        <v>615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52202</v>
      </c>
      <c r="N33" s="43">
        <f>SUM(B33:M33)</f>
        <v>101847</v>
      </c>
      <c r="O33" s="59">
        <f>N33/N$39</f>
        <v>6.3362156653782337E-2</v>
      </c>
      <c r="P33" s="60" t="s">
        <v>43</v>
      </c>
      <c r="Q33" s="48"/>
      <c r="R33" s="48" t="s">
        <v>7</v>
      </c>
      <c r="S33" s="56">
        <f>H42/1000</f>
        <v>0</v>
      </c>
      <c r="T33" s="57">
        <f>H43</f>
        <v>0</v>
      </c>
    </row>
    <row r="34" spans="1:47">
      <c r="A34" s="8" t="s">
        <v>44</v>
      </c>
      <c r="B34" s="9">
        <v>0</v>
      </c>
      <c r="C34" s="9">
        <v>727924</v>
      </c>
      <c r="D34" s="9">
        <v>0</v>
      </c>
      <c r="E34" s="9">
        <v>0</v>
      </c>
      <c r="F34" s="9">
        <v>70715</v>
      </c>
      <c r="G34" s="9">
        <v>0</v>
      </c>
      <c r="H34" s="9">
        <v>0</v>
      </c>
      <c r="I34" s="9"/>
      <c r="J34" s="9"/>
      <c r="K34" s="9"/>
      <c r="L34" s="9"/>
      <c r="M34" s="9">
        <v>21324</v>
      </c>
      <c r="N34" s="9">
        <v>819963</v>
      </c>
      <c r="O34" s="59">
        <f>N34/N$39</f>
        <v>0.51012424574415871</v>
      </c>
      <c r="P34" s="60" t="s">
        <v>45</v>
      </c>
      <c r="Q34" s="48"/>
      <c r="R34" s="48"/>
      <c r="S34" s="56">
        <f>SUM(S26:S33)</f>
        <v>1413.7573080000002</v>
      </c>
      <c r="T34" s="57">
        <f>SUM(T26:T33)</f>
        <v>0.81230471476835731</v>
      </c>
    </row>
    <row r="35" spans="1:47">
      <c r="A35" s="8" t="s">
        <v>46</v>
      </c>
      <c r="B35" s="44">
        <v>49230</v>
      </c>
      <c r="C35" s="43">
        <v>9734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98213</v>
      </c>
      <c r="N35" s="41">
        <f>SUM(B35:M35)</f>
        <v>157177</v>
      </c>
      <c r="O35" s="59">
        <f>N35/N$39</f>
        <v>9.7784654397002818E-2</v>
      </c>
      <c r="P35" s="60" t="s">
        <v>47</v>
      </c>
      <c r="Q35" s="60"/>
    </row>
    <row r="36" spans="1:47">
      <c r="A36" s="8" t="s">
        <v>48</v>
      </c>
      <c r="B36" s="44">
        <v>18500</v>
      </c>
      <c r="C36" s="9">
        <v>765</v>
      </c>
      <c r="D36" s="9">
        <v>0</v>
      </c>
      <c r="E36" s="9">
        <v>0</v>
      </c>
      <c r="F36" s="9">
        <v>0</v>
      </c>
      <c r="G36" s="43">
        <v>67200</v>
      </c>
      <c r="H36" s="9">
        <v>0</v>
      </c>
      <c r="I36" s="9"/>
      <c r="J36" s="9"/>
      <c r="K36" s="9"/>
      <c r="L36" s="9"/>
      <c r="M36" s="9">
        <v>144683</v>
      </c>
      <c r="N36" s="43">
        <f>SUM(B36:M36)</f>
        <v>231148</v>
      </c>
      <c r="O36" s="60"/>
      <c r="P36" s="60"/>
      <c r="Q36" s="48"/>
      <c r="R36" s="50"/>
      <c r="S36" s="50"/>
      <c r="T36" s="50"/>
    </row>
    <row r="37" spans="1:47">
      <c r="A37" s="8" t="s">
        <v>49</v>
      </c>
      <c r="B37" s="44">
        <v>131340</v>
      </c>
      <c r="C37" s="9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35227</v>
      </c>
      <c r="N37" s="43">
        <f>SUM(B37:M37)</f>
        <v>166675</v>
      </c>
      <c r="O37" s="60"/>
      <c r="P37" s="60"/>
      <c r="Q37" s="48"/>
      <c r="R37" s="50"/>
      <c r="S37" s="50" t="s">
        <v>28</v>
      </c>
      <c r="T37" s="50" t="s">
        <v>29</v>
      </c>
    </row>
    <row r="38" spans="1:47">
      <c r="A38" s="8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28230</v>
      </c>
      <c r="N38" s="9">
        <v>28230</v>
      </c>
      <c r="O38" s="60">
        <f>SUM(O31:O35)</f>
        <v>0.73493930180747669</v>
      </c>
      <c r="P38" s="60"/>
      <c r="Q38" s="48"/>
      <c r="R38" s="50" t="s">
        <v>51</v>
      </c>
      <c r="S38" s="61">
        <f>N45/1000</f>
        <v>67.419839999999994</v>
      </c>
      <c r="T38" s="50"/>
    </row>
    <row r="39" spans="1:47">
      <c r="A39" s="8" t="s">
        <v>17</v>
      </c>
      <c r="B39" s="9">
        <v>269435</v>
      </c>
      <c r="C39" s="9">
        <v>763907</v>
      </c>
      <c r="D39" s="9">
        <v>0</v>
      </c>
      <c r="E39" s="43">
        <f>SUM(E31:E38)</f>
        <v>1869</v>
      </c>
      <c r="F39" s="9">
        <v>72071</v>
      </c>
      <c r="G39" s="43">
        <f>SUM(G31:G38)</f>
        <v>67200</v>
      </c>
      <c r="H39" s="9">
        <v>0</v>
      </c>
      <c r="I39" s="9"/>
      <c r="J39" s="9"/>
      <c r="K39" s="9"/>
      <c r="L39" s="9"/>
      <c r="M39" s="9">
        <v>432898</v>
      </c>
      <c r="N39" s="9">
        <v>1607379</v>
      </c>
      <c r="O39" s="48"/>
      <c r="P39" s="48"/>
      <c r="Q39" s="48"/>
      <c r="R39" s="50" t="s">
        <v>52</v>
      </c>
      <c r="S39" s="62">
        <f>N41/1000</f>
        <v>426.053</v>
      </c>
      <c r="T39" s="57">
        <f>O41</f>
        <v>0.26506069819252337</v>
      </c>
    </row>
    <row r="40" spans="1:47">
      <c r="B40" s="51"/>
      <c r="C40" s="51"/>
      <c r="F40" s="51"/>
      <c r="K40" s="51"/>
      <c r="L40" s="51"/>
      <c r="M40" s="51"/>
      <c r="N40" s="51"/>
      <c r="R40" s="50" t="s">
        <v>53</v>
      </c>
      <c r="S40" s="62">
        <f>N35/1000</f>
        <v>157.17699999999999</v>
      </c>
      <c r="T40" s="58">
        <f>O35</f>
        <v>9.7784654397002818E-2</v>
      </c>
    </row>
    <row r="41" spans="1:47">
      <c r="A41" s="63" t="s">
        <v>54</v>
      </c>
      <c r="B41" s="64">
        <f>B38+B37+B36</f>
        <v>149840</v>
      </c>
      <c r="C41" s="64">
        <f t="shared" ref="C41:N41" si="0">C38+C37+C36</f>
        <v>873</v>
      </c>
      <c r="D41" s="64">
        <f t="shared" si="0"/>
        <v>0</v>
      </c>
      <c r="E41" s="64">
        <f t="shared" si="0"/>
        <v>0</v>
      </c>
      <c r="F41" s="64">
        <f t="shared" si="0"/>
        <v>0</v>
      </c>
      <c r="G41" s="64">
        <f t="shared" si="0"/>
        <v>67200</v>
      </c>
      <c r="H41" s="64">
        <f t="shared" si="0"/>
        <v>0</v>
      </c>
      <c r="I41" s="64">
        <f t="shared" si="0"/>
        <v>0</v>
      </c>
      <c r="J41" s="64">
        <f t="shared" si="0"/>
        <v>0</v>
      </c>
      <c r="K41" s="64">
        <f t="shared" si="0"/>
        <v>0</v>
      </c>
      <c r="L41" s="64">
        <f t="shared" si="0"/>
        <v>0</v>
      </c>
      <c r="M41" s="64">
        <f t="shared" si="0"/>
        <v>208140</v>
      </c>
      <c r="N41" s="64">
        <f t="shared" si="0"/>
        <v>426053</v>
      </c>
      <c r="O41" s="59">
        <f>N41/N$39</f>
        <v>0.26506069819252337</v>
      </c>
      <c r="P41" s="59" t="s">
        <v>55</v>
      </c>
      <c r="Q41" s="50"/>
      <c r="R41" s="50" t="s">
        <v>56</v>
      </c>
      <c r="S41" s="62">
        <f>N33/1000</f>
        <v>101.84699999999999</v>
      </c>
      <c r="T41" s="57">
        <f>O33</f>
        <v>6.3362156653782337E-2</v>
      </c>
    </row>
    <row r="42" spans="1:47">
      <c r="A42" s="65" t="s">
        <v>57</v>
      </c>
      <c r="B42" s="64"/>
      <c r="C42" s="66">
        <f>C39+C23+C10</f>
        <v>764557</v>
      </c>
      <c r="D42" s="66">
        <f t="shared" ref="D42:L42" si="1">D39+D23+D10</f>
        <v>0</v>
      </c>
      <c r="E42" s="66">
        <f t="shared" si="1"/>
        <v>1869</v>
      </c>
      <c r="F42" s="66">
        <f t="shared" si="1"/>
        <v>72071</v>
      </c>
      <c r="G42" s="66">
        <f t="shared" si="1"/>
        <v>149339</v>
      </c>
      <c r="H42" s="66">
        <f t="shared" si="1"/>
        <v>0</v>
      </c>
      <c r="I42" s="66">
        <f t="shared" si="1"/>
        <v>0</v>
      </c>
      <c r="J42" s="66">
        <f t="shared" si="1"/>
        <v>22837</v>
      </c>
      <c r="K42" s="66">
        <f t="shared" si="1"/>
        <v>326670</v>
      </c>
      <c r="L42" s="66">
        <f t="shared" si="1"/>
        <v>0</v>
      </c>
      <c r="M42" s="66">
        <f>M39+M23-B6+M45</f>
        <v>403084.30800000002</v>
      </c>
      <c r="N42" s="67">
        <f>SUM(C42:M42)</f>
        <v>1740427.308</v>
      </c>
      <c r="O42" s="50"/>
      <c r="P42" s="50"/>
      <c r="Q42" s="50"/>
      <c r="R42" s="50" t="s">
        <v>37</v>
      </c>
      <c r="S42" s="62">
        <f>N31/1000</f>
        <v>20.05</v>
      </c>
      <c r="T42" s="57">
        <f>O31</f>
        <v>1.2473722749892838E-2</v>
      </c>
    </row>
    <row r="43" spans="1:47">
      <c r="A43" s="65" t="s">
        <v>58</v>
      </c>
      <c r="B43" s="64"/>
      <c r="C43" s="59">
        <f t="shared" ref="C43:M43" si="2">C42/$N42</f>
        <v>0.43929269351593053</v>
      </c>
      <c r="D43" s="59">
        <f t="shared" si="2"/>
        <v>0</v>
      </c>
      <c r="E43" s="59">
        <f t="shared" si="2"/>
        <v>1.0738742097466561E-3</v>
      </c>
      <c r="F43" s="59">
        <f t="shared" si="2"/>
        <v>4.1409945516667337E-2</v>
      </c>
      <c r="G43" s="59">
        <f t="shared" si="2"/>
        <v>8.5805939330848513E-2</v>
      </c>
      <c r="H43" s="59">
        <f t="shared" si="2"/>
        <v>0</v>
      </c>
      <c r="I43" s="59">
        <f t="shared" si="2"/>
        <v>0</v>
      </c>
      <c r="J43" s="59">
        <f t="shared" si="2"/>
        <v>1.3121490277145204E-2</v>
      </c>
      <c r="K43" s="59">
        <f t="shared" si="2"/>
        <v>0.18769528523164267</v>
      </c>
      <c r="L43" s="59">
        <f t="shared" si="2"/>
        <v>0</v>
      </c>
      <c r="M43" s="59">
        <f t="shared" si="2"/>
        <v>0.23160077191801912</v>
      </c>
      <c r="N43" s="59">
        <f>SUM(C43:M43)</f>
        <v>0.99999999999999989</v>
      </c>
      <c r="O43" s="50"/>
      <c r="P43" s="50"/>
      <c r="Q43" s="50"/>
      <c r="R43" s="50" t="s">
        <v>59</v>
      </c>
      <c r="S43" s="62">
        <f>N32/1000</f>
        <v>82.289000000000001</v>
      </c>
      <c r="T43" s="58">
        <f>O32</f>
        <v>5.1194522262639985E-2</v>
      </c>
    </row>
    <row r="44" spans="1:47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50"/>
      <c r="Q44" s="50"/>
      <c r="R44" s="50" t="s">
        <v>60</v>
      </c>
      <c r="S44" s="62">
        <f>N34/1000</f>
        <v>819.96299999999997</v>
      </c>
      <c r="T44" s="58">
        <f>O34</f>
        <v>0.51012424574415871</v>
      </c>
    </row>
    <row r="45" spans="1:47">
      <c r="A45" s="49" t="s">
        <v>61</v>
      </c>
      <c r="B45" s="49">
        <f>B23-B39</f>
        <v>32788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68">
        <f>M39*0.08</f>
        <v>34631.840000000004</v>
      </c>
      <c r="N45" s="67">
        <f>B45+M45</f>
        <v>67419.839999999997</v>
      </c>
      <c r="O45" s="50"/>
      <c r="P45" s="50"/>
      <c r="Q45" s="50"/>
      <c r="R45" s="50" t="s">
        <v>62</v>
      </c>
      <c r="S45" s="62">
        <f>SUM(S39:S44)</f>
        <v>1607.3789999999999</v>
      </c>
      <c r="T45" s="57">
        <f>SUM(T39:T44)</f>
        <v>1</v>
      </c>
    </row>
    <row r="46" spans="1:47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49"/>
      <c r="O46" s="50"/>
      <c r="P46" s="50"/>
      <c r="Q46" s="50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8"/>
      <c r="T47" s="28"/>
      <c r="U47" s="28"/>
      <c r="V47" s="27"/>
      <c r="W47" s="27"/>
      <c r="X47" s="28"/>
      <c r="Y47" s="27"/>
      <c r="Z47" s="27"/>
      <c r="AA47" s="27"/>
      <c r="AB47" s="27"/>
      <c r="AC47" s="27"/>
      <c r="AD47" s="27"/>
      <c r="AE47" s="28"/>
      <c r="AF47" s="27"/>
      <c r="AG47" s="4"/>
      <c r="AH47" s="4"/>
      <c r="AI47" s="28"/>
      <c r="AJ47" s="27"/>
      <c r="AK47" s="28"/>
      <c r="AL47" s="27"/>
      <c r="AM47" s="27"/>
      <c r="AN47" s="28"/>
      <c r="AO47" s="27"/>
      <c r="AP47" s="27"/>
      <c r="AQ47" s="27"/>
      <c r="AR47" s="27"/>
      <c r="AS47" s="27"/>
      <c r="AT47" s="27"/>
      <c r="AU47" s="28"/>
    </row>
    <row r="48" spans="1:47">
      <c r="A48" s="27"/>
      <c r="B48" s="4"/>
      <c r="C48" s="28"/>
      <c r="D48" s="28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8"/>
      <c r="T48" s="28"/>
      <c r="U48" s="28"/>
      <c r="V48" s="27"/>
      <c r="W48" s="28"/>
      <c r="X48" s="28"/>
      <c r="Y48" s="27"/>
      <c r="Z48" s="27"/>
      <c r="AA48" s="27"/>
      <c r="AB48" s="27"/>
      <c r="AC48" s="27"/>
      <c r="AD48" s="27"/>
      <c r="AE48" s="28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8"/>
      <c r="D51" s="2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8"/>
      <c r="AL51" s="27"/>
      <c r="AM51" s="27"/>
      <c r="AN51" s="28"/>
      <c r="AO51" s="27"/>
      <c r="AP51" s="27"/>
      <c r="AQ51" s="27"/>
      <c r="AR51" s="27"/>
      <c r="AS51" s="27"/>
      <c r="AT51" s="27"/>
      <c r="AU51" s="28"/>
    </row>
    <row r="52" spans="1:47">
      <c r="A52" s="27"/>
      <c r="B52" s="4"/>
      <c r="C52" s="28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4"/>
      <c r="S52" s="28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8"/>
      <c r="AL52" s="27"/>
      <c r="AM52" s="27"/>
      <c r="AN52" s="28"/>
      <c r="AO52" s="27"/>
      <c r="AP52" s="27"/>
      <c r="AQ52" s="27"/>
      <c r="AR52" s="27"/>
      <c r="AS52" s="27"/>
      <c r="AT52" s="27"/>
      <c r="AU52" s="28"/>
    </row>
    <row r="53" spans="1:47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7"/>
      <c r="Q53" s="27"/>
      <c r="R53" s="4"/>
      <c r="S53" s="28"/>
      <c r="T53" s="28"/>
      <c r="U53" s="28"/>
      <c r="V53" s="27"/>
      <c r="W53" s="28"/>
      <c r="X53" s="28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8"/>
      <c r="AL53" s="27"/>
      <c r="AM53" s="27"/>
      <c r="AN53" s="28"/>
      <c r="AO53" s="27"/>
      <c r="AP53" s="27"/>
      <c r="AQ53" s="27"/>
      <c r="AR53" s="27"/>
      <c r="AS53" s="27"/>
      <c r="AT53" s="27"/>
      <c r="AU53" s="28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8"/>
      <c r="T54" s="28"/>
      <c r="U54" s="28"/>
      <c r="V54" s="27"/>
      <c r="W54" s="28"/>
      <c r="X54" s="28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8"/>
      <c r="AL54" s="27"/>
      <c r="AM54" s="27"/>
      <c r="AN54" s="28"/>
      <c r="AO54" s="27"/>
      <c r="AP54" s="27"/>
      <c r="AQ54" s="27"/>
      <c r="AR54" s="27"/>
      <c r="AS54" s="27"/>
      <c r="AT54" s="27"/>
      <c r="AU54" s="28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8"/>
      <c r="T55" s="28"/>
      <c r="U55" s="28"/>
      <c r="V55" s="27"/>
      <c r="W55" s="28"/>
      <c r="X55" s="28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8"/>
      <c r="AL55" s="27"/>
      <c r="AM55" s="27"/>
      <c r="AN55" s="28"/>
      <c r="AO55" s="27"/>
      <c r="AP55" s="27"/>
      <c r="AQ55" s="27"/>
      <c r="AR55" s="27"/>
      <c r="AS55" s="27"/>
      <c r="AT55" s="27"/>
      <c r="AU55" s="28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8"/>
      <c r="T56" s="28"/>
      <c r="U56" s="28"/>
      <c r="V56" s="27"/>
      <c r="W56" s="28"/>
      <c r="X56" s="28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8"/>
      <c r="AL56" s="27"/>
      <c r="AM56" s="27"/>
      <c r="AN56" s="28"/>
      <c r="AO56" s="27"/>
      <c r="AP56" s="27"/>
      <c r="AQ56" s="27"/>
      <c r="AR56" s="27"/>
      <c r="AS56" s="27"/>
      <c r="AT56" s="27"/>
      <c r="AU56" s="28"/>
    </row>
    <row r="57" spans="1:47">
      <c r="A57" s="50"/>
      <c r="B57" s="50"/>
      <c r="C57" s="69"/>
      <c r="D57" s="69"/>
      <c r="E57" s="69"/>
      <c r="F57" s="69"/>
      <c r="G57" s="69"/>
      <c r="H57" s="69"/>
      <c r="I57" s="69"/>
      <c r="J57" s="69"/>
      <c r="K57" s="69"/>
      <c r="L57" s="49"/>
      <c r="M57" s="59"/>
      <c r="N57" s="50"/>
      <c r="O57" s="49"/>
      <c r="P57" s="57"/>
      <c r="Q57" s="50"/>
      <c r="R57" s="50"/>
      <c r="S57" s="49"/>
      <c r="T57" s="57"/>
    </row>
    <row r="58" spans="1:47">
      <c r="A58" s="50"/>
      <c r="B58" s="50"/>
      <c r="C58" s="69"/>
      <c r="D58" s="69"/>
      <c r="E58" s="69"/>
      <c r="F58" s="69"/>
      <c r="G58" s="69"/>
      <c r="H58" s="69"/>
      <c r="I58" s="69"/>
      <c r="J58" s="69"/>
      <c r="K58" s="69"/>
      <c r="L58" s="49"/>
      <c r="M58" s="59"/>
      <c r="N58" s="50"/>
      <c r="O58" s="49"/>
      <c r="P58" s="57"/>
      <c r="Q58" s="50"/>
      <c r="R58" s="50"/>
      <c r="S58" s="49"/>
      <c r="T58" s="57"/>
    </row>
    <row r="59" spans="1:47">
      <c r="A59" s="50"/>
      <c r="B59" s="50"/>
      <c r="C59" s="69"/>
      <c r="D59" s="69"/>
      <c r="E59" s="69"/>
      <c r="F59" s="69"/>
      <c r="G59" s="69"/>
      <c r="H59" s="69"/>
      <c r="I59" s="69"/>
      <c r="J59" s="69"/>
      <c r="K59" s="69"/>
      <c r="L59" s="49"/>
      <c r="M59" s="59"/>
      <c r="N59" s="50"/>
      <c r="O59" s="49"/>
      <c r="P59" s="57"/>
      <c r="Q59" s="50"/>
      <c r="R59" s="50"/>
      <c r="S59" s="49"/>
      <c r="T59" s="57"/>
    </row>
    <row r="60" spans="1:47">
      <c r="A60" s="65"/>
      <c r="B60" s="50"/>
      <c r="C60" s="69"/>
      <c r="D60" s="69"/>
      <c r="E60" s="69"/>
      <c r="F60" s="69"/>
      <c r="G60" s="69"/>
      <c r="H60" s="69"/>
      <c r="I60" s="69"/>
      <c r="J60" s="69"/>
      <c r="K60" s="69"/>
      <c r="L60" s="49"/>
      <c r="M60" s="59"/>
      <c r="N60" s="50"/>
      <c r="O60" s="49"/>
      <c r="P60" s="57"/>
      <c r="Q60" s="50"/>
      <c r="R60" s="50"/>
      <c r="S60" s="49"/>
      <c r="T60" s="57"/>
    </row>
    <row r="61" spans="1:47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49"/>
      <c r="M61" s="59"/>
      <c r="N61" s="50"/>
      <c r="O61" s="49"/>
      <c r="P61" s="57"/>
      <c r="Q61" s="50"/>
      <c r="R61" s="50"/>
      <c r="S61" s="70"/>
      <c r="T61" s="71"/>
    </row>
    <row r="62" spans="1:47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49"/>
    </row>
    <row r="63" spans="1:47">
      <c r="A63" s="50"/>
      <c r="B63" s="72"/>
      <c r="C63" s="72"/>
      <c r="D63" s="72"/>
      <c r="E63" s="72"/>
      <c r="F63" s="72"/>
      <c r="G63" s="72"/>
      <c r="H63" s="72"/>
      <c r="I63" s="72"/>
      <c r="J63" s="50"/>
      <c r="K63" s="50"/>
      <c r="L63" s="50"/>
      <c r="M63" s="50"/>
      <c r="N63" s="50"/>
      <c r="O63" s="50"/>
      <c r="P63" s="50"/>
      <c r="Q63" s="50"/>
      <c r="R63" s="50"/>
      <c r="S63" s="72"/>
      <c r="T63" s="73"/>
    </row>
    <row r="64" spans="1:47">
      <c r="A64" s="50"/>
      <c r="B64" s="49"/>
      <c r="C64" s="49"/>
      <c r="D64" s="49"/>
      <c r="E64" s="49"/>
      <c r="F64" s="49"/>
      <c r="G64" s="49"/>
      <c r="H64" s="49"/>
      <c r="I64" s="49"/>
      <c r="J64" s="50"/>
      <c r="K64" s="50"/>
      <c r="L64" s="50"/>
      <c r="M64" s="50"/>
      <c r="N64" s="50"/>
      <c r="O64" s="49"/>
      <c r="P64" s="59"/>
      <c r="Q64" s="50"/>
      <c r="R64" s="50"/>
      <c r="S64" s="49"/>
      <c r="T64" s="57"/>
    </row>
    <row r="65" spans="1:20">
      <c r="A65" s="50"/>
      <c r="B65" s="49"/>
      <c r="C65" s="49"/>
      <c r="D65" s="49"/>
      <c r="E65" s="49"/>
      <c r="F65" s="49"/>
      <c r="G65" s="49"/>
      <c r="H65" s="49"/>
      <c r="I65" s="49"/>
      <c r="J65" s="50"/>
      <c r="K65" s="50"/>
      <c r="L65" s="50"/>
      <c r="M65" s="50"/>
      <c r="N65" s="50"/>
      <c r="O65" s="49"/>
      <c r="P65" s="59"/>
      <c r="Q65" s="50"/>
      <c r="R65" s="50"/>
      <c r="S65" s="49"/>
      <c r="T65" s="57"/>
    </row>
    <row r="66" spans="1:20">
      <c r="A66" s="50"/>
      <c r="B66" s="49"/>
      <c r="C66" s="49"/>
      <c r="D66" s="49"/>
      <c r="E66" s="49"/>
      <c r="F66" s="49"/>
      <c r="G66" s="49"/>
      <c r="H66" s="49"/>
      <c r="I66" s="49"/>
      <c r="J66" s="50"/>
      <c r="K66" s="50"/>
      <c r="L66" s="50"/>
      <c r="M66" s="50"/>
      <c r="N66" s="50"/>
      <c r="O66" s="49"/>
      <c r="P66" s="59"/>
      <c r="Q66" s="50"/>
      <c r="R66" s="50"/>
      <c r="S66" s="49"/>
      <c r="T66" s="57"/>
    </row>
    <row r="67" spans="1:20">
      <c r="A67" s="50"/>
      <c r="B67" s="49"/>
      <c r="C67" s="49"/>
      <c r="D67" s="49"/>
      <c r="E67" s="49"/>
      <c r="F67" s="49"/>
      <c r="G67" s="49"/>
      <c r="H67" s="49"/>
      <c r="I67" s="49"/>
      <c r="J67" s="50"/>
      <c r="K67" s="50"/>
      <c r="L67" s="50"/>
      <c r="M67" s="50"/>
      <c r="N67" s="50"/>
      <c r="O67" s="49"/>
      <c r="P67" s="59"/>
      <c r="Q67" s="50"/>
      <c r="R67" s="50"/>
      <c r="S67" s="49"/>
      <c r="T67" s="57"/>
    </row>
    <row r="68" spans="1:20">
      <c r="A68" s="50"/>
      <c r="B68" s="49"/>
      <c r="C68" s="49"/>
      <c r="D68" s="49"/>
      <c r="E68" s="49"/>
      <c r="F68" s="49"/>
      <c r="G68" s="49"/>
      <c r="H68" s="49"/>
      <c r="I68" s="49"/>
      <c r="J68" s="50"/>
      <c r="K68" s="50"/>
      <c r="L68" s="50"/>
      <c r="M68" s="50"/>
      <c r="N68" s="50"/>
      <c r="O68" s="49"/>
      <c r="P68" s="59"/>
      <c r="Q68" s="50"/>
      <c r="R68" s="50"/>
      <c r="S68" s="49"/>
      <c r="T68" s="57"/>
    </row>
    <row r="69" spans="1:20">
      <c r="A69" s="50"/>
      <c r="B69" s="49"/>
      <c r="C69" s="49"/>
      <c r="D69" s="49"/>
      <c r="E69" s="49"/>
      <c r="F69" s="49"/>
      <c r="G69" s="49"/>
      <c r="H69" s="49"/>
      <c r="I69" s="49"/>
      <c r="J69" s="50"/>
      <c r="K69" s="50"/>
      <c r="L69" s="50"/>
      <c r="M69" s="50"/>
      <c r="N69" s="50"/>
      <c r="O69" s="49"/>
      <c r="P69" s="59"/>
      <c r="Q69" s="50"/>
      <c r="R69" s="50"/>
      <c r="S69" s="49"/>
      <c r="T69" s="57"/>
    </row>
    <row r="70" spans="1:20">
      <c r="A70" s="50"/>
      <c r="B70" s="70"/>
      <c r="C70" s="70"/>
      <c r="D70" s="70"/>
      <c r="E70" s="70"/>
      <c r="F70" s="70"/>
      <c r="G70" s="70"/>
      <c r="H70" s="70"/>
      <c r="I70" s="70"/>
      <c r="J70" s="50"/>
      <c r="K70" s="50"/>
      <c r="L70" s="50"/>
      <c r="M70" s="50"/>
      <c r="N70" s="50"/>
      <c r="O70" s="70"/>
      <c r="P70" s="74"/>
      <c r="Q70" s="50"/>
      <c r="R70" s="50"/>
      <c r="S70" s="70"/>
      <c r="T70" s="74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1" enableFormatConditionsCalculation="0"/>
  <dimension ref="A1:AU70"/>
  <sheetViews>
    <sheetView topLeftCell="A9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97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132791.54328942701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6">
        <f>SUM(B6:B9)</f>
        <v>132791.54328942701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497.52488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214.98588000000001</v>
      </c>
      <c r="T26" s="14">
        <f>M43</f>
        <v>0.43211081222711917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16.573</v>
      </c>
      <c r="T27" s="15">
        <f>G43</f>
        <v>3.3310896934440747E-2</v>
      </c>
    </row>
    <row r="28" spans="1:20">
      <c r="A28" s="4" t="s">
        <v>97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21.890999999999998</v>
      </c>
      <c r="T29" s="14">
        <f>F43</f>
        <v>4.3999809617561239E-2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43">
        <f>(N31-M31)*3210/(3210+329)</f>
        <v>3240.8392201186775</v>
      </c>
      <c r="D31" s="9">
        <v>0</v>
      </c>
      <c r="E31" s="9">
        <v>0</v>
      </c>
      <c r="F31" s="43">
        <f>(N31-M31)*329/(3210+329)</f>
        <v>332.16077988132241</v>
      </c>
      <c r="G31" s="9">
        <v>0</v>
      </c>
      <c r="H31" s="9">
        <v>0</v>
      </c>
      <c r="I31" s="9"/>
      <c r="J31" s="9"/>
      <c r="K31" s="9"/>
      <c r="L31" s="9"/>
      <c r="M31" s="9">
        <v>6501</v>
      </c>
      <c r="N31" s="9">
        <v>10074</v>
      </c>
      <c r="O31" s="16">
        <f>N31/N$39</f>
        <v>2.0917774086378738E-2</v>
      </c>
      <c r="P31" s="17" t="s">
        <v>37</v>
      </c>
      <c r="Q31" s="3"/>
      <c r="R31" s="3" t="s">
        <v>38</v>
      </c>
      <c r="S31" s="13">
        <f>C42/1000</f>
        <v>244.07499999999999</v>
      </c>
      <c r="T31" s="15">
        <f>C43</f>
        <v>0.49057848122087883</v>
      </c>
    </row>
    <row r="32" spans="1:20">
      <c r="A32" s="5" t="s">
        <v>39</v>
      </c>
      <c r="B32" s="9">
        <v>0</v>
      </c>
      <c r="C32" s="43">
        <f>C39-SUM(C31,C33:C38)</f>
        <v>2283.1607798813202</v>
      </c>
      <c r="D32" s="9">
        <v>0</v>
      </c>
      <c r="E32" s="9">
        <v>0</v>
      </c>
      <c r="F32" s="43">
        <f>F39-SUM(F31,F33:F38)</f>
        <v>25.839220118676167</v>
      </c>
      <c r="G32" s="9">
        <v>0</v>
      </c>
      <c r="H32" s="9">
        <v>0</v>
      </c>
      <c r="I32" s="9"/>
      <c r="J32" s="9"/>
      <c r="K32" s="9"/>
      <c r="L32" s="9"/>
      <c r="M32" s="9">
        <v>10299</v>
      </c>
      <c r="N32" s="9">
        <v>12607</v>
      </c>
      <c r="O32" s="16">
        <f>N32/N$39</f>
        <v>2.617732558139535E-2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158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8402</v>
      </c>
      <c r="N33" s="9">
        <v>8560</v>
      </c>
      <c r="O33" s="16">
        <f>N33/N$39</f>
        <v>1.7774086378737543E-2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230452</v>
      </c>
      <c r="D34" s="9">
        <v>0</v>
      </c>
      <c r="E34" s="9">
        <v>0</v>
      </c>
      <c r="F34" s="9">
        <v>21533</v>
      </c>
      <c r="G34" s="9">
        <v>0</v>
      </c>
      <c r="H34" s="9">
        <v>0</v>
      </c>
      <c r="I34" s="9"/>
      <c r="J34" s="9"/>
      <c r="K34" s="9"/>
      <c r="L34" s="9"/>
      <c r="M34" s="9">
        <v>240</v>
      </c>
      <c r="N34" s="9">
        <v>252225</v>
      </c>
      <c r="O34" s="16">
        <f>N34/N$39</f>
        <v>0.52372300664451832</v>
      </c>
      <c r="P34" s="17" t="s">
        <v>45</v>
      </c>
      <c r="Q34" s="3"/>
      <c r="R34" s="3"/>
      <c r="S34" s="13">
        <f>SUM(S26:S33)</f>
        <v>497.52488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6335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99149</v>
      </c>
      <c r="N35" s="9">
        <v>105484</v>
      </c>
      <c r="O35" s="16">
        <f>N35/N$39</f>
        <v>0.21902823920265782</v>
      </c>
      <c r="P35" s="17" t="s">
        <v>47</v>
      </c>
      <c r="Q35" s="17"/>
    </row>
    <row r="36" spans="1:47">
      <c r="A36" s="5" t="s">
        <v>48</v>
      </c>
      <c r="B36" s="9">
        <v>0</v>
      </c>
      <c r="C36" s="9">
        <v>1337</v>
      </c>
      <c r="D36" s="9">
        <v>0</v>
      </c>
      <c r="E36" s="9">
        <v>0</v>
      </c>
      <c r="F36" s="9">
        <v>0</v>
      </c>
      <c r="G36" s="9">
        <v>16573</v>
      </c>
      <c r="H36" s="9">
        <v>0</v>
      </c>
      <c r="I36" s="9"/>
      <c r="J36" s="9"/>
      <c r="K36" s="9"/>
      <c r="L36" s="9"/>
      <c r="M36" s="9">
        <v>48542</v>
      </c>
      <c r="N36" s="9">
        <v>66453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0</v>
      </c>
      <c r="C37" s="9">
        <v>269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10403</v>
      </c>
      <c r="N37" s="9">
        <v>10672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15525</v>
      </c>
      <c r="N38" s="9">
        <v>15525</v>
      </c>
      <c r="O38" s="17">
        <f>SUM(O31:O35)</f>
        <v>0.80762043189368771</v>
      </c>
      <c r="P38" s="17"/>
      <c r="Q38" s="3"/>
      <c r="R38" s="7" t="s">
        <v>51</v>
      </c>
      <c r="S38" s="19">
        <f>N45/1000</f>
        <v>15.924880000000002</v>
      </c>
      <c r="T38" s="7"/>
    </row>
    <row r="39" spans="1:47">
      <c r="A39" s="5" t="s">
        <v>17</v>
      </c>
      <c r="B39" s="9">
        <v>0</v>
      </c>
      <c r="C39" s="9">
        <v>244075</v>
      </c>
      <c r="D39" s="9">
        <v>0</v>
      </c>
      <c r="E39" s="9">
        <v>0</v>
      </c>
      <c r="F39" s="9">
        <v>21891</v>
      </c>
      <c r="G39" s="9">
        <v>16573</v>
      </c>
      <c r="H39" s="9">
        <v>0</v>
      </c>
      <c r="I39" s="9"/>
      <c r="J39" s="9"/>
      <c r="K39" s="9"/>
      <c r="L39" s="9"/>
      <c r="M39" s="9">
        <v>199061</v>
      </c>
      <c r="N39" s="9">
        <v>481600</v>
      </c>
      <c r="O39" s="3"/>
      <c r="P39" s="3"/>
      <c r="Q39" s="3"/>
      <c r="R39" s="7" t="s">
        <v>52</v>
      </c>
      <c r="S39" s="20">
        <f>N41/1000</f>
        <v>92.65</v>
      </c>
      <c r="T39" s="14">
        <f>O41</f>
        <v>0.19237956810631229</v>
      </c>
    </row>
    <row r="40" spans="1:47">
      <c r="R40" s="7" t="s">
        <v>53</v>
      </c>
      <c r="S40" s="20">
        <f>N35/1000</f>
        <v>105.48399999999999</v>
      </c>
      <c r="T40" s="15">
        <f>O35</f>
        <v>0.21902823920265782</v>
      </c>
    </row>
    <row r="41" spans="1:47">
      <c r="A41" s="21" t="s">
        <v>54</v>
      </c>
      <c r="B41" s="22">
        <f>B38+B37+B36</f>
        <v>0</v>
      </c>
      <c r="C41" s="22">
        <f t="shared" ref="C41:N41" si="0">C38+C37+C36</f>
        <v>1606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16573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74470</v>
      </c>
      <c r="N41" s="22">
        <f t="shared" si="0"/>
        <v>92650</v>
      </c>
      <c r="O41" s="16">
        <f>N41/N$39</f>
        <v>0.19237956810631229</v>
      </c>
      <c r="P41" s="16" t="s">
        <v>55</v>
      </c>
      <c r="Q41" s="7"/>
      <c r="R41" s="7" t="s">
        <v>56</v>
      </c>
      <c r="S41" s="20">
        <f>N33/1000</f>
        <v>8.56</v>
      </c>
      <c r="T41" s="14">
        <f>O33</f>
        <v>1.7774086378737543E-2</v>
      </c>
    </row>
    <row r="42" spans="1:47">
      <c r="A42" s="23" t="s">
        <v>57</v>
      </c>
      <c r="B42" s="22"/>
      <c r="C42" s="24">
        <f>C39+C23+C10</f>
        <v>244075</v>
      </c>
      <c r="D42" s="24">
        <f t="shared" ref="D42:L42" si="1">D39+D23+D10</f>
        <v>0</v>
      </c>
      <c r="E42" s="24">
        <f t="shared" si="1"/>
        <v>0</v>
      </c>
      <c r="F42" s="24">
        <f t="shared" si="1"/>
        <v>21891</v>
      </c>
      <c r="G42" s="24">
        <f t="shared" si="1"/>
        <v>16573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214985.88</v>
      </c>
      <c r="N42" s="25">
        <f>SUM(C42:M42)</f>
        <v>497524.88</v>
      </c>
      <c r="O42" s="7"/>
      <c r="P42" s="7"/>
      <c r="Q42" s="7"/>
      <c r="R42" s="7" t="s">
        <v>37</v>
      </c>
      <c r="S42" s="20">
        <f>N31/1000</f>
        <v>10.074</v>
      </c>
      <c r="T42" s="14">
        <f>O31</f>
        <v>2.0917774086378738E-2</v>
      </c>
    </row>
    <row r="43" spans="1:47">
      <c r="A43" s="23" t="s">
        <v>58</v>
      </c>
      <c r="B43" s="22"/>
      <c r="C43" s="16">
        <f t="shared" ref="C43:M43" si="2">C42/$N42</f>
        <v>0.49057848122087883</v>
      </c>
      <c r="D43" s="16">
        <f t="shared" si="2"/>
        <v>0</v>
      </c>
      <c r="E43" s="16">
        <f t="shared" si="2"/>
        <v>0</v>
      </c>
      <c r="F43" s="16">
        <f t="shared" si="2"/>
        <v>4.3999809617561239E-2</v>
      </c>
      <c r="G43" s="16">
        <f t="shared" si="2"/>
        <v>3.3310896934440747E-2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0.43211081222711917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12.606999999999999</v>
      </c>
      <c r="T43" s="15">
        <f>O32</f>
        <v>2.617732558139535E-2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252.22499999999999</v>
      </c>
      <c r="T44" s="15">
        <f>O34</f>
        <v>0.52372300664451832</v>
      </c>
    </row>
    <row r="45" spans="1:47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15924.880000000001</v>
      </c>
      <c r="N45" s="25">
        <f>B45+M45</f>
        <v>15924.880000000001</v>
      </c>
      <c r="O45" s="7"/>
      <c r="P45" s="7"/>
      <c r="Q45" s="7"/>
      <c r="R45" s="7" t="s">
        <v>62</v>
      </c>
      <c r="S45" s="20">
        <f>SUM(S39:S44)</f>
        <v>481.6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1" enableFormatConditionsCalculation="0"/>
  <dimension ref="A1:AU70"/>
  <sheetViews>
    <sheetView topLeftCell="A9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98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163328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17440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180768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71002</v>
      </c>
      <c r="C18" s="9">
        <v>299</v>
      </c>
      <c r="D18" s="9">
        <v>0</v>
      </c>
      <c r="E18" s="9">
        <v>0</v>
      </c>
      <c r="F18" s="9">
        <v>78282</v>
      </c>
      <c r="G18" s="9">
        <v>1968</v>
      </c>
      <c r="H18" s="9">
        <v>0</v>
      </c>
      <c r="I18" s="9"/>
      <c r="J18" s="9"/>
      <c r="K18" s="9"/>
      <c r="L18" s="9"/>
      <c r="M18" s="9"/>
      <c r="N18" s="9">
        <v>80548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88800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159802</v>
      </c>
      <c r="C23" s="9">
        <v>299</v>
      </c>
      <c r="D23" s="9">
        <v>0</v>
      </c>
      <c r="E23" s="9">
        <v>0</v>
      </c>
      <c r="F23" s="9">
        <v>78282</v>
      </c>
      <c r="G23" s="9">
        <v>1968</v>
      </c>
      <c r="H23" s="9">
        <v>0</v>
      </c>
      <c r="I23" s="9"/>
      <c r="J23" s="9"/>
      <c r="K23" s="9"/>
      <c r="L23" s="9"/>
      <c r="M23" s="9"/>
      <c r="N23" s="9">
        <v>80548</v>
      </c>
      <c r="O23" s="3"/>
      <c r="P23" s="3"/>
      <c r="Q23" s="3"/>
      <c r="R23" s="3" t="s">
        <v>27</v>
      </c>
      <c r="S23" s="12">
        <f>N42/1000</f>
        <v>1020.8390400000001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587.20464000000004</v>
      </c>
      <c r="T26" s="14">
        <f>M43</f>
        <v>0.57521765625264487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8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50.622999999999998</v>
      </c>
      <c r="T27" s="15">
        <f>G43</f>
        <v>4.9589600335034206E-2</v>
      </c>
    </row>
    <row r="28" spans="1:20">
      <c r="A28" s="4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104.441</v>
      </c>
      <c r="T29" s="14">
        <f>F43</f>
        <v>0.10230897909233565</v>
      </c>
    </row>
    <row r="30" spans="1:20">
      <c r="B30" s="10"/>
      <c r="C30" s="10"/>
      <c r="D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2.2143999999999999</v>
      </c>
      <c r="T30" s="14">
        <f>E43</f>
        <v>2.1691960370167659E-3</v>
      </c>
    </row>
    <row r="31" spans="1:20">
      <c r="A31" s="5" t="s">
        <v>36</v>
      </c>
      <c r="B31" s="9">
        <v>0</v>
      </c>
      <c r="C31" s="9">
        <v>12410</v>
      </c>
      <c r="D31" s="9">
        <v>0</v>
      </c>
      <c r="E31" s="9">
        <v>0</v>
      </c>
      <c r="F31" s="9">
        <v>1336</v>
      </c>
      <c r="G31" s="9">
        <v>0</v>
      </c>
      <c r="H31" s="9">
        <v>0</v>
      </c>
      <c r="I31" s="9"/>
      <c r="J31" s="9"/>
      <c r="K31" s="9"/>
      <c r="L31" s="9"/>
      <c r="M31" s="9">
        <v>17463</v>
      </c>
      <c r="N31" s="9">
        <v>31209</v>
      </c>
      <c r="O31" s="16">
        <f>N31/N$39</f>
        <v>2.9968185269814492E-2</v>
      </c>
      <c r="P31" s="17" t="s">
        <v>37</v>
      </c>
      <c r="Q31" s="3"/>
      <c r="R31" s="3" t="s">
        <v>38</v>
      </c>
      <c r="S31" s="13">
        <f>C42/1000</f>
        <v>270.02199999999999</v>
      </c>
      <c r="T31" s="15">
        <f>C43</f>
        <v>0.26450986827463024</v>
      </c>
    </row>
    <row r="32" spans="1:20">
      <c r="A32" s="5" t="s">
        <v>39</v>
      </c>
      <c r="B32" s="9">
        <v>5350</v>
      </c>
      <c r="C32" s="9">
        <v>7046</v>
      </c>
      <c r="D32" s="43">
        <v>0</v>
      </c>
      <c r="E32" s="43">
        <f>173*12.8</f>
        <v>2214.4</v>
      </c>
      <c r="F32" s="9">
        <v>136</v>
      </c>
      <c r="G32" s="9">
        <v>321</v>
      </c>
      <c r="H32" s="43">
        <v>6334</v>
      </c>
      <c r="I32" s="18"/>
      <c r="J32" s="18"/>
      <c r="K32" s="18"/>
      <c r="L32" s="9"/>
      <c r="M32" s="9">
        <v>303771</v>
      </c>
      <c r="N32" s="43">
        <f>SUM(B32:M32)</f>
        <v>325172.40000000002</v>
      </c>
      <c r="O32" s="16">
        <f>N32/N$39</f>
        <v>0.31224411957545023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24870</v>
      </c>
      <c r="C33" s="9">
        <v>604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40825</v>
      </c>
      <c r="N33" s="9">
        <v>66299</v>
      </c>
      <c r="O33" s="16">
        <f>N33/N$39</f>
        <v>6.3663068832818456E-2</v>
      </c>
      <c r="P33" s="17" t="s">
        <v>43</v>
      </c>
      <c r="Q33" s="3"/>
      <c r="R33" s="3" t="s">
        <v>7</v>
      </c>
      <c r="S33" s="13">
        <f>H42/1000</f>
        <v>6.3339999999999996</v>
      </c>
      <c r="T33" s="14">
        <f>H43</f>
        <v>6.2047000083382386E-3</v>
      </c>
    </row>
    <row r="34" spans="1:47">
      <c r="A34" s="5" t="s">
        <v>44</v>
      </c>
      <c r="B34" s="9">
        <v>0</v>
      </c>
      <c r="C34" s="9">
        <v>246952</v>
      </c>
      <c r="D34" s="9">
        <v>0</v>
      </c>
      <c r="E34" s="9">
        <v>0</v>
      </c>
      <c r="F34" s="9">
        <v>24687</v>
      </c>
      <c r="G34" s="9">
        <v>0</v>
      </c>
      <c r="H34" s="9">
        <v>0</v>
      </c>
      <c r="I34" s="9"/>
      <c r="J34" s="9"/>
      <c r="K34" s="9"/>
      <c r="L34" s="9"/>
      <c r="M34" s="9">
        <v>15</v>
      </c>
      <c r="N34" s="9">
        <v>271654</v>
      </c>
      <c r="O34" s="16">
        <f>N34/N$39</f>
        <v>0.26085351665500933</v>
      </c>
      <c r="P34" s="17" t="s">
        <v>45</v>
      </c>
      <c r="Q34" s="3"/>
      <c r="R34" s="3"/>
      <c r="S34" s="13">
        <f>SUM(S26:S33)</f>
        <v>1020.83904</v>
      </c>
      <c r="T34" s="14">
        <f>SUM(T26:T33)</f>
        <v>1</v>
      </c>
    </row>
    <row r="35" spans="1:47">
      <c r="A35" s="5" t="s">
        <v>46</v>
      </c>
      <c r="B35" s="9">
        <v>28250</v>
      </c>
      <c r="C35" s="9">
        <v>1775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55799</v>
      </c>
      <c r="N35" s="9">
        <v>85825</v>
      </c>
      <c r="O35" s="16">
        <f>N35/N$39</f>
        <v>8.2412749552431316E-2</v>
      </c>
      <c r="P35" s="17" t="s">
        <v>47</v>
      </c>
      <c r="Q35" s="17"/>
    </row>
    <row r="36" spans="1:47">
      <c r="A36" s="5" t="s">
        <v>48</v>
      </c>
      <c r="B36" s="9">
        <v>7560</v>
      </c>
      <c r="C36" s="9">
        <v>688</v>
      </c>
      <c r="D36" s="9">
        <v>0</v>
      </c>
      <c r="E36" s="9">
        <v>0</v>
      </c>
      <c r="F36" s="9">
        <v>0</v>
      </c>
      <c r="G36" s="9">
        <v>48334</v>
      </c>
      <c r="H36" s="9">
        <v>0</v>
      </c>
      <c r="I36" s="9"/>
      <c r="J36" s="9"/>
      <c r="K36" s="9"/>
      <c r="L36" s="9"/>
      <c r="M36" s="9">
        <v>103292</v>
      </c>
      <c r="N36" s="9">
        <v>159874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78580</v>
      </c>
      <c r="C37" s="9">
        <v>249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15584</v>
      </c>
      <c r="N37" s="9">
        <v>94413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6958</v>
      </c>
      <c r="N38" s="9">
        <v>6958</v>
      </c>
      <c r="O38" s="17">
        <f>SUM(O31:O35)</f>
        <v>0.74914163988552385</v>
      </c>
      <c r="P38" s="17"/>
      <c r="Q38" s="3"/>
      <c r="R38" s="7" t="s">
        <v>51</v>
      </c>
      <c r="S38" s="19">
        <f>N45/1000</f>
        <v>58.688639999999999</v>
      </c>
      <c r="T38" s="7"/>
    </row>
    <row r="39" spans="1:47">
      <c r="A39" s="5" t="s">
        <v>17</v>
      </c>
      <c r="B39" s="9">
        <v>144610</v>
      </c>
      <c r="C39" s="9">
        <v>269723</v>
      </c>
      <c r="D39" s="43">
        <f>SUM(D31:D38)</f>
        <v>0</v>
      </c>
      <c r="E39" s="43">
        <f>SUM(E31:E38)</f>
        <v>2214.4</v>
      </c>
      <c r="F39" s="9">
        <v>26159</v>
      </c>
      <c r="G39" s="9">
        <v>48655</v>
      </c>
      <c r="H39" s="43">
        <f>SUM(H31:H38)</f>
        <v>6334</v>
      </c>
      <c r="I39" s="18"/>
      <c r="J39" s="18"/>
      <c r="K39" s="18"/>
      <c r="L39" s="9"/>
      <c r="M39" s="9">
        <v>543708</v>
      </c>
      <c r="N39" s="43">
        <f>SUM(N31:N38)</f>
        <v>1041404.4</v>
      </c>
      <c r="O39" s="3"/>
      <c r="P39" s="3"/>
      <c r="Q39" s="3"/>
      <c r="R39" s="7" t="s">
        <v>52</v>
      </c>
      <c r="S39" s="20">
        <f>N41/1000</f>
        <v>261.245</v>
      </c>
      <c r="T39" s="14">
        <f>O41</f>
        <v>0.25085836011447615</v>
      </c>
    </row>
    <row r="40" spans="1:47">
      <c r="N40" s="10"/>
      <c r="R40" s="7" t="s">
        <v>53</v>
      </c>
      <c r="S40" s="20">
        <f>N35/1000</f>
        <v>85.825000000000003</v>
      </c>
      <c r="T40" s="15">
        <f>O35</f>
        <v>8.2412749552431316E-2</v>
      </c>
    </row>
    <row r="41" spans="1:47">
      <c r="A41" s="21" t="s">
        <v>54</v>
      </c>
      <c r="B41" s="22">
        <f>B38+B37+B36</f>
        <v>86140</v>
      </c>
      <c r="C41" s="22">
        <f t="shared" ref="C41:N41" si="0">C38+C37+C36</f>
        <v>937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48334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125834</v>
      </c>
      <c r="N41" s="22">
        <f t="shared" si="0"/>
        <v>261245</v>
      </c>
      <c r="O41" s="16">
        <f>N41/N$39</f>
        <v>0.25085836011447615</v>
      </c>
      <c r="P41" s="16" t="s">
        <v>55</v>
      </c>
      <c r="Q41" s="7"/>
      <c r="R41" s="7" t="s">
        <v>56</v>
      </c>
      <c r="S41" s="20">
        <f>N33/1000</f>
        <v>66.299000000000007</v>
      </c>
      <c r="T41" s="14">
        <f>O33</f>
        <v>6.3663068832818456E-2</v>
      </c>
    </row>
    <row r="42" spans="1:47">
      <c r="A42" s="23" t="s">
        <v>57</v>
      </c>
      <c r="B42" s="22"/>
      <c r="C42" s="24">
        <f>C39+C23+C10</f>
        <v>270022</v>
      </c>
      <c r="D42" s="24">
        <f t="shared" ref="D42:L42" si="1">D39+D23+D10</f>
        <v>0</v>
      </c>
      <c r="E42" s="24">
        <f t="shared" si="1"/>
        <v>2214.4</v>
      </c>
      <c r="F42" s="24">
        <f t="shared" si="1"/>
        <v>104441</v>
      </c>
      <c r="G42" s="24">
        <f t="shared" si="1"/>
        <v>50623</v>
      </c>
      <c r="H42" s="24">
        <f t="shared" si="1"/>
        <v>6334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587204.64</v>
      </c>
      <c r="N42" s="25">
        <f>SUM(C42:M42)</f>
        <v>1020839.04</v>
      </c>
      <c r="O42" s="7"/>
      <c r="P42" s="7"/>
      <c r="Q42" s="7"/>
      <c r="R42" s="7" t="s">
        <v>37</v>
      </c>
      <c r="S42" s="20">
        <f>N31/1000</f>
        <v>31.209</v>
      </c>
      <c r="T42" s="14">
        <f>O31</f>
        <v>2.9968185269814492E-2</v>
      </c>
    </row>
    <row r="43" spans="1:47">
      <c r="A43" s="23" t="s">
        <v>58</v>
      </c>
      <c r="B43" s="22"/>
      <c r="C43" s="16">
        <f t="shared" ref="C43:M43" si="2">C42/$N42</f>
        <v>0.26450986827463024</v>
      </c>
      <c r="D43" s="16">
        <f t="shared" si="2"/>
        <v>0</v>
      </c>
      <c r="E43" s="16">
        <f t="shared" si="2"/>
        <v>2.1691960370167659E-3</v>
      </c>
      <c r="F43" s="16">
        <f t="shared" si="2"/>
        <v>0.10230897909233565</v>
      </c>
      <c r="G43" s="16">
        <f t="shared" si="2"/>
        <v>4.9589600335034206E-2</v>
      </c>
      <c r="H43" s="16">
        <f t="shared" si="2"/>
        <v>6.2047000083382386E-3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0.57521765625264487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325.17240000000004</v>
      </c>
      <c r="T43" s="15">
        <f>O32</f>
        <v>0.31224411957545023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271.654</v>
      </c>
      <c r="T44" s="15">
        <f>O34</f>
        <v>0.26085351665500933</v>
      </c>
    </row>
    <row r="45" spans="1:47">
      <c r="A45" s="6" t="s">
        <v>61</v>
      </c>
      <c r="B45" s="6">
        <f>B23-B39</f>
        <v>15192</v>
      </c>
      <c r="C45" s="6"/>
      <c r="D45" s="6"/>
      <c r="E45" s="42"/>
      <c r="F45" s="6"/>
      <c r="G45" s="6"/>
      <c r="H45" s="6"/>
      <c r="I45" s="6"/>
      <c r="J45" s="6"/>
      <c r="K45" s="6"/>
      <c r="L45" s="6"/>
      <c r="M45" s="26">
        <f>M39*0.08</f>
        <v>43496.639999999999</v>
      </c>
      <c r="N45" s="25">
        <f>B45+M45</f>
        <v>58688.639999999999</v>
      </c>
      <c r="O45" s="7"/>
      <c r="P45" s="7"/>
      <c r="Q45" s="7"/>
      <c r="R45" s="7" t="s">
        <v>62</v>
      </c>
      <c r="S45" s="20">
        <f>SUM(S39:S44)</f>
        <v>1041.4044000000001</v>
      </c>
      <c r="T45" s="14">
        <f>SUM(T39:T44)</f>
        <v>1</v>
      </c>
    </row>
    <row r="46" spans="1:47">
      <c r="A46" s="6"/>
      <c r="B46" s="6"/>
      <c r="C46" s="6"/>
      <c r="D46" s="6"/>
      <c r="E46" s="10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8"/>
      <c r="F48" s="28"/>
      <c r="G48" s="27"/>
      <c r="H48" s="27"/>
      <c r="I48" s="28"/>
      <c r="J48" s="28"/>
      <c r="K48" s="28"/>
      <c r="L48" s="28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7"/>
      <c r="I55" s="28"/>
      <c r="J55" s="28"/>
      <c r="K55" s="28"/>
      <c r="L55" s="28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7"/>
      <c r="I56" s="28"/>
      <c r="J56" s="28"/>
      <c r="K56" s="28"/>
      <c r="L56" s="28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1" enableFormatConditionsCalculation="0"/>
  <dimension ref="A1:AU70"/>
  <sheetViews>
    <sheetView topLeftCell="A13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99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23852</v>
      </c>
      <c r="C6" s="9">
        <v>0</v>
      </c>
      <c r="D6" s="9">
        <v>0</v>
      </c>
      <c r="E6" s="9">
        <v>0</v>
      </c>
      <c r="F6" s="9">
        <v>0</v>
      </c>
      <c r="G6" s="9">
        <v>28888</v>
      </c>
      <c r="H6" s="9">
        <v>0</v>
      </c>
      <c r="I6" s="9"/>
      <c r="J6" s="9"/>
      <c r="K6" s="9"/>
      <c r="L6" s="9"/>
      <c r="M6" s="9"/>
      <c r="N6" s="9">
        <v>28888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503</v>
      </c>
      <c r="C7" s="9">
        <v>2133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2133</v>
      </c>
      <c r="O7" s="3"/>
      <c r="P7" s="3"/>
      <c r="Q7" s="3"/>
      <c r="R7" s="3"/>
      <c r="S7" s="3"/>
      <c r="T7" s="3"/>
    </row>
    <row r="8" spans="1:20">
      <c r="A8" s="8" t="s">
        <v>15</v>
      </c>
      <c r="B8" s="43">
        <f>B10-B9-B7-B6</f>
        <v>1221260.4072990853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1616.5927009147699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1247232</v>
      </c>
      <c r="C10" s="9">
        <v>2133</v>
      </c>
      <c r="D10" s="9">
        <v>0</v>
      </c>
      <c r="E10" s="9">
        <v>0</v>
      </c>
      <c r="F10" s="9">
        <v>0</v>
      </c>
      <c r="G10" s="9">
        <v>28888</v>
      </c>
      <c r="H10" s="9">
        <v>0</v>
      </c>
      <c r="I10" s="9"/>
      <c r="J10" s="9"/>
      <c r="K10" s="9"/>
      <c r="L10" s="9"/>
      <c r="M10" s="9"/>
      <c r="N10" s="9">
        <v>31021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99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101036</v>
      </c>
      <c r="C17" s="9">
        <v>299</v>
      </c>
      <c r="D17" s="9">
        <v>0</v>
      </c>
      <c r="E17" s="9">
        <v>0</v>
      </c>
      <c r="F17" s="9">
        <v>0</v>
      </c>
      <c r="G17" s="9">
        <v>111320</v>
      </c>
      <c r="H17" s="9">
        <v>0</v>
      </c>
      <c r="I17" s="9"/>
      <c r="J17" s="9"/>
      <c r="K17" s="9"/>
      <c r="L17" s="9"/>
      <c r="M17" s="9"/>
      <c r="N17" s="9">
        <v>111619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209779+55316</f>
        <v>265095</v>
      </c>
      <c r="C18" s="9">
        <v>517</v>
      </c>
      <c r="D18" s="9">
        <v>0</v>
      </c>
      <c r="E18" s="9">
        <v>0</v>
      </c>
      <c r="F18" s="9">
        <v>15319</v>
      </c>
      <c r="G18" s="9">
        <v>238519</v>
      </c>
      <c r="H18" s="9">
        <v>0</v>
      </c>
      <c r="I18" s="9"/>
      <c r="J18" s="9"/>
      <c r="K18" s="9"/>
      <c r="L18" s="9"/>
      <c r="M18" s="9"/>
      <c r="N18" s="9">
        <v>254355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25418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391549</v>
      </c>
      <c r="C23" s="9">
        <v>816</v>
      </c>
      <c r="D23" s="9">
        <v>0</v>
      </c>
      <c r="E23" s="9">
        <v>0</v>
      </c>
      <c r="F23" s="9">
        <v>15319</v>
      </c>
      <c r="G23" s="9">
        <v>349839</v>
      </c>
      <c r="H23" s="9">
        <v>0</v>
      </c>
      <c r="I23" s="9"/>
      <c r="J23" s="9"/>
      <c r="K23" s="9"/>
      <c r="L23" s="9"/>
      <c r="M23" s="9"/>
      <c r="N23" s="9">
        <v>365974</v>
      </c>
      <c r="O23" s="3"/>
      <c r="P23" s="3"/>
      <c r="Q23" s="3"/>
      <c r="R23" s="3" t="s">
        <v>27</v>
      </c>
      <c r="S23" s="12">
        <f>N42/1000</f>
        <v>1405.5688399999999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81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593.66283999999996</v>
      </c>
      <c r="T26" s="14">
        <f>M43</f>
        <v>0.42236482704041733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409.41199999999998</v>
      </c>
      <c r="T27" s="15">
        <f>G43</f>
        <v>0.29127851183724307</v>
      </c>
    </row>
    <row r="28" spans="1:20">
      <c r="A28" s="4" t="s">
        <v>99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48.710999999999999</v>
      </c>
      <c r="T29" s="14">
        <f>F43</f>
        <v>3.4655719886334424E-2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0.47599999999999998</v>
      </c>
      <c r="T30" s="14">
        <f>E43</f>
        <v>3.38652925743573E-4</v>
      </c>
    </row>
    <row r="31" spans="1:20">
      <c r="A31" s="5" t="s">
        <v>36</v>
      </c>
      <c r="B31" s="9">
        <v>0</v>
      </c>
      <c r="C31" s="9">
        <v>5933</v>
      </c>
      <c r="D31" s="9">
        <v>0</v>
      </c>
      <c r="E31" s="9">
        <v>0</v>
      </c>
      <c r="F31" s="9">
        <v>643</v>
      </c>
      <c r="G31" s="9">
        <v>0</v>
      </c>
      <c r="H31" s="9">
        <v>0</v>
      </c>
      <c r="I31" s="9"/>
      <c r="J31" s="9"/>
      <c r="K31" s="9"/>
      <c r="L31" s="9"/>
      <c r="M31" s="9">
        <v>6638</v>
      </c>
      <c r="N31" s="9">
        <v>13215</v>
      </c>
      <c r="O31" s="16">
        <f>N31/N$39</f>
        <v>9.817957315102566E-3</v>
      </c>
      <c r="P31" s="17" t="s">
        <v>37</v>
      </c>
      <c r="Q31" s="3"/>
      <c r="R31" s="3" t="s">
        <v>38</v>
      </c>
      <c r="S31" s="13">
        <f>C42/1000</f>
        <v>353.017</v>
      </c>
      <c r="T31" s="15">
        <f>C43</f>
        <v>0.25115596614961955</v>
      </c>
    </row>
    <row r="32" spans="1:20">
      <c r="A32" s="5" t="s">
        <v>39</v>
      </c>
      <c r="B32" s="9">
        <v>91561</v>
      </c>
      <c r="C32" s="9">
        <v>30585</v>
      </c>
      <c r="D32" s="9">
        <v>0</v>
      </c>
      <c r="E32" s="43">
        <f>N32-SUM(F32:M32,B32:D32)</f>
        <v>476</v>
      </c>
      <c r="F32" s="43">
        <v>177</v>
      </c>
      <c r="G32" s="9">
        <v>0</v>
      </c>
      <c r="H32" s="43">
        <v>0</v>
      </c>
      <c r="I32" s="18"/>
      <c r="J32" s="18"/>
      <c r="K32" s="18"/>
      <c r="L32" s="9"/>
      <c r="M32" s="9">
        <v>145829</v>
      </c>
      <c r="N32" s="9">
        <v>268628</v>
      </c>
      <c r="O32" s="16">
        <f>N32/N$39</f>
        <v>0.19957459233003194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19766</v>
      </c>
      <c r="C33" s="9">
        <v>3073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56253</v>
      </c>
      <c r="N33" s="9">
        <v>79092</v>
      </c>
      <c r="O33" s="16">
        <f>N33/N$39</f>
        <v>5.8760641692477654E-2</v>
      </c>
      <c r="P33" s="17" t="s">
        <v>43</v>
      </c>
      <c r="Q33" s="3"/>
      <c r="R33" s="3" t="s">
        <v>7</v>
      </c>
      <c r="S33" s="13">
        <f>H42/1000</f>
        <v>0.28999999999999998</v>
      </c>
      <c r="T33" s="14">
        <f>H43</f>
        <v>2.063221606420928E-4</v>
      </c>
    </row>
    <row r="34" spans="1:47">
      <c r="A34" s="5" t="s">
        <v>44</v>
      </c>
      <c r="B34" s="9">
        <v>0</v>
      </c>
      <c r="C34" s="9">
        <v>308681</v>
      </c>
      <c r="D34" s="9">
        <v>0</v>
      </c>
      <c r="E34" s="9">
        <v>0</v>
      </c>
      <c r="F34" s="9">
        <v>32572</v>
      </c>
      <c r="G34" s="9">
        <v>0</v>
      </c>
      <c r="H34" s="41">
        <v>290</v>
      </c>
      <c r="I34" s="9"/>
      <c r="J34" s="9"/>
      <c r="K34" s="9"/>
      <c r="L34" s="9"/>
      <c r="M34" s="9">
        <v>1568</v>
      </c>
      <c r="N34" s="41">
        <f>342820+290</f>
        <v>343110</v>
      </c>
      <c r="O34" s="16">
        <f>N34/N$39</f>
        <v>0.25491027880324191</v>
      </c>
      <c r="P34" s="17" t="s">
        <v>45</v>
      </c>
      <c r="Q34" s="3"/>
      <c r="R34" s="3"/>
      <c r="S34" s="13">
        <f>SUM(S26:S33)</f>
        <v>1405.5688400000001</v>
      </c>
      <c r="T34" s="14">
        <f>SUM(T26:T33)</f>
        <v>1</v>
      </c>
    </row>
    <row r="35" spans="1:47">
      <c r="A35" s="5" t="s">
        <v>46</v>
      </c>
      <c r="B35" s="9">
        <v>54170</v>
      </c>
      <c r="C35" s="9">
        <v>977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168684</v>
      </c>
      <c r="N35" s="9">
        <v>223831</v>
      </c>
      <c r="O35" s="16">
        <f>N35/N$39</f>
        <v>0.16629309147156432</v>
      </c>
      <c r="P35" s="17" t="s">
        <v>47</v>
      </c>
      <c r="Q35" s="17"/>
    </row>
    <row r="36" spans="1:47">
      <c r="A36" s="5" t="s">
        <v>48</v>
      </c>
      <c r="B36" s="9">
        <v>14874</v>
      </c>
      <c r="C36" s="9">
        <v>727</v>
      </c>
      <c r="D36" s="9">
        <v>0</v>
      </c>
      <c r="E36" s="9">
        <v>0</v>
      </c>
      <c r="F36" s="9">
        <v>0</v>
      </c>
      <c r="G36" s="9">
        <v>30685</v>
      </c>
      <c r="H36" s="9">
        <v>0</v>
      </c>
      <c r="I36" s="9"/>
      <c r="J36" s="9"/>
      <c r="K36" s="9"/>
      <c r="L36" s="9"/>
      <c r="M36" s="9">
        <v>140072</v>
      </c>
      <c r="N36" s="9">
        <v>186358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179238</v>
      </c>
      <c r="C37" s="9">
        <v>92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49178</v>
      </c>
      <c r="N37" s="9">
        <v>228507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3552</v>
      </c>
      <c r="N38" s="9">
        <v>3552</v>
      </c>
      <c r="O38" s="17">
        <f>SUM(O31:O35)</f>
        <v>0.68935656161241843</v>
      </c>
      <c r="P38" s="17"/>
      <c r="Q38" s="3"/>
      <c r="R38" s="7" t="s">
        <v>51</v>
      </c>
      <c r="S38" s="19">
        <f>N45/1000</f>
        <v>77.681839999999994</v>
      </c>
      <c r="T38" s="7"/>
    </row>
    <row r="39" spans="1:47">
      <c r="A39" s="5" t="s">
        <v>17</v>
      </c>
      <c r="B39" s="9">
        <v>359609</v>
      </c>
      <c r="C39" s="9">
        <v>350068</v>
      </c>
      <c r="D39" s="9">
        <v>0</v>
      </c>
      <c r="E39" s="43">
        <f>SUM(E31:E38)</f>
        <v>476</v>
      </c>
      <c r="F39" s="43">
        <f>SUM(F31:F38)</f>
        <v>33392</v>
      </c>
      <c r="G39" s="9">
        <v>30685</v>
      </c>
      <c r="H39" s="43">
        <f>SUM(H31:H38)</f>
        <v>290</v>
      </c>
      <c r="I39" s="18"/>
      <c r="J39" s="18"/>
      <c r="K39" s="18"/>
      <c r="L39" s="9"/>
      <c r="M39" s="9">
        <v>571773</v>
      </c>
      <c r="N39" s="9">
        <v>1346003</v>
      </c>
      <c r="O39" s="3"/>
      <c r="P39" s="3"/>
      <c r="Q39" s="3"/>
      <c r="R39" s="7" t="s">
        <v>52</v>
      </c>
      <c r="S39" s="20">
        <f>N41/1000</f>
        <v>418.41699999999997</v>
      </c>
      <c r="T39" s="14">
        <f>O41</f>
        <v>0.3108588911020258</v>
      </c>
    </row>
    <row r="40" spans="1:47">
      <c r="R40" s="7" t="s">
        <v>53</v>
      </c>
      <c r="S40" s="20">
        <f>N35/1000</f>
        <v>223.83099999999999</v>
      </c>
      <c r="T40" s="15">
        <f>O35</f>
        <v>0.16629309147156432</v>
      </c>
    </row>
    <row r="41" spans="1:47">
      <c r="A41" s="21" t="s">
        <v>54</v>
      </c>
      <c r="B41" s="22">
        <f>B38+B37+B36</f>
        <v>194112</v>
      </c>
      <c r="C41" s="22">
        <f t="shared" ref="C41:N41" si="0">C38+C37+C36</f>
        <v>819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30685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192802</v>
      </c>
      <c r="N41" s="22">
        <f t="shared" si="0"/>
        <v>418417</v>
      </c>
      <c r="O41" s="16">
        <f>N41/N$39</f>
        <v>0.3108588911020258</v>
      </c>
      <c r="P41" s="16" t="s">
        <v>55</v>
      </c>
      <c r="Q41" s="7"/>
      <c r="R41" s="7" t="s">
        <v>56</v>
      </c>
      <c r="S41" s="20">
        <f>N33/1000</f>
        <v>79.091999999999999</v>
      </c>
      <c r="T41" s="14">
        <f>O33</f>
        <v>5.8760641692477654E-2</v>
      </c>
    </row>
    <row r="42" spans="1:47">
      <c r="A42" s="23" t="s">
        <v>57</v>
      </c>
      <c r="B42" s="22"/>
      <c r="C42" s="24">
        <f>C39+C23+C10</f>
        <v>353017</v>
      </c>
      <c r="D42" s="24">
        <f t="shared" ref="D42:L42" si="1">D39+D23+D10</f>
        <v>0</v>
      </c>
      <c r="E42" s="24">
        <f t="shared" si="1"/>
        <v>476</v>
      </c>
      <c r="F42" s="24">
        <f t="shared" si="1"/>
        <v>48711</v>
      </c>
      <c r="G42" s="24">
        <f t="shared" si="1"/>
        <v>409412</v>
      </c>
      <c r="H42" s="24">
        <f t="shared" si="1"/>
        <v>290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593662.84</v>
      </c>
      <c r="N42" s="25">
        <f>SUM(C42:M42)</f>
        <v>1405568.8399999999</v>
      </c>
      <c r="O42" s="7"/>
      <c r="P42" s="7"/>
      <c r="Q42" s="7"/>
      <c r="R42" s="7" t="s">
        <v>37</v>
      </c>
      <c r="S42" s="20">
        <f>N31/1000</f>
        <v>13.215</v>
      </c>
      <c r="T42" s="14">
        <f>O31</f>
        <v>9.817957315102566E-3</v>
      </c>
    </row>
    <row r="43" spans="1:47">
      <c r="A43" s="23" t="s">
        <v>58</v>
      </c>
      <c r="B43" s="22"/>
      <c r="C43" s="16">
        <f t="shared" ref="C43:M43" si="2">C42/$N42</f>
        <v>0.25115596614961955</v>
      </c>
      <c r="D43" s="16">
        <f t="shared" si="2"/>
        <v>0</v>
      </c>
      <c r="E43" s="16">
        <f t="shared" si="2"/>
        <v>3.38652925743573E-4</v>
      </c>
      <c r="F43" s="16">
        <f t="shared" si="2"/>
        <v>3.4655719886334424E-2</v>
      </c>
      <c r="G43" s="16">
        <f t="shared" si="2"/>
        <v>0.29127851183724307</v>
      </c>
      <c r="H43" s="16">
        <f t="shared" si="2"/>
        <v>2.063221606420928E-4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0.42236482704041733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268.62799999999999</v>
      </c>
      <c r="T43" s="15">
        <f>O32</f>
        <v>0.19957459233003194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343.11</v>
      </c>
      <c r="T44" s="15">
        <f>O34</f>
        <v>0.25491027880324191</v>
      </c>
    </row>
    <row r="45" spans="1:47">
      <c r="A45" s="6" t="s">
        <v>61</v>
      </c>
      <c r="B45" s="6">
        <f>B23-B39</f>
        <v>31940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45741.840000000004</v>
      </c>
      <c r="N45" s="25">
        <f>B45+M45</f>
        <v>77681.84</v>
      </c>
      <c r="O45" s="7"/>
      <c r="P45" s="7"/>
      <c r="Q45" s="7"/>
      <c r="R45" s="7" t="s">
        <v>62</v>
      </c>
      <c r="S45" s="20">
        <f>SUM(S39:S44)</f>
        <v>1346.2930000000001</v>
      </c>
      <c r="T45" s="14">
        <f>SUM(T39:T44)</f>
        <v>1.0002154527144442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64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86">
        <v>1693.5733057202312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1693.5733057202312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190.72339999999997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112.73039999999999</v>
      </c>
      <c r="T26" s="14">
        <f>M43</f>
        <v>0.59106748306710144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7.5529999999999999</v>
      </c>
      <c r="T27" s="15">
        <f>G43</f>
        <v>3.960185273542733E-2</v>
      </c>
    </row>
    <row r="28" spans="1:20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2.8714463519313305</v>
      </c>
      <c r="T29" s="14">
        <f>F43</f>
        <v>1.5055553497532714E-2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6.6266094420600859E-3</v>
      </c>
      <c r="T30" s="14">
        <f>E43</f>
        <v>3.4744606283550353E-5</v>
      </c>
    </row>
    <row r="31" spans="1:20">
      <c r="A31" s="5" t="s">
        <v>36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>
        <v>778</v>
      </c>
      <c r="N31" s="9">
        <v>778</v>
      </c>
      <c r="O31" s="16">
        <f>N31/N$39</f>
        <v>4.2660057464961728E-3</v>
      </c>
      <c r="P31" s="17" t="s">
        <v>37</v>
      </c>
      <c r="Q31" s="3"/>
      <c r="R31" s="3" t="s">
        <v>38</v>
      </c>
      <c r="S31" s="13">
        <f>C42/1000</f>
        <v>67.561927038626607</v>
      </c>
      <c r="T31" s="15">
        <f>C43</f>
        <v>0.35424036609365506</v>
      </c>
    </row>
    <row r="32" spans="1:20">
      <c r="A32" s="5" t="s">
        <v>39</v>
      </c>
      <c r="B32" s="9">
        <v>0</v>
      </c>
      <c r="C32" s="43">
        <f>(772-E32)*20/21</f>
        <v>728.92703862660949</v>
      </c>
      <c r="D32" s="9">
        <v>0</v>
      </c>
      <c r="E32" s="43">
        <f>772*4/466</f>
        <v>6.6266094420600856</v>
      </c>
      <c r="F32" s="43">
        <f>(772-E32)/21</f>
        <v>36.446351931330476</v>
      </c>
      <c r="G32" s="9">
        <v>0</v>
      </c>
      <c r="H32" s="9">
        <v>0</v>
      </c>
      <c r="I32" s="9"/>
      <c r="J32" s="9"/>
      <c r="K32" s="9"/>
      <c r="L32" s="9"/>
      <c r="M32" s="9">
        <v>8026</v>
      </c>
      <c r="N32" s="9">
        <v>8798</v>
      </c>
      <c r="O32" s="16">
        <f>N32/N$39</f>
        <v>4.82420547013796E-2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33116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4965</v>
      </c>
      <c r="N33" s="9">
        <v>38081</v>
      </c>
      <c r="O33" s="16">
        <f>N33/N$39</f>
        <v>0.20880946636545084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33295</v>
      </c>
      <c r="D34" s="9">
        <v>0</v>
      </c>
      <c r="E34" s="9">
        <v>0</v>
      </c>
      <c r="F34" s="9">
        <v>2835</v>
      </c>
      <c r="G34" s="9">
        <v>0</v>
      </c>
      <c r="H34" s="9">
        <v>0</v>
      </c>
      <c r="I34" s="9"/>
      <c r="J34" s="9"/>
      <c r="K34" s="9"/>
      <c r="L34" s="9"/>
      <c r="M34" s="9">
        <v>841</v>
      </c>
      <c r="N34" s="9">
        <v>36971</v>
      </c>
      <c r="O34" s="16">
        <f>N34/N$39</f>
        <v>0.20272300572456298</v>
      </c>
      <c r="P34" s="17" t="s">
        <v>45</v>
      </c>
      <c r="Q34" s="3"/>
      <c r="R34" s="3"/>
      <c r="S34" s="13">
        <f>SUM(S26:S33)</f>
        <v>190.72339999999997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397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17478</v>
      </c>
      <c r="N35" s="9">
        <v>17875</v>
      </c>
      <c r="O35" s="16">
        <f>N35/N$39</f>
        <v>9.8013949509793169E-2</v>
      </c>
      <c r="P35" s="17" t="s">
        <v>47</v>
      </c>
      <c r="Q35" s="17"/>
    </row>
    <row r="36" spans="1:47">
      <c r="A36" s="5" t="s">
        <v>48</v>
      </c>
      <c r="B36" s="9">
        <v>0</v>
      </c>
      <c r="C36" s="9">
        <v>15</v>
      </c>
      <c r="D36" s="9">
        <v>0</v>
      </c>
      <c r="E36" s="9">
        <v>0</v>
      </c>
      <c r="F36" s="9">
        <v>0</v>
      </c>
      <c r="G36" s="9">
        <v>7553</v>
      </c>
      <c r="H36" s="9">
        <v>0</v>
      </c>
      <c r="I36" s="9"/>
      <c r="J36" s="9"/>
      <c r="K36" s="9"/>
      <c r="L36" s="9"/>
      <c r="M36" s="9">
        <v>66296</v>
      </c>
      <c r="N36" s="9">
        <v>73864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0</v>
      </c>
      <c r="C37" s="9">
        <v>10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3605</v>
      </c>
      <c r="N37" s="9">
        <v>3615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2391</v>
      </c>
      <c r="N38" s="9">
        <v>2391</v>
      </c>
      <c r="O38" s="17">
        <f>SUM(O31:O35)</f>
        <v>0.56205448204768271</v>
      </c>
      <c r="P38" s="17"/>
      <c r="Q38" s="3"/>
      <c r="R38" s="7" t="s">
        <v>51</v>
      </c>
      <c r="S38" s="19">
        <f>N45/1000</f>
        <v>8.3504000000000005</v>
      </c>
      <c r="T38" s="7"/>
    </row>
    <row r="39" spans="1:47">
      <c r="A39" s="5" t="s">
        <v>17</v>
      </c>
      <c r="B39" s="9">
        <v>0</v>
      </c>
      <c r="C39" s="43">
        <f>SUM(C31:C38)</f>
        <v>67561.9270386266</v>
      </c>
      <c r="D39" s="9">
        <v>0</v>
      </c>
      <c r="E39" s="43">
        <f>SUM(E31:E38)</f>
        <v>6.6266094420600856</v>
      </c>
      <c r="F39" s="43">
        <f>SUM(F31:F38)</f>
        <v>2871.4463519313304</v>
      </c>
      <c r="G39" s="9">
        <v>7553</v>
      </c>
      <c r="H39" s="9">
        <v>0</v>
      </c>
      <c r="I39" s="9"/>
      <c r="J39" s="9"/>
      <c r="K39" s="9"/>
      <c r="L39" s="9"/>
      <c r="M39" s="9">
        <v>104380</v>
      </c>
      <c r="N39" s="9">
        <v>182372</v>
      </c>
      <c r="O39" s="3"/>
      <c r="P39" s="3"/>
      <c r="Q39" s="3"/>
      <c r="R39" s="7" t="s">
        <v>52</v>
      </c>
      <c r="S39" s="20">
        <f>N41/1000</f>
        <v>79.87</v>
      </c>
      <c r="T39" s="14">
        <f>O41</f>
        <v>0.43795100125019193</v>
      </c>
    </row>
    <row r="40" spans="1:47">
      <c r="R40" s="7" t="s">
        <v>53</v>
      </c>
      <c r="S40" s="20">
        <f>N35/1000</f>
        <v>17.875</v>
      </c>
      <c r="T40" s="15">
        <f>O35</f>
        <v>9.8013949509793169E-2</v>
      </c>
    </row>
    <row r="41" spans="1:47">
      <c r="A41" s="21" t="s">
        <v>54</v>
      </c>
      <c r="B41" s="22">
        <f>B38+B37+B36</f>
        <v>0</v>
      </c>
      <c r="C41" s="22">
        <f t="shared" ref="C41:N41" si="0">C38+C37+C36</f>
        <v>25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7553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72292</v>
      </c>
      <c r="N41" s="22">
        <f t="shared" si="0"/>
        <v>79870</v>
      </c>
      <c r="O41" s="16">
        <f>N41/N$39</f>
        <v>0.43795100125019193</v>
      </c>
      <c r="P41" s="16" t="s">
        <v>55</v>
      </c>
      <c r="Q41" s="7"/>
      <c r="R41" s="7" t="s">
        <v>56</v>
      </c>
      <c r="S41" s="20">
        <f>N33/1000</f>
        <v>38.081000000000003</v>
      </c>
      <c r="T41" s="14">
        <f>O33</f>
        <v>0.20880946636545084</v>
      </c>
    </row>
    <row r="42" spans="1:47">
      <c r="A42" s="23" t="s">
        <v>57</v>
      </c>
      <c r="B42" s="22"/>
      <c r="C42" s="24">
        <f>C39+C23+C10</f>
        <v>67561.9270386266</v>
      </c>
      <c r="D42" s="24">
        <f t="shared" ref="D42:L42" si="1">D39+D23+D10</f>
        <v>0</v>
      </c>
      <c r="E42" s="24">
        <f t="shared" si="1"/>
        <v>6.6266094420600856</v>
      </c>
      <c r="F42" s="24">
        <f t="shared" si="1"/>
        <v>2871.4463519313304</v>
      </c>
      <c r="G42" s="24">
        <f t="shared" si="1"/>
        <v>7553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112730.4</v>
      </c>
      <c r="N42" s="25">
        <f>SUM(C42:M42)</f>
        <v>190723.39999999997</v>
      </c>
      <c r="O42" s="7"/>
      <c r="P42" s="7"/>
      <c r="Q42" s="7"/>
      <c r="R42" s="7" t="s">
        <v>37</v>
      </c>
      <c r="S42" s="20">
        <f>N31/1000</f>
        <v>0.77800000000000002</v>
      </c>
      <c r="T42" s="14">
        <f>O31</f>
        <v>4.2660057464961728E-3</v>
      </c>
    </row>
    <row r="43" spans="1:47">
      <c r="A43" s="23" t="s">
        <v>58</v>
      </c>
      <c r="B43" s="22"/>
      <c r="C43" s="16">
        <f t="shared" ref="C43:M43" si="2">C42/$N42</f>
        <v>0.35424036609365506</v>
      </c>
      <c r="D43" s="16">
        <f t="shared" si="2"/>
        <v>0</v>
      </c>
      <c r="E43" s="16">
        <f t="shared" si="2"/>
        <v>3.4744606283550353E-5</v>
      </c>
      <c r="F43" s="16">
        <f t="shared" si="2"/>
        <v>1.5055553497532714E-2</v>
      </c>
      <c r="G43" s="16">
        <f t="shared" si="2"/>
        <v>3.960185273542733E-2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0.59106748306710144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8.798</v>
      </c>
      <c r="T43" s="15">
        <f>O32</f>
        <v>4.82420547013796E-2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36.970999999999997</v>
      </c>
      <c r="T44" s="15">
        <f>O34</f>
        <v>0.20272300572456298</v>
      </c>
    </row>
    <row r="45" spans="1:47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8350.4</v>
      </c>
      <c r="N45" s="25">
        <f>B45+M45</f>
        <v>8350.4</v>
      </c>
      <c r="O45" s="7"/>
      <c r="P45" s="7"/>
      <c r="Q45" s="7"/>
      <c r="R45" s="7" t="s">
        <v>62</v>
      </c>
      <c r="S45" s="20">
        <f>SUM(S39:S44)</f>
        <v>182.37300000000002</v>
      </c>
      <c r="T45" s="14">
        <f>SUM(T39:T44)</f>
        <v>1.0000054832978746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1" enableFormatConditionsCalculation="0"/>
  <dimension ref="A1:AU70"/>
  <sheetViews>
    <sheetView topLeftCell="A17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100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43">
        <f>B10-B9</f>
        <v>4667.1838718542695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2052.8161281457301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6720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46661+87700+11800</f>
        <v>146161</v>
      </c>
      <c r="C18" s="9">
        <v>498</v>
      </c>
      <c r="D18" s="9">
        <v>0</v>
      </c>
      <c r="E18" s="9">
        <v>0</v>
      </c>
      <c r="F18" s="9">
        <v>453</v>
      </c>
      <c r="G18" s="41">
        <f>53772+87700</f>
        <v>141472</v>
      </c>
      <c r="H18" s="9">
        <v>0</v>
      </c>
      <c r="I18" s="9"/>
      <c r="J18" s="9"/>
      <c r="K18" s="9"/>
      <c r="L18" s="9"/>
      <c r="M18" s="9"/>
      <c r="N18" s="40">
        <f>SUM(C18:H18)</f>
        <v>142423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SUM(B17:B22)</f>
        <v>146204</v>
      </c>
      <c r="C23" s="9">
        <v>498</v>
      </c>
      <c r="D23" s="9">
        <v>0</v>
      </c>
      <c r="E23" s="9">
        <v>0</v>
      </c>
      <c r="F23" s="9">
        <v>453</v>
      </c>
      <c r="G23" s="40">
        <f>SUM(G17:G22)</f>
        <v>141472</v>
      </c>
      <c r="H23" s="9">
        <v>0</v>
      </c>
      <c r="I23" s="9"/>
      <c r="J23" s="9"/>
      <c r="K23" s="9"/>
      <c r="L23" s="9"/>
      <c r="M23" s="9"/>
      <c r="N23" s="40">
        <f>SUM(N17:N22)</f>
        <v>142423</v>
      </c>
      <c r="O23" s="3"/>
      <c r="P23" s="3"/>
      <c r="Q23" s="3"/>
      <c r="R23" s="3" t="s">
        <v>27</v>
      </c>
      <c r="S23" s="12">
        <f>N42/1000</f>
        <v>1115.8385600000001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403.06356</v>
      </c>
      <c r="T26" s="14">
        <f>M43</f>
        <v>0.36122031846614083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198.03899999999999</v>
      </c>
      <c r="T27" s="15">
        <f>G43</f>
        <v>0.17747997523942891</v>
      </c>
    </row>
    <row r="28" spans="1:20">
      <c r="A28" s="4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46.893000000000001</v>
      </c>
      <c r="T29" s="14">
        <f>F43</f>
        <v>4.2024896504741685E-2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5324</v>
      </c>
      <c r="D31" s="9">
        <v>0</v>
      </c>
      <c r="E31" s="9">
        <v>0</v>
      </c>
      <c r="F31" s="9">
        <v>408</v>
      </c>
      <c r="G31" s="9">
        <v>0</v>
      </c>
      <c r="H31" s="9">
        <v>0</v>
      </c>
      <c r="I31" s="9"/>
      <c r="J31" s="9"/>
      <c r="K31" s="9"/>
      <c r="L31" s="9"/>
      <c r="M31" s="9">
        <v>7604</v>
      </c>
      <c r="N31" s="9">
        <v>13335</v>
      </c>
      <c r="O31" s="16">
        <f>N31/N$39</f>
        <v>1.2490562997959921E-2</v>
      </c>
      <c r="P31" s="17" t="s">
        <v>37</v>
      </c>
      <c r="Q31" s="3"/>
      <c r="R31" s="3" t="s">
        <v>38</v>
      </c>
      <c r="S31" s="13">
        <f>C42/1000</f>
        <v>467.84300000000002</v>
      </c>
      <c r="T31" s="15">
        <f>C43</f>
        <v>0.41927480978968856</v>
      </c>
    </row>
    <row r="32" spans="1:20">
      <c r="A32" s="5" t="s">
        <v>39</v>
      </c>
      <c r="B32" s="9">
        <v>12733</v>
      </c>
      <c r="C32" s="43">
        <f>C39-SUM(C31,C33:C38)</f>
        <v>5415</v>
      </c>
      <c r="D32" s="9">
        <v>0</v>
      </c>
      <c r="E32" s="9">
        <v>0</v>
      </c>
      <c r="F32" s="9">
        <v>413</v>
      </c>
      <c r="G32" s="43">
        <f>G39-SUM(G33:G38,G31)</f>
        <v>5485</v>
      </c>
      <c r="H32" s="9">
        <v>0</v>
      </c>
      <c r="I32" s="9"/>
      <c r="J32" s="9"/>
      <c r="K32" s="9"/>
      <c r="L32" s="9"/>
      <c r="M32" s="9">
        <v>30758</v>
      </c>
      <c r="N32" s="9">
        <v>54802</v>
      </c>
      <c r="O32" s="16">
        <f>N32/N$39</f>
        <v>5.1331671047184071E-2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17130</v>
      </c>
      <c r="C33" s="9">
        <v>141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41391</v>
      </c>
      <c r="N33" s="9">
        <v>58662</v>
      </c>
      <c r="O33" s="16">
        <f>N33/N$39</f>
        <v>5.49472370893382E-2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455512</v>
      </c>
      <c r="D34" s="9">
        <v>0</v>
      </c>
      <c r="E34" s="9">
        <v>0</v>
      </c>
      <c r="F34" s="9">
        <v>45620</v>
      </c>
      <c r="G34" s="9">
        <v>0</v>
      </c>
      <c r="H34" s="9">
        <v>0</v>
      </c>
      <c r="I34" s="9"/>
      <c r="J34" s="9"/>
      <c r="K34" s="9"/>
      <c r="L34" s="9"/>
      <c r="M34" s="9">
        <v>67285</v>
      </c>
      <c r="N34" s="9">
        <v>568417</v>
      </c>
      <c r="O34" s="16">
        <f>N34/N$39</f>
        <v>0.53242207331168989</v>
      </c>
      <c r="P34" s="17" t="s">
        <v>45</v>
      </c>
      <c r="Q34" s="3"/>
      <c r="R34" s="3"/>
      <c r="S34" s="13">
        <f>SUM(S26:S33)</f>
        <v>1115.8385600000001</v>
      </c>
      <c r="T34" s="14">
        <f>SUM(T26:T33)</f>
        <v>1</v>
      </c>
    </row>
    <row r="35" spans="1:47">
      <c r="A35" s="5" t="s">
        <v>46</v>
      </c>
      <c r="B35" s="9">
        <v>21109</v>
      </c>
      <c r="C35" s="9">
        <v>433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75953</v>
      </c>
      <c r="N35" s="9">
        <v>97494</v>
      </c>
      <c r="O35" s="16">
        <f>N35/N$39</f>
        <v>9.1320206143464908E-2</v>
      </c>
      <c r="P35" s="17" t="s">
        <v>47</v>
      </c>
      <c r="Q35" s="17"/>
    </row>
    <row r="36" spans="1:47">
      <c r="A36" s="5" t="s">
        <v>48</v>
      </c>
      <c r="B36" s="9">
        <v>10943</v>
      </c>
      <c r="C36" s="43">
        <v>500</v>
      </c>
      <c r="D36" s="9">
        <v>0</v>
      </c>
      <c r="E36" s="9">
        <v>0</v>
      </c>
      <c r="F36" s="9">
        <v>0</v>
      </c>
      <c r="G36" s="43">
        <f>N36-SUM(H36:M36,B36:F36)</f>
        <v>51082</v>
      </c>
      <c r="H36" s="9">
        <v>0</v>
      </c>
      <c r="I36" s="9"/>
      <c r="J36" s="9"/>
      <c r="K36" s="9"/>
      <c r="L36" s="9"/>
      <c r="M36" s="9">
        <v>120498</v>
      </c>
      <c r="N36" s="9">
        <v>183023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62132</v>
      </c>
      <c r="C37" s="9">
        <v>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21071</v>
      </c>
      <c r="N37" s="9">
        <v>83223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8648</v>
      </c>
      <c r="N38" s="9">
        <v>8648</v>
      </c>
      <c r="O38" s="17">
        <f>SUM(O31:O35)</f>
        <v>0.74251175058963703</v>
      </c>
      <c r="P38" s="17"/>
      <c r="Q38" s="3"/>
      <c r="R38" s="7" t="s">
        <v>51</v>
      </c>
      <c r="S38" s="19">
        <f>N45/1000</f>
        <v>52.013559999999998</v>
      </c>
      <c r="T38" s="7"/>
    </row>
    <row r="39" spans="1:47">
      <c r="A39" s="5" t="s">
        <v>17</v>
      </c>
      <c r="B39" s="9">
        <v>124047</v>
      </c>
      <c r="C39" s="9">
        <v>467345</v>
      </c>
      <c r="D39" s="9">
        <v>0</v>
      </c>
      <c r="E39" s="9">
        <v>0</v>
      </c>
      <c r="F39" s="9">
        <v>46440</v>
      </c>
      <c r="G39" s="9">
        <v>56567</v>
      </c>
      <c r="H39" s="9">
        <v>0</v>
      </c>
      <c r="I39" s="9"/>
      <c r="J39" s="9"/>
      <c r="K39" s="9"/>
      <c r="L39" s="9"/>
      <c r="M39" s="9">
        <v>373207</v>
      </c>
      <c r="N39" s="9">
        <v>1067606</v>
      </c>
      <c r="O39" s="3"/>
      <c r="P39" s="3"/>
      <c r="Q39" s="3"/>
      <c r="R39" s="7" t="s">
        <v>52</v>
      </c>
      <c r="S39" s="20">
        <f>N41/1000</f>
        <v>274.89400000000001</v>
      </c>
      <c r="T39" s="14">
        <f>O41</f>
        <v>0.25748637606008207</v>
      </c>
    </row>
    <row r="40" spans="1:47">
      <c r="R40" s="7" t="s">
        <v>53</v>
      </c>
      <c r="S40" s="20">
        <f>N35/1000</f>
        <v>97.494</v>
      </c>
      <c r="T40" s="15">
        <f>O35</f>
        <v>9.1320206143464908E-2</v>
      </c>
    </row>
    <row r="41" spans="1:47">
      <c r="A41" s="21" t="s">
        <v>54</v>
      </c>
      <c r="B41" s="22">
        <f>B38+B37+B36</f>
        <v>73075</v>
      </c>
      <c r="C41" s="22">
        <f t="shared" ref="C41:N41" si="0">C38+C37+C36</f>
        <v>520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51082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150217</v>
      </c>
      <c r="N41" s="22">
        <f t="shared" si="0"/>
        <v>274894</v>
      </c>
      <c r="O41" s="16">
        <f>N41/N$39</f>
        <v>0.25748637606008207</v>
      </c>
      <c r="P41" s="16" t="s">
        <v>55</v>
      </c>
      <c r="Q41" s="7"/>
      <c r="R41" s="7" t="s">
        <v>56</v>
      </c>
      <c r="S41" s="20">
        <f>N33/1000</f>
        <v>58.661999999999999</v>
      </c>
      <c r="T41" s="14">
        <f>O33</f>
        <v>5.49472370893382E-2</v>
      </c>
    </row>
    <row r="42" spans="1:47">
      <c r="A42" s="23" t="s">
        <v>57</v>
      </c>
      <c r="B42" s="22"/>
      <c r="C42" s="24">
        <f>C39+C23+C10</f>
        <v>467843</v>
      </c>
      <c r="D42" s="24">
        <f t="shared" ref="D42:L42" si="1">D39+D23+D10</f>
        <v>0</v>
      </c>
      <c r="E42" s="24">
        <f t="shared" si="1"/>
        <v>0</v>
      </c>
      <c r="F42" s="24">
        <f t="shared" si="1"/>
        <v>46893</v>
      </c>
      <c r="G42" s="24">
        <f t="shared" si="1"/>
        <v>198039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403063.56</v>
      </c>
      <c r="N42" s="25">
        <f>SUM(C42:M42)</f>
        <v>1115838.56</v>
      </c>
      <c r="O42" s="7"/>
      <c r="P42" s="7"/>
      <c r="Q42" s="7"/>
      <c r="R42" s="7" t="s">
        <v>37</v>
      </c>
      <c r="S42" s="20">
        <f>N31/1000</f>
        <v>13.335000000000001</v>
      </c>
      <c r="T42" s="14">
        <f>O31</f>
        <v>1.2490562997959921E-2</v>
      </c>
    </row>
    <row r="43" spans="1:47">
      <c r="A43" s="23" t="s">
        <v>58</v>
      </c>
      <c r="B43" s="22"/>
      <c r="C43" s="16">
        <f t="shared" ref="C43:M43" si="2">C42/$N42</f>
        <v>0.41927480978968856</v>
      </c>
      <c r="D43" s="16">
        <f t="shared" si="2"/>
        <v>0</v>
      </c>
      <c r="E43" s="16">
        <f t="shared" si="2"/>
        <v>0</v>
      </c>
      <c r="F43" s="16">
        <f t="shared" si="2"/>
        <v>4.2024896504741685E-2</v>
      </c>
      <c r="G43" s="16">
        <f t="shared" si="2"/>
        <v>0.17747997523942891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0.36122031846614083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54.802</v>
      </c>
      <c r="T43" s="15">
        <f>O32</f>
        <v>5.1331671047184071E-2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568.41700000000003</v>
      </c>
      <c r="T44" s="15">
        <f>O34</f>
        <v>0.53242207331168989</v>
      </c>
    </row>
    <row r="45" spans="1:47">
      <c r="A45" s="6" t="s">
        <v>61</v>
      </c>
      <c r="B45" s="6">
        <f>B23-B39</f>
        <v>22157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29856.560000000001</v>
      </c>
      <c r="N45" s="25">
        <f>B45+M45</f>
        <v>52013.56</v>
      </c>
      <c r="O45" s="7"/>
      <c r="P45" s="7"/>
      <c r="Q45" s="7"/>
      <c r="R45" s="7" t="s">
        <v>62</v>
      </c>
      <c r="S45" s="20">
        <f>SUM(S39:S44)</f>
        <v>1067.604</v>
      </c>
      <c r="T45" s="14">
        <f>SUM(T39:T44)</f>
        <v>0.9999981266497191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" enableFormatConditionsCalculation="0"/>
  <dimension ref="A1:AU70"/>
  <sheetViews>
    <sheetView topLeftCell="A13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101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123727</v>
      </c>
      <c r="C6" s="41">
        <v>0</v>
      </c>
      <c r="D6" s="41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14009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137736</v>
      </c>
      <c r="C10" s="41">
        <f>SUM(C6:C9)</f>
        <v>0</v>
      </c>
      <c r="D10" s="41">
        <v>0</v>
      </c>
      <c r="E10" s="9">
        <v>0</v>
      </c>
      <c r="F10" s="9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678788</v>
      </c>
      <c r="C17" s="95">
        <f>22032+1870</f>
        <v>23902</v>
      </c>
      <c r="D17" s="41">
        <v>0</v>
      </c>
      <c r="E17" s="9">
        <v>12406</v>
      </c>
      <c r="F17" s="9">
        <v>49571</v>
      </c>
      <c r="G17" s="41">
        <f>854219-K17</f>
        <v>509019</v>
      </c>
      <c r="H17" s="9">
        <v>0</v>
      </c>
      <c r="I17" s="9"/>
      <c r="J17" s="9"/>
      <c r="K17" s="41">
        <f>345200</f>
        <v>345200</v>
      </c>
      <c r="L17" s="9"/>
      <c r="M17" s="9"/>
      <c r="N17" s="41">
        <f>SUM(C17:M17)</f>
        <v>940098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22900</v>
      </c>
      <c r="C18" s="9">
        <v>1264</v>
      </c>
      <c r="D18" s="9">
        <v>0</v>
      </c>
      <c r="E18" s="9">
        <v>0</v>
      </c>
      <c r="F18" s="9">
        <v>0</v>
      </c>
      <c r="G18" s="9">
        <v>26170</v>
      </c>
      <c r="H18" s="9">
        <v>0</v>
      </c>
      <c r="I18" s="9"/>
      <c r="J18" s="9"/>
      <c r="K18" s="9"/>
      <c r="L18" s="9"/>
      <c r="M18" s="9"/>
      <c r="N18" s="9">
        <v>27433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13203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1">
        <f>B19*1.015</f>
        <v>13401.044999999998</v>
      </c>
      <c r="N19" s="41">
        <f>SUM(C19:M19)</f>
        <v>13401.044999999998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18470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1">
        <f>B20*0.33</f>
        <v>6095.1</v>
      </c>
      <c r="N20" s="41">
        <f>SUM(C20:M20)</f>
        <v>6095.1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733361</v>
      </c>
      <c r="C23" s="41">
        <f>SUM(C17:C22)</f>
        <v>25166</v>
      </c>
      <c r="D23" s="41">
        <v>0</v>
      </c>
      <c r="E23" s="9">
        <v>12406</v>
      </c>
      <c r="F23" s="9">
        <v>49571</v>
      </c>
      <c r="G23" s="41">
        <f>SUM(G17:G22)</f>
        <v>535189</v>
      </c>
      <c r="H23" s="9">
        <v>0</v>
      </c>
      <c r="I23" s="9"/>
      <c r="J23" s="9"/>
      <c r="K23" s="41">
        <f>SUM(K17:K22)</f>
        <v>345200</v>
      </c>
      <c r="L23" s="9"/>
      <c r="M23" s="41">
        <f>SUM(M19:M22)</f>
        <v>19496.144999999997</v>
      </c>
      <c r="N23" s="41">
        <f>SUM(N17:N22)</f>
        <v>987027.14500000002</v>
      </c>
      <c r="O23" s="3"/>
      <c r="P23" s="3"/>
      <c r="Q23" s="3"/>
      <c r="R23" s="3" t="s">
        <v>27</v>
      </c>
      <c r="S23" s="12">
        <f>N42/1000</f>
        <v>3075.5412249999999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902.97822499999995</v>
      </c>
      <c r="T26" s="14">
        <f>M43</f>
        <v>0.29359977933639952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731.83299999999997</v>
      </c>
      <c r="T27" s="15">
        <f>G43</f>
        <v>0.23795258995430957</v>
      </c>
    </row>
    <row r="28" spans="1:20">
      <c r="A28" s="4" t="s">
        <v>101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130.03100000000001</v>
      </c>
      <c r="T29" s="14">
        <f>F43</f>
        <v>4.2279062606289726E-2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31.206</v>
      </c>
      <c r="T30" s="14">
        <f>E43</f>
        <v>1.0146506815235422E-2</v>
      </c>
    </row>
    <row r="31" spans="1:20">
      <c r="A31" s="5" t="s">
        <v>36</v>
      </c>
      <c r="B31" s="9">
        <v>0</v>
      </c>
      <c r="C31" s="9">
        <v>6053</v>
      </c>
      <c r="D31" s="9">
        <v>0</v>
      </c>
      <c r="E31" s="9">
        <v>0</v>
      </c>
      <c r="F31" s="9">
        <v>558</v>
      </c>
      <c r="G31" s="9">
        <v>0</v>
      </c>
      <c r="H31" s="9">
        <v>0</v>
      </c>
      <c r="I31" s="9"/>
      <c r="J31" s="9"/>
      <c r="K31" s="9"/>
      <c r="L31" s="9"/>
      <c r="M31" s="9">
        <v>12094</v>
      </c>
      <c r="N31" s="9">
        <v>18705</v>
      </c>
      <c r="O31" s="16">
        <f>N31/N$39</f>
        <v>6.6261105952943105E-3</v>
      </c>
      <c r="P31" s="17" t="s">
        <v>37</v>
      </c>
      <c r="Q31" s="3"/>
      <c r="R31" s="3" t="s">
        <v>38</v>
      </c>
      <c r="S31" s="13">
        <f>C42/1000</f>
        <v>934.29300000000001</v>
      </c>
      <c r="T31" s="15">
        <f>C43</f>
        <v>0.30378165391036172</v>
      </c>
    </row>
    <row r="32" spans="1:20">
      <c r="A32" s="5" t="s">
        <v>39</v>
      </c>
      <c r="B32" s="9">
        <v>53729</v>
      </c>
      <c r="C32" s="9">
        <v>51206</v>
      </c>
      <c r="D32" s="9">
        <v>0</v>
      </c>
      <c r="E32" s="43">
        <v>18800</v>
      </c>
      <c r="F32" s="9">
        <v>1107</v>
      </c>
      <c r="G32" s="43">
        <f>N32-SUM(H32:M32,B32:F32)</f>
        <v>76097</v>
      </c>
      <c r="H32" s="9">
        <v>0</v>
      </c>
      <c r="I32" s="9"/>
      <c r="J32" s="9"/>
      <c r="K32" s="9"/>
      <c r="L32" s="9"/>
      <c r="M32" s="9">
        <v>156379</v>
      </c>
      <c r="N32" s="9">
        <v>357318</v>
      </c>
      <c r="O32" s="16">
        <f>N32/N$39</f>
        <v>0.12657731011437437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133140</v>
      </c>
      <c r="C33" s="9">
        <v>4778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122750</v>
      </c>
      <c r="N33" s="9">
        <v>260667</v>
      </c>
      <c r="O33" s="16">
        <f>N33/N$39</f>
        <v>9.2339394308665168E-2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841590</v>
      </c>
      <c r="D34" s="9">
        <v>0</v>
      </c>
      <c r="E34" s="9">
        <v>0</v>
      </c>
      <c r="F34" s="9">
        <v>78794</v>
      </c>
      <c r="G34" s="9">
        <v>0</v>
      </c>
      <c r="H34" s="9">
        <v>0</v>
      </c>
      <c r="I34" s="9"/>
      <c r="J34" s="9"/>
      <c r="K34" s="9"/>
      <c r="L34" s="9"/>
      <c r="M34" s="9">
        <v>21075</v>
      </c>
      <c r="N34" s="9">
        <v>941460</v>
      </c>
      <c r="O34" s="16">
        <f>N34/N$39</f>
        <v>0.33350537722778834</v>
      </c>
      <c r="P34" s="17" t="s">
        <v>45</v>
      </c>
      <c r="Q34" s="3"/>
      <c r="R34" s="3"/>
      <c r="S34" s="13">
        <f>SUM(S26:S33)</f>
        <v>2730.3412249999997</v>
      </c>
      <c r="T34" s="14">
        <f>SUM(T26:T33)</f>
        <v>0.88775959262259607</v>
      </c>
    </row>
    <row r="35" spans="1:47">
      <c r="A35" s="5" t="s">
        <v>46</v>
      </c>
      <c r="B35" s="9">
        <v>115878</v>
      </c>
      <c r="C35" s="9">
        <v>1531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292569</v>
      </c>
      <c r="N35" s="9">
        <v>409978</v>
      </c>
      <c r="O35" s="16">
        <f>N35/N$39</f>
        <v>0.14523173320703398</v>
      </c>
      <c r="P35" s="17" t="s">
        <v>47</v>
      </c>
      <c r="Q35" s="17"/>
    </row>
    <row r="36" spans="1:47">
      <c r="A36" s="5" t="s">
        <v>48</v>
      </c>
      <c r="B36" s="9">
        <v>56464</v>
      </c>
      <c r="C36" s="9">
        <v>3547</v>
      </c>
      <c r="D36" s="9">
        <v>0</v>
      </c>
      <c r="E36" s="9">
        <v>0</v>
      </c>
      <c r="F36" s="9">
        <v>0</v>
      </c>
      <c r="G36" s="9">
        <v>120547</v>
      </c>
      <c r="H36" s="9">
        <v>0</v>
      </c>
      <c r="I36" s="9"/>
      <c r="J36" s="9"/>
      <c r="K36" s="9"/>
      <c r="L36" s="9"/>
      <c r="M36" s="9">
        <v>247281</v>
      </c>
      <c r="N36" s="9">
        <v>427840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326081</v>
      </c>
      <c r="C37" s="9">
        <v>421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65132</v>
      </c>
      <c r="N37" s="9">
        <v>391634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15321</v>
      </c>
      <c r="N38" s="9">
        <v>15321</v>
      </c>
      <c r="O38" s="17">
        <f>SUM(O31:O35)</f>
        <v>0.7042799254531561</v>
      </c>
      <c r="P38" s="17"/>
      <c r="Q38" s="3"/>
      <c r="R38" s="7" t="s">
        <v>51</v>
      </c>
      <c r="S38" s="19">
        <f>N45/1000</f>
        <v>122.67708</v>
      </c>
      <c r="T38" s="7"/>
    </row>
    <row r="39" spans="1:47">
      <c r="A39" s="5" t="s">
        <v>17</v>
      </c>
      <c r="B39" s="9">
        <v>685292</v>
      </c>
      <c r="C39" s="9">
        <v>909127</v>
      </c>
      <c r="D39" s="9">
        <v>0</v>
      </c>
      <c r="E39" s="43">
        <f>SUM(E31:E38)</f>
        <v>18800</v>
      </c>
      <c r="F39" s="9">
        <v>80460</v>
      </c>
      <c r="G39" s="43">
        <f>SUM(G31:G38)</f>
        <v>196644</v>
      </c>
      <c r="H39" s="9">
        <v>0</v>
      </c>
      <c r="I39" s="9"/>
      <c r="J39" s="9"/>
      <c r="K39" s="9"/>
      <c r="L39" s="9"/>
      <c r="M39" s="9">
        <v>932601</v>
      </c>
      <c r="N39" s="9">
        <v>2822923</v>
      </c>
      <c r="O39" s="3"/>
      <c r="P39" s="3"/>
      <c r="Q39" s="3"/>
      <c r="R39" s="7" t="s">
        <v>52</v>
      </c>
      <c r="S39" s="20">
        <f>N41/1000</f>
        <v>834.79499999999996</v>
      </c>
      <c r="T39" s="14">
        <f>O41</f>
        <v>0.29572007454684385</v>
      </c>
    </row>
    <row r="40" spans="1:47">
      <c r="R40" s="7" t="s">
        <v>53</v>
      </c>
      <c r="S40" s="20">
        <f>N35/1000</f>
        <v>409.97800000000001</v>
      </c>
      <c r="T40" s="15">
        <f>O35</f>
        <v>0.14523173320703398</v>
      </c>
    </row>
    <row r="41" spans="1:47">
      <c r="A41" s="21" t="s">
        <v>54</v>
      </c>
      <c r="B41" s="22">
        <f>B38+B37+B36</f>
        <v>382545</v>
      </c>
      <c r="C41" s="22">
        <f t="shared" ref="C41:N41" si="0">C38+C37+C36</f>
        <v>3968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120547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327734</v>
      </c>
      <c r="N41" s="22">
        <f t="shared" si="0"/>
        <v>834795</v>
      </c>
      <c r="O41" s="16">
        <f>N41/N$39</f>
        <v>0.29572007454684385</v>
      </c>
      <c r="P41" s="16" t="s">
        <v>55</v>
      </c>
      <c r="Q41" s="7"/>
      <c r="R41" s="7" t="s">
        <v>56</v>
      </c>
      <c r="S41" s="20">
        <f>N33/1000</f>
        <v>260.66699999999997</v>
      </c>
      <c r="T41" s="14">
        <f>O33</f>
        <v>9.2339394308665168E-2</v>
      </c>
    </row>
    <row r="42" spans="1:47">
      <c r="A42" s="23" t="s">
        <v>57</v>
      </c>
      <c r="B42" s="22"/>
      <c r="C42" s="24">
        <f>C39+C23+C10</f>
        <v>934293</v>
      </c>
      <c r="D42" s="24">
        <f t="shared" ref="D42:L42" si="1">D39+D23+D10</f>
        <v>0</v>
      </c>
      <c r="E42" s="24">
        <f t="shared" si="1"/>
        <v>31206</v>
      </c>
      <c r="F42" s="24">
        <f t="shared" si="1"/>
        <v>130031</v>
      </c>
      <c r="G42" s="24">
        <f t="shared" si="1"/>
        <v>731833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345200</v>
      </c>
      <c r="L42" s="24">
        <f t="shared" si="1"/>
        <v>0</v>
      </c>
      <c r="M42" s="24">
        <f>M39+M23-B6+M45</f>
        <v>902978.22499999998</v>
      </c>
      <c r="N42" s="25">
        <f>SUM(C42:M42)</f>
        <v>3075541.2250000001</v>
      </c>
      <c r="O42" s="7"/>
      <c r="P42" s="7"/>
      <c r="Q42" s="7"/>
      <c r="R42" s="7" t="s">
        <v>37</v>
      </c>
      <c r="S42" s="20">
        <f>N31/1000</f>
        <v>18.704999999999998</v>
      </c>
      <c r="T42" s="14">
        <f>O31</f>
        <v>6.6261105952943105E-3</v>
      </c>
    </row>
    <row r="43" spans="1:47">
      <c r="A43" s="23" t="s">
        <v>58</v>
      </c>
      <c r="B43" s="22"/>
      <c r="C43" s="16">
        <f t="shared" ref="C43:M43" si="2">C42/$N42</f>
        <v>0.30378165391036172</v>
      </c>
      <c r="D43" s="16">
        <f t="shared" si="2"/>
        <v>0</v>
      </c>
      <c r="E43" s="16">
        <f t="shared" si="2"/>
        <v>1.0146506815235422E-2</v>
      </c>
      <c r="F43" s="16">
        <f t="shared" si="2"/>
        <v>4.2279062606289726E-2</v>
      </c>
      <c r="G43" s="16">
        <f t="shared" si="2"/>
        <v>0.23795258995430957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0.11224040737740396</v>
      </c>
      <c r="L43" s="16">
        <f t="shared" si="2"/>
        <v>0</v>
      </c>
      <c r="M43" s="16">
        <f t="shared" si="2"/>
        <v>0.29359977933639952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357.31799999999998</v>
      </c>
      <c r="T43" s="15">
        <f>O32</f>
        <v>0.12657731011437437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941.46</v>
      </c>
      <c r="T44" s="15">
        <f>O34</f>
        <v>0.33350537722778834</v>
      </c>
    </row>
    <row r="45" spans="1:47">
      <c r="A45" s="6" t="s">
        <v>61</v>
      </c>
      <c r="B45" s="6">
        <f>B23-B39</f>
        <v>48069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74608.08</v>
      </c>
      <c r="N45" s="25">
        <f>B45+M45</f>
        <v>122677.08</v>
      </c>
      <c r="O45" s="7"/>
      <c r="P45" s="7"/>
      <c r="Q45" s="7"/>
      <c r="R45" s="7" t="s">
        <v>62</v>
      </c>
      <c r="S45" s="20">
        <f>SUM(S39:S44)</f>
        <v>2822.9229999999998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1" enableFormatConditionsCalculation="0"/>
  <dimension ref="A1:AU70"/>
  <sheetViews>
    <sheetView topLeftCell="A13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102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15511.591868301201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6">
        <f>SUM(B6:B9)</f>
        <v>15511.591868301201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6864</v>
      </c>
      <c r="C18" s="9">
        <v>70</v>
      </c>
      <c r="D18" s="9">
        <v>0</v>
      </c>
      <c r="E18" s="9">
        <v>0</v>
      </c>
      <c r="F18" s="9">
        <v>0</v>
      </c>
      <c r="G18" s="9">
        <v>7958</v>
      </c>
      <c r="H18" s="9">
        <v>0</v>
      </c>
      <c r="I18" s="9"/>
      <c r="J18" s="9"/>
      <c r="K18" s="9"/>
      <c r="L18" s="9"/>
      <c r="M18" s="9"/>
      <c r="N18" s="9">
        <v>8028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52816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59682</v>
      </c>
      <c r="C23" s="9">
        <v>70</v>
      </c>
      <c r="D23" s="9">
        <v>0</v>
      </c>
      <c r="E23" s="9">
        <v>0</v>
      </c>
      <c r="F23" s="9">
        <v>0</v>
      </c>
      <c r="G23" s="9">
        <v>7958</v>
      </c>
      <c r="H23" s="9">
        <v>0</v>
      </c>
      <c r="I23" s="9"/>
      <c r="J23" s="9"/>
      <c r="K23" s="9"/>
      <c r="L23" s="9"/>
      <c r="M23" s="9"/>
      <c r="N23" s="9">
        <v>8028</v>
      </c>
      <c r="O23" s="3"/>
      <c r="P23" s="3"/>
      <c r="Q23" s="3"/>
      <c r="R23" s="3" t="s">
        <v>27</v>
      </c>
      <c r="S23" s="12">
        <f>N42/1000</f>
        <v>709.27652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274.88052000000005</v>
      </c>
      <c r="T26" s="14">
        <f>M43</f>
        <v>0.38755057054475739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216.94</v>
      </c>
      <c r="T27" s="15">
        <f>G43</f>
        <v>0.30586096378884781</v>
      </c>
    </row>
    <row r="28" spans="1:20">
      <c r="A28" s="4" t="s">
        <v>102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16.872</v>
      </c>
      <c r="T29" s="14">
        <f>F43</f>
        <v>2.378761953095529E-2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10</v>
      </c>
      <c r="T30" s="14">
        <f>E43</f>
        <v>1.409887359587203E-2</v>
      </c>
    </row>
    <row r="31" spans="1:20">
      <c r="A31" s="5" t="s">
        <v>36</v>
      </c>
      <c r="B31" s="9">
        <v>0</v>
      </c>
      <c r="C31" s="9">
        <v>20672</v>
      </c>
      <c r="D31" s="9">
        <v>0</v>
      </c>
      <c r="E31" s="9">
        <v>0</v>
      </c>
      <c r="F31" s="9">
        <v>2235</v>
      </c>
      <c r="G31" s="9">
        <v>0</v>
      </c>
      <c r="H31" s="9">
        <v>0</v>
      </c>
      <c r="I31" s="9"/>
      <c r="J31" s="9"/>
      <c r="K31" s="9"/>
      <c r="L31" s="9"/>
      <c r="M31" s="9">
        <v>17771</v>
      </c>
      <c r="N31" s="9">
        <v>40677</v>
      </c>
      <c r="O31" s="16">
        <f>N31/N$39</f>
        <v>5.5567850234418542E-2</v>
      </c>
      <c r="P31" s="17" t="s">
        <v>37</v>
      </c>
      <c r="Q31" s="3"/>
      <c r="R31" s="3" t="s">
        <v>38</v>
      </c>
      <c r="S31" s="13">
        <f>C42/1000</f>
        <v>190.584</v>
      </c>
      <c r="T31" s="15">
        <f>C43</f>
        <v>0.26870197253956751</v>
      </c>
    </row>
    <row r="32" spans="1:20">
      <c r="A32" s="5" t="s">
        <v>39</v>
      </c>
      <c r="B32" s="9">
        <v>3642</v>
      </c>
      <c r="C32" s="9">
        <v>8880</v>
      </c>
      <c r="D32" s="9">
        <v>0</v>
      </c>
      <c r="E32" s="43">
        <v>10000</v>
      </c>
      <c r="F32" s="9">
        <v>281</v>
      </c>
      <c r="G32" s="43">
        <f>N32-SUM(H32:M32,B32:F32)</f>
        <v>130227</v>
      </c>
      <c r="H32" s="9">
        <v>0</v>
      </c>
      <c r="I32" s="9"/>
      <c r="J32" s="9"/>
      <c r="K32" s="9"/>
      <c r="L32" s="9"/>
      <c r="M32" s="9">
        <v>81706</v>
      </c>
      <c r="N32" s="9">
        <v>234736</v>
      </c>
      <c r="O32" s="16">
        <f>N32/N$39</f>
        <v>0.32066708195359717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12105</v>
      </c>
      <c r="C33" s="9">
        <v>934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15731</v>
      </c>
      <c r="N33" s="9">
        <v>28769</v>
      </c>
      <c r="O33" s="16">
        <f>N33/N$39</f>
        <v>3.930062402325607E-2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158243</v>
      </c>
      <c r="D34" s="9">
        <v>0</v>
      </c>
      <c r="E34" s="9">
        <v>0</v>
      </c>
      <c r="F34" s="9">
        <v>14357</v>
      </c>
      <c r="G34" s="9">
        <v>0</v>
      </c>
      <c r="H34" s="9">
        <v>0</v>
      </c>
      <c r="I34" s="9"/>
      <c r="J34" s="9"/>
      <c r="K34" s="9"/>
      <c r="L34" s="9"/>
      <c r="M34" s="9">
        <v>211</v>
      </c>
      <c r="N34" s="9">
        <v>172811</v>
      </c>
      <c r="O34" s="16">
        <f>N34/N$39</f>
        <v>0.23607286099909291</v>
      </c>
      <c r="P34" s="17" t="s">
        <v>45</v>
      </c>
      <c r="Q34" s="3"/>
      <c r="R34" s="3"/>
      <c r="S34" s="13">
        <f>SUM(S26:S33)</f>
        <v>709.27652000000012</v>
      </c>
      <c r="T34" s="14">
        <f>SUM(T26:T33)</f>
        <v>1</v>
      </c>
    </row>
    <row r="35" spans="1:47">
      <c r="A35" s="5" t="s">
        <v>46</v>
      </c>
      <c r="B35" s="9">
        <v>9190</v>
      </c>
      <c r="C35" s="9">
        <v>537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38548</v>
      </c>
      <c r="N35" s="9">
        <v>48275</v>
      </c>
      <c r="O35" s="16">
        <f>N35/N$39</f>
        <v>6.5947291345638939E-2</v>
      </c>
      <c r="P35" s="17" t="s">
        <v>47</v>
      </c>
      <c r="Q35" s="17"/>
    </row>
    <row r="36" spans="1:47">
      <c r="A36" s="5" t="s">
        <v>48</v>
      </c>
      <c r="B36" s="9">
        <v>2457</v>
      </c>
      <c r="C36" s="9">
        <v>1118</v>
      </c>
      <c r="D36" s="9">
        <v>0</v>
      </c>
      <c r="E36" s="9">
        <v>0</v>
      </c>
      <c r="F36" s="9">
        <v>0</v>
      </c>
      <c r="G36" s="9">
        <v>78755</v>
      </c>
      <c r="H36" s="9">
        <v>0</v>
      </c>
      <c r="I36" s="9"/>
      <c r="J36" s="9"/>
      <c r="K36" s="9"/>
      <c r="L36" s="9"/>
      <c r="M36" s="9">
        <v>79750</v>
      </c>
      <c r="N36" s="9">
        <v>162080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23744</v>
      </c>
      <c r="C37" s="9">
        <v>129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10996</v>
      </c>
      <c r="N37" s="9">
        <v>34869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9807</v>
      </c>
      <c r="N38" s="9">
        <v>9807</v>
      </c>
      <c r="O38" s="17">
        <f>SUM(O31:O35)</f>
        <v>0.71755570855600359</v>
      </c>
      <c r="P38" s="17"/>
      <c r="Q38" s="3"/>
      <c r="R38" s="7" t="s">
        <v>51</v>
      </c>
      <c r="S38" s="19">
        <f>N45/1000</f>
        <v>28.905519999999999</v>
      </c>
      <c r="T38" s="7"/>
    </row>
    <row r="39" spans="1:47">
      <c r="A39" s="5" t="s">
        <v>17</v>
      </c>
      <c r="B39" s="9">
        <v>51138</v>
      </c>
      <c r="C39" s="9">
        <v>190514</v>
      </c>
      <c r="D39" s="9">
        <v>0</v>
      </c>
      <c r="E39" s="43">
        <f>SUM(E31:E38)</f>
        <v>10000</v>
      </c>
      <c r="F39" s="9">
        <v>16872</v>
      </c>
      <c r="G39" s="43">
        <f>SUM(G31:G38)</f>
        <v>208982</v>
      </c>
      <c r="H39" s="9">
        <v>0</v>
      </c>
      <c r="I39" s="9"/>
      <c r="J39" s="9"/>
      <c r="K39" s="9"/>
      <c r="L39" s="9"/>
      <c r="M39" s="9">
        <v>254519</v>
      </c>
      <c r="N39" s="9">
        <v>732024</v>
      </c>
      <c r="O39" s="3"/>
      <c r="P39" s="3"/>
      <c r="Q39" s="3"/>
      <c r="R39" s="7" t="s">
        <v>52</v>
      </c>
      <c r="S39" s="20">
        <f>N41/1000</f>
        <v>206.756</v>
      </c>
      <c r="T39" s="14">
        <f>O41</f>
        <v>0.28244429144399635</v>
      </c>
    </row>
    <row r="40" spans="1:47">
      <c r="R40" s="7" t="s">
        <v>53</v>
      </c>
      <c r="S40" s="20">
        <f>N35/1000</f>
        <v>48.274999999999999</v>
      </c>
      <c r="T40" s="15">
        <f>O35</f>
        <v>6.5947291345638939E-2</v>
      </c>
    </row>
    <row r="41" spans="1:47">
      <c r="A41" s="21" t="s">
        <v>54</v>
      </c>
      <c r="B41" s="22">
        <f>B38+B37+B36</f>
        <v>26201</v>
      </c>
      <c r="C41" s="22">
        <f t="shared" ref="C41:N41" si="0">C38+C37+C36</f>
        <v>1247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78755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100553</v>
      </c>
      <c r="N41" s="22">
        <f t="shared" si="0"/>
        <v>206756</v>
      </c>
      <c r="O41" s="16">
        <f>N41/N$39</f>
        <v>0.28244429144399635</v>
      </c>
      <c r="P41" s="16" t="s">
        <v>55</v>
      </c>
      <c r="Q41" s="7"/>
      <c r="R41" s="7" t="s">
        <v>56</v>
      </c>
      <c r="S41" s="20">
        <f>N33/1000</f>
        <v>28.768999999999998</v>
      </c>
      <c r="T41" s="14">
        <f>O33</f>
        <v>3.930062402325607E-2</v>
      </c>
    </row>
    <row r="42" spans="1:47">
      <c r="A42" s="23" t="s">
        <v>57</v>
      </c>
      <c r="B42" s="22"/>
      <c r="C42" s="24">
        <f>C39+C23+C10</f>
        <v>190584</v>
      </c>
      <c r="D42" s="24">
        <f t="shared" ref="D42:L42" si="1">D39+D23+D10</f>
        <v>0</v>
      </c>
      <c r="E42" s="24">
        <f t="shared" si="1"/>
        <v>10000</v>
      </c>
      <c r="F42" s="24">
        <f t="shared" si="1"/>
        <v>16872</v>
      </c>
      <c r="G42" s="24">
        <f t="shared" si="1"/>
        <v>216940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274880.52</v>
      </c>
      <c r="N42" s="25">
        <f>SUM(C42:M42)</f>
        <v>709276.52</v>
      </c>
      <c r="O42" s="7"/>
      <c r="P42" s="7"/>
      <c r="Q42" s="7"/>
      <c r="R42" s="7" t="s">
        <v>37</v>
      </c>
      <c r="S42" s="20">
        <f>N31/1000</f>
        <v>40.677</v>
      </c>
      <c r="T42" s="14">
        <f>O31</f>
        <v>5.5567850234418542E-2</v>
      </c>
    </row>
    <row r="43" spans="1:47">
      <c r="A43" s="23" t="s">
        <v>58</v>
      </c>
      <c r="B43" s="22"/>
      <c r="C43" s="16">
        <f t="shared" ref="C43:M43" si="2">C42/$N42</f>
        <v>0.26870197253956751</v>
      </c>
      <c r="D43" s="16">
        <f t="shared" si="2"/>
        <v>0</v>
      </c>
      <c r="E43" s="16">
        <f t="shared" si="2"/>
        <v>1.409887359587203E-2</v>
      </c>
      <c r="F43" s="16">
        <f t="shared" si="2"/>
        <v>2.378761953095529E-2</v>
      </c>
      <c r="G43" s="16">
        <f t="shared" si="2"/>
        <v>0.30586096378884781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0.38755057054475739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234.73599999999999</v>
      </c>
      <c r="T43" s="15">
        <f>O32</f>
        <v>0.32066708195359717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172.81100000000001</v>
      </c>
      <c r="T44" s="15">
        <f>O34</f>
        <v>0.23607286099909291</v>
      </c>
    </row>
    <row r="45" spans="1:47">
      <c r="A45" s="6" t="s">
        <v>61</v>
      </c>
      <c r="B45" s="6">
        <f>B23-B39</f>
        <v>8544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20361.52</v>
      </c>
      <c r="N45" s="25">
        <f>B45+M45</f>
        <v>28905.52</v>
      </c>
      <c r="O45" s="7"/>
      <c r="P45" s="7"/>
      <c r="Q45" s="7"/>
      <c r="R45" s="7" t="s">
        <v>62</v>
      </c>
      <c r="S45" s="20">
        <f>SUM(S39:S44)</f>
        <v>732.024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9">
        <f>N32-M32-F32-C32-B32</f>
        <v>140227</v>
      </c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 enableFormatConditionsCalculation="0"/>
  <dimension ref="A1:AU70"/>
  <sheetViews>
    <sheetView topLeftCell="A9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103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18">
        <f>B10-B9</f>
        <v>1098.3941590436007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18">
        <v>13471.605840956399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14570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44210+4279</f>
        <v>48489</v>
      </c>
      <c r="C18" s="9">
        <v>3691</v>
      </c>
      <c r="D18" s="9">
        <v>0</v>
      </c>
      <c r="E18" s="9">
        <v>0</v>
      </c>
      <c r="F18" s="9">
        <v>0</v>
      </c>
      <c r="G18" s="9">
        <v>47768</v>
      </c>
      <c r="H18" s="9">
        <v>0</v>
      </c>
      <c r="I18" s="9"/>
      <c r="J18" s="9"/>
      <c r="K18" s="9"/>
      <c r="L18" s="9"/>
      <c r="M18" s="9"/>
      <c r="N18" s="9">
        <v>51459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48489</v>
      </c>
      <c r="C23" s="9">
        <v>3691</v>
      </c>
      <c r="D23" s="9">
        <v>0</v>
      </c>
      <c r="E23" s="9">
        <v>0</v>
      </c>
      <c r="F23" s="9">
        <v>0</v>
      </c>
      <c r="G23" s="9">
        <v>47768</v>
      </c>
      <c r="H23" s="9">
        <v>0</v>
      </c>
      <c r="I23" s="9"/>
      <c r="J23" s="9"/>
      <c r="K23" s="9"/>
      <c r="L23" s="9"/>
      <c r="M23" s="9"/>
      <c r="N23" s="9">
        <v>51459</v>
      </c>
      <c r="O23" s="3"/>
      <c r="P23" s="3"/>
      <c r="Q23" s="3"/>
      <c r="R23" s="3" t="s">
        <v>27</v>
      </c>
      <c r="S23" s="12">
        <f>N42/1000</f>
        <v>331.45107999999999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116.29008</v>
      </c>
      <c r="T26" s="14">
        <f>M43</f>
        <v>0.35085141372898832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77.533000000000001</v>
      </c>
      <c r="T27" s="15">
        <f>G43</f>
        <v>0.23391988947509237</v>
      </c>
    </row>
    <row r="28" spans="1:20">
      <c r="A28" s="4" t="s">
        <v>103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11.122999999999999</v>
      </c>
      <c r="T29" s="14">
        <f>F43</f>
        <v>3.355849677726197E-2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1.978</v>
      </c>
      <c r="T30" s="14">
        <f>E43</f>
        <v>5.9676981592577697E-3</v>
      </c>
    </row>
    <row r="31" spans="1:20">
      <c r="A31" s="5" t="s">
        <v>36</v>
      </c>
      <c r="B31" s="9">
        <v>0</v>
      </c>
      <c r="C31" s="9">
        <v>3437</v>
      </c>
      <c r="D31" s="9">
        <v>0</v>
      </c>
      <c r="E31" s="9">
        <v>0</v>
      </c>
      <c r="F31" s="9">
        <v>370</v>
      </c>
      <c r="G31" s="9">
        <v>0</v>
      </c>
      <c r="H31" s="9">
        <v>0</v>
      </c>
      <c r="I31" s="9"/>
      <c r="J31" s="9"/>
      <c r="K31" s="9"/>
      <c r="L31" s="9"/>
      <c r="M31" s="9">
        <v>5011</v>
      </c>
      <c r="N31" s="9">
        <v>8819</v>
      </c>
      <c r="O31" s="16">
        <f>N31/N$39</f>
        <v>2.8073559793594556E-2</v>
      </c>
      <c r="P31" s="17" t="s">
        <v>37</v>
      </c>
      <c r="Q31" s="3"/>
      <c r="R31" s="3" t="s">
        <v>38</v>
      </c>
      <c r="S31" s="13">
        <f>C42/1000</f>
        <v>124.527</v>
      </c>
      <c r="T31" s="15">
        <f>C43</f>
        <v>0.37570250185939957</v>
      </c>
    </row>
    <row r="32" spans="1:20">
      <c r="A32" s="5" t="s">
        <v>39</v>
      </c>
      <c r="B32" s="9">
        <v>11105</v>
      </c>
      <c r="C32" s="9">
        <v>3135</v>
      </c>
      <c r="D32" s="9">
        <v>0</v>
      </c>
      <c r="E32" s="43">
        <f>N32-SUM(F32:M32,B32:D32)</f>
        <v>1978</v>
      </c>
      <c r="F32" s="9">
        <v>118</v>
      </c>
      <c r="G32" s="43">
        <v>0</v>
      </c>
      <c r="H32" s="9">
        <v>0</v>
      </c>
      <c r="I32" s="9"/>
      <c r="J32" s="9"/>
      <c r="K32" s="9"/>
      <c r="L32" s="9"/>
      <c r="M32" s="9">
        <v>15052</v>
      </c>
      <c r="N32" s="9">
        <v>31388</v>
      </c>
      <c r="O32" s="16">
        <f>N32/N$39</f>
        <v>9.9917552421062011E-2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6385</v>
      </c>
      <c r="C33" s="9">
        <v>127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8156</v>
      </c>
      <c r="N33" s="9">
        <v>14667</v>
      </c>
      <c r="O33" s="16">
        <f>N33/N$39</f>
        <v>4.6689522790866467E-2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112362</v>
      </c>
      <c r="D34" s="9">
        <v>0</v>
      </c>
      <c r="E34" s="9">
        <v>0</v>
      </c>
      <c r="F34" s="9">
        <v>10635</v>
      </c>
      <c r="G34" s="9">
        <v>0</v>
      </c>
      <c r="H34" s="9">
        <v>0</v>
      </c>
      <c r="I34" s="9"/>
      <c r="J34" s="9"/>
      <c r="K34" s="9"/>
      <c r="L34" s="9"/>
      <c r="M34" s="9">
        <v>31</v>
      </c>
      <c r="N34" s="9">
        <v>123029</v>
      </c>
      <c r="O34" s="16">
        <f>N34/N$39</f>
        <v>0.39163873317225811</v>
      </c>
      <c r="P34" s="17" t="s">
        <v>45</v>
      </c>
      <c r="Q34" s="3"/>
      <c r="R34" s="3"/>
      <c r="S34" s="13">
        <f>SUM(S26:S33)</f>
        <v>331.45107999999999</v>
      </c>
      <c r="T34" s="14">
        <f>SUM(T26:T33)</f>
        <v>1</v>
      </c>
    </row>
    <row r="35" spans="1:47">
      <c r="A35" s="5" t="s">
        <v>46</v>
      </c>
      <c r="B35" s="9">
        <v>13111</v>
      </c>
      <c r="C35" s="9">
        <v>268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31152</v>
      </c>
      <c r="N35" s="9">
        <v>44531</v>
      </c>
      <c r="O35" s="16">
        <f>N35/N$39</f>
        <v>0.14175571960183231</v>
      </c>
      <c r="P35" s="17" t="s">
        <v>47</v>
      </c>
      <c r="Q35" s="17"/>
    </row>
    <row r="36" spans="1:47">
      <c r="A36" s="5" t="s">
        <v>48</v>
      </c>
      <c r="B36" s="9">
        <v>455</v>
      </c>
      <c r="C36" s="9">
        <v>1050</v>
      </c>
      <c r="D36" s="9">
        <v>0</v>
      </c>
      <c r="E36" s="9">
        <v>0</v>
      </c>
      <c r="F36" s="9">
        <v>0</v>
      </c>
      <c r="G36" s="9">
        <v>29765</v>
      </c>
      <c r="H36" s="9">
        <v>0</v>
      </c>
      <c r="I36" s="9"/>
      <c r="J36" s="9"/>
      <c r="K36" s="9"/>
      <c r="L36" s="9"/>
      <c r="M36" s="9">
        <v>38782</v>
      </c>
      <c r="N36" s="9">
        <v>70052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11703</v>
      </c>
      <c r="C37" s="9">
        <v>458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5561</v>
      </c>
      <c r="N37" s="9">
        <v>17722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3932</v>
      </c>
      <c r="N38" s="9">
        <v>3932</v>
      </c>
      <c r="O38" s="17">
        <f>SUM(O31:O35)</f>
        <v>0.70807508777961348</v>
      </c>
      <c r="P38" s="17"/>
      <c r="Q38" s="3"/>
      <c r="R38" s="7" t="s">
        <v>51</v>
      </c>
      <c r="S38" s="19">
        <f>N45/1000</f>
        <v>14.34408</v>
      </c>
      <c r="T38" s="7"/>
    </row>
    <row r="39" spans="1:47">
      <c r="A39" s="5" t="s">
        <v>17</v>
      </c>
      <c r="B39" s="9">
        <v>42759</v>
      </c>
      <c r="C39" s="9">
        <v>120836</v>
      </c>
      <c r="D39" s="9">
        <v>0</v>
      </c>
      <c r="E39" s="43">
        <f>SUM(E31:E38)</f>
        <v>1978</v>
      </c>
      <c r="F39" s="9">
        <v>11123</v>
      </c>
      <c r="G39" s="43">
        <f>SUM(G31:G38)</f>
        <v>29765</v>
      </c>
      <c r="H39" s="9">
        <v>0</v>
      </c>
      <c r="I39" s="9"/>
      <c r="J39" s="9"/>
      <c r="K39" s="9"/>
      <c r="L39" s="9"/>
      <c r="M39" s="9">
        <v>107676</v>
      </c>
      <c r="N39" s="9">
        <v>314139</v>
      </c>
      <c r="O39" s="3"/>
      <c r="P39" s="3"/>
      <c r="Q39" s="3"/>
      <c r="R39" s="7" t="s">
        <v>52</v>
      </c>
      <c r="S39" s="20">
        <f>N41/1000</f>
        <v>91.706000000000003</v>
      </c>
      <c r="T39" s="14">
        <f>O41</f>
        <v>0.29192809552459259</v>
      </c>
    </row>
    <row r="40" spans="1:47">
      <c r="R40" s="7" t="s">
        <v>53</v>
      </c>
      <c r="S40" s="20">
        <f>N35/1000</f>
        <v>44.530999999999999</v>
      </c>
      <c r="T40" s="15">
        <f>O35</f>
        <v>0.14175571960183231</v>
      </c>
    </row>
    <row r="41" spans="1:47">
      <c r="A41" s="21" t="s">
        <v>54</v>
      </c>
      <c r="B41" s="22">
        <f>B38+B37+B36</f>
        <v>12158</v>
      </c>
      <c r="C41" s="22">
        <f t="shared" ref="C41:N41" si="0">C38+C37+C36</f>
        <v>1508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29765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48275</v>
      </c>
      <c r="N41" s="22">
        <f t="shared" si="0"/>
        <v>91706</v>
      </c>
      <c r="O41" s="16">
        <f>N41/N$39</f>
        <v>0.29192809552459259</v>
      </c>
      <c r="P41" s="16" t="s">
        <v>55</v>
      </c>
      <c r="Q41" s="7"/>
      <c r="R41" s="7" t="s">
        <v>56</v>
      </c>
      <c r="S41" s="20">
        <f>N33/1000</f>
        <v>14.667</v>
      </c>
      <c r="T41" s="14">
        <f>O33</f>
        <v>4.6689522790866467E-2</v>
      </c>
    </row>
    <row r="42" spans="1:47">
      <c r="A42" s="23" t="s">
        <v>57</v>
      </c>
      <c r="B42" s="22"/>
      <c r="C42" s="24">
        <f>C39+C23+C10</f>
        <v>124527</v>
      </c>
      <c r="D42" s="24">
        <f t="shared" ref="D42:L42" si="1">D39+D23+D10</f>
        <v>0</v>
      </c>
      <c r="E42" s="24">
        <f t="shared" si="1"/>
        <v>1978</v>
      </c>
      <c r="F42" s="24">
        <f t="shared" si="1"/>
        <v>11123</v>
      </c>
      <c r="G42" s="24">
        <f t="shared" si="1"/>
        <v>77533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116290.08</v>
      </c>
      <c r="N42" s="25">
        <f>SUM(C42:M42)</f>
        <v>331451.08</v>
      </c>
      <c r="O42" s="7"/>
      <c r="P42" s="7"/>
      <c r="Q42" s="7"/>
      <c r="R42" s="7" t="s">
        <v>37</v>
      </c>
      <c r="S42" s="20">
        <f>N31/1000</f>
        <v>8.8190000000000008</v>
      </c>
      <c r="T42" s="14">
        <f>O31</f>
        <v>2.8073559793594556E-2</v>
      </c>
    </row>
    <row r="43" spans="1:47">
      <c r="A43" s="23" t="s">
        <v>58</v>
      </c>
      <c r="B43" s="22"/>
      <c r="C43" s="16">
        <f t="shared" ref="C43:M43" si="2">C42/$N42</f>
        <v>0.37570250185939957</v>
      </c>
      <c r="D43" s="16">
        <f t="shared" si="2"/>
        <v>0</v>
      </c>
      <c r="E43" s="16">
        <f t="shared" si="2"/>
        <v>5.9676981592577697E-3</v>
      </c>
      <c r="F43" s="16">
        <f t="shared" si="2"/>
        <v>3.355849677726197E-2</v>
      </c>
      <c r="G43" s="16">
        <f t="shared" si="2"/>
        <v>0.23391988947509237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0.35085141372898832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31.388000000000002</v>
      </c>
      <c r="T43" s="15">
        <f>O32</f>
        <v>9.9917552421062011E-2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123.029</v>
      </c>
      <c r="T44" s="15">
        <f>O34</f>
        <v>0.39163873317225811</v>
      </c>
    </row>
    <row r="45" spans="1:47">
      <c r="A45" s="6" t="s">
        <v>61</v>
      </c>
      <c r="B45" s="6">
        <f>B23-B39</f>
        <v>5730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8614.08</v>
      </c>
      <c r="N45" s="25">
        <f>B45+M45</f>
        <v>14344.08</v>
      </c>
      <c r="O45" s="7"/>
      <c r="P45" s="7"/>
      <c r="Q45" s="7"/>
      <c r="R45" s="7" t="s">
        <v>62</v>
      </c>
      <c r="S45" s="20">
        <f>SUM(S39:S44)</f>
        <v>314.14</v>
      </c>
      <c r="T45" s="14">
        <f>SUM(T39:T44)</f>
        <v>1.000003183304206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1" enableFormatConditionsCalculation="0"/>
  <dimension ref="A1:AU70"/>
  <sheetViews>
    <sheetView topLeftCell="A9" workbookViewId="0">
      <selection activeCell="N40" sqref="N4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104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13697</v>
      </c>
      <c r="C6" s="9">
        <v>0</v>
      </c>
      <c r="D6" s="9">
        <v>0</v>
      </c>
      <c r="E6" s="9">
        <v>0</v>
      </c>
      <c r="F6" s="9">
        <v>0</v>
      </c>
      <c r="G6" s="9">
        <v>17120</v>
      </c>
      <c r="H6" s="9">
        <v>0</v>
      </c>
      <c r="I6" s="9"/>
      <c r="J6" s="9"/>
      <c r="K6" s="9"/>
      <c r="L6" s="9"/>
      <c r="M6" s="9"/>
      <c r="N6" s="9">
        <v>17120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5098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23764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42559</v>
      </c>
      <c r="C10" s="9">
        <v>0</v>
      </c>
      <c r="D10" s="9">
        <v>0</v>
      </c>
      <c r="E10" s="9">
        <v>0</v>
      </c>
      <c r="F10" s="9">
        <v>0</v>
      </c>
      <c r="G10" s="9">
        <v>17120</v>
      </c>
      <c r="H10" s="9">
        <v>0</v>
      </c>
      <c r="I10" s="9"/>
      <c r="J10" s="9"/>
      <c r="K10" s="9"/>
      <c r="L10" s="9"/>
      <c r="M10" s="9"/>
      <c r="N10" s="9">
        <v>17120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B23</f>
        <v>235900</v>
      </c>
      <c r="C17" s="9">
        <v>33600</v>
      </c>
      <c r="D17" s="9">
        <v>0</v>
      </c>
      <c r="E17" s="9">
        <v>0</v>
      </c>
      <c r="F17" s="9">
        <v>0</v>
      </c>
      <c r="G17" s="9">
        <v>232180</v>
      </c>
      <c r="H17" s="9">
        <v>0</v>
      </c>
      <c r="I17" s="9"/>
      <c r="J17" s="9"/>
      <c r="K17" s="9"/>
      <c r="L17" s="9"/>
      <c r="M17" s="9"/>
      <c r="N17" s="9">
        <v>265779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83">
        <v>0</v>
      </c>
      <c r="C18" s="82">
        <v>0</v>
      </c>
      <c r="D18" s="84">
        <v>0</v>
      </c>
      <c r="E18" s="84">
        <v>0</v>
      </c>
      <c r="F18" s="84">
        <v>0</v>
      </c>
      <c r="G18" s="83">
        <v>0</v>
      </c>
      <c r="H18" s="84">
        <v>0</v>
      </c>
      <c r="I18" s="84"/>
      <c r="J18" s="84"/>
      <c r="K18" s="84"/>
      <c r="L18" s="84"/>
      <c r="M18" s="84"/>
      <c r="N18" s="83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0">
        <f>235900</f>
        <v>235900</v>
      </c>
      <c r="C23" s="9">
        <v>33600</v>
      </c>
      <c r="D23" s="9">
        <v>0</v>
      </c>
      <c r="E23" s="9">
        <v>0</v>
      </c>
      <c r="F23" s="9">
        <v>0</v>
      </c>
      <c r="G23" s="40">
        <f>SUM(G17:G22)</f>
        <v>232180</v>
      </c>
      <c r="H23" s="9">
        <v>0</v>
      </c>
      <c r="I23" s="9"/>
      <c r="J23" s="9"/>
      <c r="K23" s="9"/>
      <c r="L23" s="9"/>
      <c r="M23" s="9"/>
      <c r="N23" s="40">
        <f>SUM(N17:N22)</f>
        <v>265779</v>
      </c>
      <c r="O23" s="3"/>
      <c r="P23" s="3"/>
      <c r="Q23" s="3"/>
      <c r="R23" s="3" t="s">
        <v>27</v>
      </c>
      <c r="S23" s="12">
        <f>N42/1000</f>
        <v>1032.0718400000001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320.85784000000001</v>
      </c>
      <c r="T26" s="14">
        <f>M43</f>
        <v>0.31088711809053915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289.12</v>
      </c>
      <c r="T27" s="15">
        <f>G43</f>
        <v>0.28013553785170614</v>
      </c>
    </row>
    <row r="28" spans="1:20">
      <c r="A28" s="4" t="s">
        <v>104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27.856999999999999</v>
      </c>
      <c r="T29" s="14">
        <f>F43</f>
        <v>2.699133812235396E-2</v>
      </c>
    </row>
    <row r="30" spans="1:20">
      <c r="B30" s="10"/>
      <c r="C30" s="10"/>
      <c r="D30" s="10"/>
      <c r="E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55</v>
      </c>
      <c r="T30" s="14">
        <f>E43</f>
        <v>5.3290863938308786E-2</v>
      </c>
    </row>
    <row r="31" spans="1:20">
      <c r="A31" s="8" t="s">
        <v>36</v>
      </c>
      <c r="B31" s="9">
        <v>0</v>
      </c>
      <c r="C31" s="9">
        <v>13821</v>
      </c>
      <c r="D31" s="9">
        <v>0</v>
      </c>
      <c r="E31" s="9">
        <v>0</v>
      </c>
      <c r="F31" s="9">
        <v>1443</v>
      </c>
      <c r="G31" s="9">
        <v>0</v>
      </c>
      <c r="H31" s="9">
        <v>0</v>
      </c>
      <c r="I31" s="9"/>
      <c r="J31" s="9"/>
      <c r="K31" s="9"/>
      <c r="L31" s="9"/>
      <c r="M31" s="9">
        <v>14723</v>
      </c>
      <c r="N31" s="9">
        <v>29987</v>
      </c>
      <c r="O31" s="16">
        <f>N31/N$39</f>
        <v>3.1524878129806345E-2</v>
      </c>
      <c r="P31" s="17" t="s">
        <v>37</v>
      </c>
      <c r="Q31" s="3"/>
      <c r="R31" s="3" t="s">
        <v>38</v>
      </c>
      <c r="S31" s="13">
        <f>C42/1000</f>
        <v>339.23700000000002</v>
      </c>
      <c r="T31" s="15">
        <f>C43</f>
        <v>0.32869514199709193</v>
      </c>
    </row>
    <row r="32" spans="1:20">
      <c r="A32" s="8" t="s">
        <v>39</v>
      </c>
      <c r="B32" s="41">
        <f>6189+93700</f>
        <v>99889</v>
      </c>
      <c r="C32" s="43">
        <f>N32-SUM(D32:M32,B32)</f>
        <v>4947</v>
      </c>
      <c r="D32" s="9">
        <v>0</v>
      </c>
      <c r="E32" s="43">
        <v>55000</v>
      </c>
      <c r="F32" s="9">
        <v>222</v>
      </c>
      <c r="G32" s="9">
        <v>0</v>
      </c>
      <c r="H32" s="9">
        <v>0</v>
      </c>
      <c r="I32" s="9"/>
      <c r="J32" s="9"/>
      <c r="K32" s="9"/>
      <c r="L32" s="9"/>
      <c r="M32" s="9">
        <v>133022</v>
      </c>
      <c r="N32" s="41">
        <f>315710-122519+B32</f>
        <v>293080</v>
      </c>
      <c r="O32" s="16">
        <f>N32/N$39</f>
        <v>0.30811055731762571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8" t="s">
        <v>42</v>
      </c>
      <c r="B33" s="85">
        <v>24038</v>
      </c>
      <c r="C33" s="9">
        <v>898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17983</v>
      </c>
      <c r="N33" s="41">
        <f>43832-24951+B33</f>
        <v>42919</v>
      </c>
      <c r="O33" s="16">
        <f>N33/N$39</f>
        <v>4.5120093522298274E-2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8" t="s">
        <v>44</v>
      </c>
      <c r="B34" s="9">
        <v>0</v>
      </c>
      <c r="C34" s="9">
        <v>282609</v>
      </c>
      <c r="D34" s="9">
        <v>0</v>
      </c>
      <c r="E34" s="9">
        <v>0</v>
      </c>
      <c r="F34" s="9">
        <v>26192</v>
      </c>
      <c r="G34" s="9">
        <v>0</v>
      </c>
      <c r="H34" s="9">
        <v>0</v>
      </c>
      <c r="I34" s="9"/>
      <c r="J34" s="9"/>
      <c r="K34" s="9"/>
      <c r="L34" s="9"/>
      <c r="M34" s="9">
        <v>727</v>
      </c>
      <c r="N34" s="9">
        <v>309528</v>
      </c>
      <c r="O34" s="16">
        <f>N34/N$39</f>
        <v>0.32540209016449456</v>
      </c>
      <c r="P34" s="17" t="s">
        <v>45</v>
      </c>
      <c r="Q34" s="3"/>
      <c r="R34" s="3"/>
      <c r="S34" s="13">
        <f>SUM(S26:S33)</f>
        <v>1032.0718400000001</v>
      </c>
      <c r="T34" s="14">
        <f>SUM(T26:T33)</f>
        <v>1</v>
      </c>
    </row>
    <row r="35" spans="1:47">
      <c r="A35" s="8" t="s">
        <v>46</v>
      </c>
      <c r="B35" s="41">
        <v>11526</v>
      </c>
      <c r="C35" s="9">
        <v>3145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56212</v>
      </c>
      <c r="N35" s="41">
        <f>70982-11625+B35</f>
        <v>70883</v>
      </c>
      <c r="O35" s="16">
        <f>N35/N$39</f>
        <v>7.4518222445561846E-2</v>
      </c>
      <c r="P35" s="17" t="s">
        <v>47</v>
      </c>
      <c r="Q35" s="17"/>
    </row>
    <row r="36" spans="1:47">
      <c r="A36" s="8" t="s">
        <v>48</v>
      </c>
      <c r="B36" s="41">
        <f>25935</f>
        <v>25935</v>
      </c>
      <c r="C36" s="9">
        <v>197</v>
      </c>
      <c r="D36" s="9">
        <v>0</v>
      </c>
      <c r="E36" s="9">
        <v>0</v>
      </c>
      <c r="F36" s="9">
        <v>0</v>
      </c>
      <c r="G36" s="9">
        <v>39820</v>
      </c>
      <c r="H36" s="9">
        <v>0</v>
      </c>
      <c r="I36" s="9"/>
      <c r="J36" s="9"/>
      <c r="K36" s="9"/>
      <c r="L36" s="9"/>
      <c r="M36" s="9">
        <v>70070</v>
      </c>
      <c r="N36" s="41">
        <f>136281-26194+B36</f>
        <v>136022</v>
      </c>
      <c r="O36" s="17"/>
      <c r="P36" s="17"/>
      <c r="Q36" s="3"/>
      <c r="R36" s="7"/>
      <c r="S36" s="7"/>
      <c r="T36" s="7"/>
    </row>
    <row r="37" spans="1:47">
      <c r="A37" s="8" t="s">
        <v>49</v>
      </c>
      <c r="B37" s="41">
        <f>51742</f>
        <v>51742</v>
      </c>
      <c r="C37" s="9">
        <v>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12394</v>
      </c>
      <c r="N37" s="41">
        <f>64773-52359+B37</f>
        <v>64156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8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4642</v>
      </c>
      <c r="N38" s="9">
        <v>4642</v>
      </c>
      <c r="O38" s="17">
        <f>SUM(O31:O35)</f>
        <v>0.78467584157978676</v>
      </c>
      <c r="P38" s="17"/>
      <c r="Q38" s="3"/>
      <c r="R38" s="7" t="s">
        <v>51</v>
      </c>
      <c r="S38" s="19">
        <f>N45/1000</f>
        <v>47.551839999999999</v>
      </c>
      <c r="T38" s="7"/>
    </row>
    <row r="39" spans="1:47">
      <c r="A39" s="8" t="s">
        <v>17</v>
      </c>
      <c r="B39" s="41">
        <f>SUM(B31:B38)</f>
        <v>213130</v>
      </c>
      <c r="C39" s="43">
        <f>SUM(C31:C38)</f>
        <v>305637</v>
      </c>
      <c r="D39" s="9">
        <v>0</v>
      </c>
      <c r="E39" s="43">
        <f>SUM(E31:E38)</f>
        <v>55000</v>
      </c>
      <c r="F39" s="9">
        <v>27857</v>
      </c>
      <c r="G39" s="9">
        <v>39820</v>
      </c>
      <c r="H39" s="9">
        <v>0</v>
      </c>
      <c r="I39" s="9"/>
      <c r="J39" s="9"/>
      <c r="K39" s="9"/>
      <c r="L39" s="9"/>
      <c r="M39" s="9">
        <v>309773</v>
      </c>
      <c r="N39" s="41">
        <f>975735-237648+B39</f>
        <v>951217</v>
      </c>
      <c r="O39" s="3"/>
      <c r="P39" s="3"/>
      <c r="Q39" s="3"/>
      <c r="R39" s="7" t="s">
        <v>52</v>
      </c>
      <c r="S39" s="20">
        <f>N41/1000</f>
        <v>204.82</v>
      </c>
      <c r="T39" s="14">
        <f>O41</f>
        <v>0.21532415842021327</v>
      </c>
    </row>
    <row r="40" spans="1:47">
      <c r="C40" s="10"/>
      <c r="N40" s="10"/>
      <c r="R40" s="7" t="s">
        <v>53</v>
      </c>
      <c r="S40" s="20">
        <f>N35/1000</f>
        <v>70.882999999999996</v>
      </c>
      <c r="T40" s="15">
        <f>O35</f>
        <v>7.4518222445561846E-2</v>
      </c>
    </row>
    <row r="41" spans="1:47">
      <c r="A41" s="21" t="s">
        <v>54</v>
      </c>
      <c r="B41" s="22">
        <f>B38+B37+B36</f>
        <v>77677</v>
      </c>
      <c r="C41" s="22">
        <f t="shared" ref="C41:N41" si="0">C38+C37+C36</f>
        <v>217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39820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87106</v>
      </c>
      <c r="N41" s="22">
        <f t="shared" si="0"/>
        <v>204820</v>
      </c>
      <c r="O41" s="16">
        <f>N41/N$39</f>
        <v>0.21532415842021327</v>
      </c>
      <c r="P41" s="16" t="s">
        <v>55</v>
      </c>
      <c r="Q41" s="7"/>
      <c r="R41" s="7" t="s">
        <v>56</v>
      </c>
      <c r="S41" s="20">
        <f>N33/1000</f>
        <v>42.918999999999997</v>
      </c>
      <c r="T41" s="14">
        <f>O33</f>
        <v>4.5120093522298274E-2</v>
      </c>
    </row>
    <row r="42" spans="1:47">
      <c r="A42" s="23" t="s">
        <v>57</v>
      </c>
      <c r="B42" s="22"/>
      <c r="C42" s="24">
        <f>C39+C23+C10</f>
        <v>339237</v>
      </c>
      <c r="D42" s="24">
        <f t="shared" ref="D42:L42" si="1">D39+D23+D10</f>
        <v>0</v>
      </c>
      <c r="E42" s="24">
        <f t="shared" si="1"/>
        <v>55000</v>
      </c>
      <c r="F42" s="24">
        <f t="shared" si="1"/>
        <v>27857</v>
      </c>
      <c r="G42" s="24">
        <f t="shared" si="1"/>
        <v>289120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320857.84000000003</v>
      </c>
      <c r="N42" s="25">
        <f>SUM(C42:M42)</f>
        <v>1032071.8400000001</v>
      </c>
      <c r="O42" s="7"/>
      <c r="P42" s="7"/>
      <c r="Q42" s="7"/>
      <c r="R42" s="7" t="s">
        <v>37</v>
      </c>
      <c r="S42" s="20">
        <f>N31/1000</f>
        <v>29.986999999999998</v>
      </c>
      <c r="T42" s="14">
        <f>O31</f>
        <v>3.1524878129806345E-2</v>
      </c>
    </row>
    <row r="43" spans="1:47">
      <c r="A43" s="23" t="s">
        <v>58</v>
      </c>
      <c r="B43" s="22"/>
      <c r="C43" s="16">
        <f t="shared" ref="C43:M43" si="2">C42/$N42</f>
        <v>0.32869514199709193</v>
      </c>
      <c r="D43" s="16">
        <f t="shared" si="2"/>
        <v>0</v>
      </c>
      <c r="E43" s="16">
        <f t="shared" si="2"/>
        <v>5.3290863938308786E-2</v>
      </c>
      <c r="F43" s="16">
        <f t="shared" si="2"/>
        <v>2.699133812235396E-2</v>
      </c>
      <c r="G43" s="16">
        <f t="shared" si="2"/>
        <v>0.28013553785170614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0.31088711809053915</v>
      </c>
      <c r="N43" s="16">
        <f>SUM(C43:M43)</f>
        <v>0.99999999999999989</v>
      </c>
      <c r="O43" s="7"/>
      <c r="P43" s="7"/>
      <c r="Q43" s="7"/>
      <c r="R43" s="7" t="s">
        <v>59</v>
      </c>
      <c r="S43" s="20">
        <f>N32/1000</f>
        <v>293.08</v>
      </c>
      <c r="T43" s="15">
        <f>O32</f>
        <v>0.30811055731762571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309.52800000000002</v>
      </c>
      <c r="T44" s="15">
        <f>O34</f>
        <v>0.32540209016449456</v>
      </c>
    </row>
    <row r="45" spans="1:47">
      <c r="A45" s="6" t="s">
        <v>61</v>
      </c>
      <c r="B45" s="6">
        <f>B23-B39</f>
        <v>22770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24781.84</v>
      </c>
      <c r="N45" s="25">
        <f>B45+M45</f>
        <v>47551.839999999997</v>
      </c>
      <c r="O45" s="7"/>
      <c r="P45" s="7"/>
      <c r="Q45" s="7"/>
      <c r="R45" s="7" t="s">
        <v>62</v>
      </c>
      <c r="S45" s="20">
        <f>SUM(S39:S44)</f>
        <v>951.21699999999998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7"/>
      <c r="I48" s="9"/>
      <c r="J48" s="9"/>
      <c r="K48" s="9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 enableFormatConditionsCalculation="0"/>
  <dimension ref="A1:AU70"/>
  <sheetViews>
    <sheetView workbookViewId="0">
      <selection activeCell="K23" sqref="K23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105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24076</v>
      </c>
      <c r="C6" s="9">
        <v>0</v>
      </c>
      <c r="D6" s="40">
        <v>0</v>
      </c>
      <c r="E6" s="9">
        <v>0</v>
      </c>
      <c r="F6" s="9">
        <v>0</v>
      </c>
      <c r="G6" s="40">
        <v>0</v>
      </c>
      <c r="H6" s="9">
        <v>0</v>
      </c>
      <c r="I6" s="9"/>
      <c r="J6" s="9"/>
      <c r="K6" s="9"/>
      <c r="L6" s="9"/>
      <c r="M6" s="9"/>
      <c r="N6" s="40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538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79217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103831</v>
      </c>
      <c r="C10" s="9">
        <v>0</v>
      </c>
      <c r="D10" s="40">
        <v>0</v>
      </c>
      <c r="E10" s="9">
        <v>0</v>
      </c>
      <c r="F10" s="9">
        <v>0</v>
      </c>
      <c r="G10" s="40">
        <v>0</v>
      </c>
      <c r="H10" s="9">
        <v>0</v>
      </c>
      <c r="I10" s="9"/>
      <c r="J10" s="9"/>
      <c r="K10" s="9"/>
      <c r="L10" s="9"/>
      <c r="M10" s="9"/>
      <c r="N10" s="40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0">
        <f>376671+33093-24076</f>
        <v>385688</v>
      </c>
      <c r="C17" s="9">
        <v>7705</v>
      </c>
      <c r="D17" s="40">
        <v>0</v>
      </c>
      <c r="E17" s="9">
        <v>0</v>
      </c>
      <c r="F17" s="9">
        <v>19710</v>
      </c>
      <c r="G17" s="40">
        <f>412284-K17</f>
        <v>86884</v>
      </c>
      <c r="H17" s="9">
        <v>0</v>
      </c>
      <c r="I17" s="9"/>
      <c r="J17" s="9"/>
      <c r="K17" s="40">
        <v>325400</v>
      </c>
      <c r="L17" s="9"/>
      <c r="M17" s="9"/>
      <c r="N17" s="40">
        <f>SUM(C17:M17)</f>
        <v>439699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7059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0">
        <f>416823-24076</f>
        <v>392747</v>
      </c>
      <c r="C23" s="9">
        <v>7705</v>
      </c>
      <c r="D23" s="40">
        <f>SUM(D17:D22)</f>
        <v>0</v>
      </c>
      <c r="E23" s="9">
        <v>0</v>
      </c>
      <c r="F23" s="9">
        <f>SUM(F17:F22)</f>
        <v>19710</v>
      </c>
      <c r="G23" s="40">
        <f>SUM(G17:G22)</f>
        <v>86884</v>
      </c>
      <c r="H23" s="9">
        <v>0</v>
      </c>
      <c r="I23" s="9"/>
      <c r="J23" s="9"/>
      <c r="K23" s="41">
        <f>SUM(K17:K22)</f>
        <v>325400</v>
      </c>
      <c r="L23" s="9"/>
      <c r="M23" s="9"/>
      <c r="N23" s="40">
        <f>SUM(N17:N22)</f>
        <v>439699</v>
      </c>
      <c r="O23" s="3"/>
      <c r="P23" s="3"/>
      <c r="Q23" s="3"/>
      <c r="R23" s="3" t="s">
        <v>27</v>
      </c>
      <c r="S23" s="12">
        <f>N42/1000</f>
        <v>1395.4133999999999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480.42440000000005</v>
      </c>
      <c r="T26" s="14">
        <f>M43</f>
        <v>0.34428822311724971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138.53700000000001</v>
      </c>
      <c r="T27" s="15">
        <f>G43</f>
        <v>9.9280256302540892E-2</v>
      </c>
    </row>
    <row r="28" spans="1:20">
      <c r="A28" s="4" t="s">
        <v>105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53.841999999999999</v>
      </c>
      <c r="T29" s="14">
        <f>F43</f>
        <v>3.8584981339580084E-2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2.1819999999999999</v>
      </c>
      <c r="T30" s="14">
        <f>E43</f>
        <v>1.5636943145307335E-3</v>
      </c>
    </row>
    <row r="31" spans="1:20">
      <c r="A31" s="5" t="s">
        <v>36</v>
      </c>
      <c r="B31" s="9">
        <v>0</v>
      </c>
      <c r="C31" s="9">
        <v>24244</v>
      </c>
      <c r="D31" s="9">
        <v>0</v>
      </c>
      <c r="E31" s="9">
        <v>0</v>
      </c>
      <c r="F31" s="9">
        <v>2543</v>
      </c>
      <c r="G31" s="9">
        <v>0</v>
      </c>
      <c r="H31" s="9">
        <v>0</v>
      </c>
      <c r="I31" s="9"/>
      <c r="J31" s="9"/>
      <c r="K31" s="9"/>
      <c r="L31" s="9"/>
      <c r="M31" s="9">
        <v>29014</v>
      </c>
      <c r="N31" s="9">
        <v>55802</v>
      </c>
      <c r="O31" s="16">
        <f>N31/N$39</f>
        <v>4.5123665139417422E-2</v>
      </c>
      <c r="P31" s="17" t="s">
        <v>37</v>
      </c>
      <c r="Q31" s="3"/>
      <c r="R31" s="3" t="s">
        <v>38</v>
      </c>
      <c r="S31" s="13">
        <f>C42/1000</f>
        <v>395.02800000000002</v>
      </c>
      <c r="T31" s="15">
        <f>C43</f>
        <v>0.28309030141175368</v>
      </c>
    </row>
    <row r="32" spans="1:20">
      <c r="A32" s="5" t="s">
        <v>39</v>
      </c>
      <c r="B32" s="9">
        <v>73210</v>
      </c>
      <c r="C32" s="9">
        <v>22437</v>
      </c>
      <c r="D32" s="9">
        <v>0</v>
      </c>
      <c r="E32" s="9">
        <v>2182</v>
      </c>
      <c r="F32" s="9">
        <v>280</v>
      </c>
      <c r="G32" s="9">
        <v>2064</v>
      </c>
      <c r="H32" s="9">
        <v>0</v>
      </c>
      <c r="I32" s="9"/>
      <c r="J32" s="9"/>
      <c r="K32" s="9"/>
      <c r="L32" s="9"/>
      <c r="M32" s="9">
        <v>134167</v>
      </c>
      <c r="N32" s="9">
        <v>234340</v>
      </c>
      <c r="O32" s="16">
        <f>N32/N$39</f>
        <v>0.18949642824219703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33374</v>
      </c>
      <c r="C33" s="9">
        <v>5097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49771</v>
      </c>
      <c r="N33" s="9">
        <v>88242</v>
      </c>
      <c r="O33" s="16">
        <f>N33/N$39</f>
        <v>7.1355909451856075E-2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328482</v>
      </c>
      <c r="D34" s="9">
        <v>0</v>
      </c>
      <c r="E34" s="9">
        <v>0</v>
      </c>
      <c r="F34" s="9">
        <v>31309</v>
      </c>
      <c r="G34" s="9">
        <v>0</v>
      </c>
      <c r="H34" s="9">
        <v>0</v>
      </c>
      <c r="I34" s="9"/>
      <c r="J34" s="9"/>
      <c r="K34" s="9"/>
      <c r="L34" s="9"/>
      <c r="M34" s="9">
        <v>35</v>
      </c>
      <c r="N34" s="9">
        <v>359825</v>
      </c>
      <c r="O34" s="16">
        <f>N34/N$39</f>
        <v>0.29096847440577173</v>
      </c>
      <c r="P34" s="17" t="s">
        <v>45</v>
      </c>
      <c r="Q34" s="3"/>
      <c r="R34" s="3"/>
      <c r="S34" s="13">
        <f>SUM(S26:S33)</f>
        <v>1070.0134</v>
      </c>
      <c r="T34" s="14">
        <f>SUM(T26:T33)</f>
        <v>0.76680745648565507</v>
      </c>
    </row>
    <row r="35" spans="1:47">
      <c r="A35" s="5" t="s">
        <v>46</v>
      </c>
      <c r="B35" s="9">
        <v>35715</v>
      </c>
      <c r="C35" s="9">
        <v>6585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133375</v>
      </c>
      <c r="N35" s="9">
        <v>175675</v>
      </c>
      <c r="O35" s="16">
        <f>N35/N$39</f>
        <v>0.14205763007360231</v>
      </c>
      <c r="P35" s="17" t="s">
        <v>47</v>
      </c>
      <c r="Q35" s="17"/>
    </row>
    <row r="36" spans="1:47">
      <c r="A36" s="5" t="s">
        <v>48</v>
      </c>
      <c r="B36" s="9">
        <v>58618</v>
      </c>
      <c r="C36" s="9">
        <v>408</v>
      </c>
      <c r="D36" s="9">
        <v>0</v>
      </c>
      <c r="E36" s="9">
        <v>0</v>
      </c>
      <c r="F36" s="9">
        <v>0</v>
      </c>
      <c r="G36" s="9">
        <v>49589</v>
      </c>
      <c r="H36" s="9">
        <v>0</v>
      </c>
      <c r="I36" s="9"/>
      <c r="J36" s="9"/>
      <c r="K36" s="9"/>
      <c r="L36" s="9"/>
      <c r="M36" s="9">
        <v>94983</v>
      </c>
      <c r="N36" s="9">
        <v>203598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93310</v>
      </c>
      <c r="C37" s="9">
        <v>70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17612</v>
      </c>
      <c r="N37" s="9">
        <v>110991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8173</v>
      </c>
      <c r="N38" s="9">
        <v>8173</v>
      </c>
      <c r="O38" s="17">
        <f>SUM(O31:O35)</f>
        <v>0.73900210731284455</v>
      </c>
      <c r="P38" s="17"/>
      <c r="Q38" s="3"/>
      <c r="R38" s="7" t="s">
        <v>51</v>
      </c>
      <c r="S38" s="19">
        <f>N45/1000</f>
        <v>135.8904</v>
      </c>
      <c r="T38" s="7"/>
    </row>
    <row r="39" spans="1:47">
      <c r="A39" s="5" t="s">
        <v>17</v>
      </c>
      <c r="B39" s="9">
        <v>294227</v>
      </c>
      <c r="C39" s="9">
        <v>387323</v>
      </c>
      <c r="D39" s="9">
        <v>0</v>
      </c>
      <c r="E39" s="9">
        <v>2182</v>
      </c>
      <c r="F39" s="9">
        <v>34132</v>
      </c>
      <c r="G39" s="9">
        <v>51653</v>
      </c>
      <c r="H39" s="9">
        <v>0</v>
      </c>
      <c r="I39" s="9"/>
      <c r="J39" s="9"/>
      <c r="K39" s="9"/>
      <c r="L39" s="9"/>
      <c r="M39" s="9">
        <v>467130</v>
      </c>
      <c r="N39" s="9">
        <v>1236646</v>
      </c>
      <c r="O39" s="3"/>
      <c r="P39" s="3"/>
      <c r="Q39" s="3"/>
      <c r="R39" s="7" t="s">
        <v>52</v>
      </c>
      <c r="S39" s="20">
        <f>N41/1000</f>
        <v>322.762</v>
      </c>
      <c r="T39" s="14">
        <f>O41</f>
        <v>0.2609978926871554</v>
      </c>
    </row>
    <row r="40" spans="1:47">
      <c r="R40" s="7" t="s">
        <v>53</v>
      </c>
      <c r="S40" s="20">
        <f>N35/1000</f>
        <v>175.67500000000001</v>
      </c>
      <c r="T40" s="15">
        <f>O35</f>
        <v>0.14205763007360231</v>
      </c>
    </row>
    <row r="41" spans="1:47">
      <c r="A41" s="21" t="s">
        <v>54</v>
      </c>
      <c r="B41" s="22">
        <f>B38+B37+B36</f>
        <v>151928</v>
      </c>
      <c r="C41" s="22">
        <f t="shared" ref="C41:N41" si="0">C38+C37+C36</f>
        <v>478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49589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120768</v>
      </c>
      <c r="N41" s="22">
        <f t="shared" si="0"/>
        <v>322762</v>
      </c>
      <c r="O41" s="16">
        <f>N41/N$39</f>
        <v>0.2609978926871554</v>
      </c>
      <c r="P41" s="16" t="s">
        <v>55</v>
      </c>
      <c r="Q41" s="7"/>
      <c r="R41" s="7" t="s">
        <v>56</v>
      </c>
      <c r="S41" s="20">
        <f>N33/1000</f>
        <v>88.242000000000004</v>
      </c>
      <c r="T41" s="14">
        <f>O33</f>
        <v>7.1355909451856075E-2</v>
      </c>
    </row>
    <row r="42" spans="1:47">
      <c r="A42" s="23" t="s">
        <v>57</v>
      </c>
      <c r="B42" s="22"/>
      <c r="C42" s="24">
        <f>C39+C23+C10</f>
        <v>395028</v>
      </c>
      <c r="D42" s="24">
        <f t="shared" ref="D42:L42" si="1">D39+D23+D10</f>
        <v>0</v>
      </c>
      <c r="E42" s="24">
        <f t="shared" si="1"/>
        <v>2182</v>
      </c>
      <c r="F42" s="24">
        <f t="shared" si="1"/>
        <v>53842</v>
      </c>
      <c r="G42" s="24">
        <f t="shared" si="1"/>
        <v>138537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325400</v>
      </c>
      <c r="L42" s="24">
        <f t="shared" si="1"/>
        <v>0</v>
      </c>
      <c r="M42" s="24">
        <f>M39+M23-B6+M45</f>
        <v>480424.4</v>
      </c>
      <c r="N42" s="25">
        <f>SUM(C42:M42)</f>
        <v>1395413.4</v>
      </c>
      <c r="O42" s="7"/>
      <c r="P42" s="7"/>
      <c r="Q42" s="7"/>
      <c r="R42" s="7" t="s">
        <v>37</v>
      </c>
      <c r="S42" s="20">
        <f>N31/1000</f>
        <v>55.802</v>
      </c>
      <c r="T42" s="14">
        <f>O31</f>
        <v>4.5123665139417422E-2</v>
      </c>
    </row>
    <row r="43" spans="1:47">
      <c r="A43" s="23" t="s">
        <v>58</v>
      </c>
      <c r="B43" s="22"/>
      <c r="C43" s="16">
        <f t="shared" ref="C43:M43" si="2">C42/$N42</f>
        <v>0.28309030141175368</v>
      </c>
      <c r="D43" s="16">
        <f t="shared" si="2"/>
        <v>0</v>
      </c>
      <c r="E43" s="16">
        <f t="shared" si="2"/>
        <v>1.5636943145307335E-3</v>
      </c>
      <c r="F43" s="16">
        <f t="shared" si="2"/>
        <v>3.8584981339580084E-2</v>
      </c>
      <c r="G43" s="16">
        <f t="shared" si="2"/>
        <v>9.9280256302540892E-2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0.23319254351434493</v>
      </c>
      <c r="L43" s="16">
        <f t="shared" si="2"/>
        <v>0</v>
      </c>
      <c r="M43" s="16">
        <f t="shared" si="2"/>
        <v>0.34428822311724971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234.34</v>
      </c>
      <c r="T43" s="15">
        <f>O32</f>
        <v>0.18949642824219703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359.82499999999999</v>
      </c>
      <c r="T44" s="15">
        <f>O34</f>
        <v>0.29096847440577173</v>
      </c>
    </row>
    <row r="45" spans="1:47">
      <c r="A45" s="6" t="s">
        <v>61</v>
      </c>
      <c r="B45" s="6">
        <f>B23-B39</f>
        <v>98520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37370.400000000001</v>
      </c>
      <c r="N45" s="25">
        <f>B45+M45</f>
        <v>135890.4</v>
      </c>
      <c r="O45" s="7"/>
      <c r="P45" s="7"/>
      <c r="Q45" s="7"/>
      <c r="R45" s="7" t="s">
        <v>62</v>
      </c>
      <c r="S45" s="20">
        <f>SUM(S39:S44)</f>
        <v>1236.646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 enableFormatConditionsCalculation="0"/>
  <dimension ref="A1:AU70"/>
  <sheetViews>
    <sheetView topLeftCell="A13" workbookViewId="0">
      <selection activeCell="S20" sqref="S20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106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3417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124562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127980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80999+11888</f>
        <v>92887</v>
      </c>
      <c r="C18" s="9">
        <v>1652</v>
      </c>
      <c r="D18" s="9">
        <v>0</v>
      </c>
      <c r="E18" s="9">
        <v>0</v>
      </c>
      <c r="F18" s="9">
        <v>0</v>
      </c>
      <c r="G18" s="9">
        <v>77504</v>
      </c>
      <c r="H18" s="9">
        <v>25133</v>
      </c>
      <c r="I18" s="9"/>
      <c r="J18" s="9"/>
      <c r="K18" s="9"/>
      <c r="L18" s="9"/>
      <c r="M18" s="9"/>
      <c r="N18" s="9">
        <v>104288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92887</v>
      </c>
      <c r="C23" s="9">
        <v>1652</v>
      </c>
      <c r="D23" s="9">
        <v>0</v>
      </c>
      <c r="E23" s="9">
        <v>0</v>
      </c>
      <c r="F23" s="9">
        <v>0</v>
      </c>
      <c r="G23" s="9">
        <v>77504</v>
      </c>
      <c r="H23" s="9">
        <v>25133</v>
      </c>
      <c r="I23" s="9"/>
      <c r="J23" s="9"/>
      <c r="K23" s="9"/>
      <c r="L23" s="9"/>
      <c r="M23" s="9"/>
      <c r="N23" s="9">
        <v>104288</v>
      </c>
      <c r="O23" s="3"/>
      <c r="P23" s="3"/>
      <c r="Q23" s="3"/>
      <c r="R23" s="3" t="s">
        <v>27</v>
      </c>
      <c r="S23" s="12">
        <f>N42/1000</f>
        <v>658.77267999999992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252.47268</v>
      </c>
      <c r="T26" s="14">
        <f>M43</f>
        <v>0.38324704054211844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113.10899999999999</v>
      </c>
      <c r="T27" s="15">
        <f>G43</f>
        <v>0.17169655547950169</v>
      </c>
    </row>
    <row r="28" spans="1:20">
      <c r="A28" s="4" t="s">
        <v>106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20.556999999999999</v>
      </c>
      <c r="T29" s="14">
        <f>F43</f>
        <v>3.1204997754308818E-2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10.220000000000001</v>
      </c>
      <c r="T30" s="14">
        <f>E43</f>
        <v>1.5513697380407459E-2</v>
      </c>
    </row>
    <row r="31" spans="1:20">
      <c r="A31" s="5" t="s">
        <v>36</v>
      </c>
      <c r="B31" s="9">
        <v>0</v>
      </c>
      <c r="C31" s="9">
        <v>13680</v>
      </c>
      <c r="D31" s="9">
        <v>0</v>
      </c>
      <c r="E31" s="9">
        <v>0</v>
      </c>
      <c r="F31" s="9">
        <v>1462</v>
      </c>
      <c r="G31" s="9">
        <v>0</v>
      </c>
      <c r="H31" s="9">
        <v>0</v>
      </c>
      <c r="I31" s="9"/>
      <c r="J31" s="9"/>
      <c r="K31" s="9"/>
      <c r="L31" s="9"/>
      <c r="M31" s="9">
        <v>21216</v>
      </c>
      <c r="N31" s="9">
        <v>36359</v>
      </c>
      <c r="O31" s="16">
        <f>N31/N$39</f>
        <v>5.8568637210793292E-2</v>
      </c>
      <c r="P31" s="17" t="s">
        <v>37</v>
      </c>
      <c r="Q31" s="3"/>
      <c r="R31" s="3" t="s">
        <v>38</v>
      </c>
      <c r="S31" s="13">
        <f>C42/1000</f>
        <v>237.28100000000001</v>
      </c>
      <c r="T31" s="15">
        <f>C43</f>
        <v>0.36018646067714893</v>
      </c>
    </row>
    <row r="32" spans="1:20">
      <c r="A32" s="5" t="s">
        <v>39</v>
      </c>
      <c r="B32" s="9">
        <v>7204</v>
      </c>
      <c r="C32" s="43">
        <v>15000</v>
      </c>
      <c r="D32" s="9">
        <v>0</v>
      </c>
      <c r="E32" s="43">
        <f>N32-SUM(F32:M32,B32:D32)</f>
        <v>10220</v>
      </c>
      <c r="F32" s="9">
        <v>134</v>
      </c>
      <c r="G32" s="43">
        <f>400+280</f>
        <v>680</v>
      </c>
      <c r="H32" s="9">
        <v>0</v>
      </c>
      <c r="I32" s="9"/>
      <c r="J32" s="9"/>
      <c r="K32" s="9"/>
      <c r="L32" s="9"/>
      <c r="M32" s="9">
        <v>69644</v>
      </c>
      <c r="N32" s="9">
        <v>102882</v>
      </c>
      <c r="O32" s="16">
        <f>N32/N$39</f>
        <v>0.16572673983115144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8598</v>
      </c>
      <c r="C33" s="9">
        <v>682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29051</v>
      </c>
      <c r="N33" s="9">
        <v>38331</v>
      </c>
      <c r="O33" s="16">
        <f>N33/N$39</f>
        <v>6.1745219420966412E-2</v>
      </c>
      <c r="P33" s="17" t="s">
        <v>43</v>
      </c>
      <c r="Q33" s="3"/>
      <c r="R33" s="3" t="s">
        <v>7</v>
      </c>
      <c r="S33" s="13">
        <f>H42/1000</f>
        <v>25.132999999999999</v>
      </c>
      <c r="T33" s="14">
        <f>H43</f>
        <v>3.8151248166514738E-2</v>
      </c>
    </row>
    <row r="34" spans="1:47">
      <c r="A34" s="5" t="s">
        <v>44</v>
      </c>
      <c r="B34" s="9">
        <v>0</v>
      </c>
      <c r="C34" s="9">
        <v>204669</v>
      </c>
      <c r="D34" s="9">
        <v>0</v>
      </c>
      <c r="E34" s="9">
        <v>0</v>
      </c>
      <c r="F34" s="9">
        <v>18961</v>
      </c>
      <c r="G34" s="9">
        <v>0</v>
      </c>
      <c r="H34" s="9">
        <v>0</v>
      </c>
      <c r="I34" s="9"/>
      <c r="J34" s="9"/>
      <c r="K34" s="9"/>
      <c r="L34" s="9"/>
      <c r="M34" s="9">
        <v>54</v>
      </c>
      <c r="N34" s="9">
        <v>223683</v>
      </c>
      <c r="O34" s="16">
        <f>N34/N$39</f>
        <v>0.36031817369074715</v>
      </c>
      <c r="P34" s="17" t="s">
        <v>45</v>
      </c>
      <c r="Q34" s="3"/>
      <c r="R34" s="3"/>
      <c r="S34" s="13">
        <f>SUM(S26:S33)</f>
        <v>658.77268000000004</v>
      </c>
      <c r="T34" s="14">
        <f>SUM(T26:T33)</f>
        <v>1</v>
      </c>
    </row>
    <row r="35" spans="1:47">
      <c r="A35" s="5" t="s">
        <v>46</v>
      </c>
      <c r="B35" s="9">
        <v>16082</v>
      </c>
      <c r="C35" s="9">
        <v>1328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48054</v>
      </c>
      <c r="N35" s="9">
        <v>65464</v>
      </c>
      <c r="O35" s="16">
        <f>N35/N$39</f>
        <v>0.10545221998315059</v>
      </c>
      <c r="P35" s="17" t="s">
        <v>47</v>
      </c>
      <c r="Q35" s="17"/>
    </row>
    <row r="36" spans="1:47">
      <c r="A36" s="5" t="s">
        <v>48</v>
      </c>
      <c r="B36" s="9">
        <v>6251</v>
      </c>
      <c r="C36" s="43">
        <v>200</v>
      </c>
      <c r="D36" s="9">
        <v>0</v>
      </c>
      <c r="E36" s="9">
        <v>0</v>
      </c>
      <c r="F36" s="9">
        <v>0</v>
      </c>
      <c r="G36" s="43">
        <f>N36-SUM(H36:M36,B36:F36)</f>
        <v>34925</v>
      </c>
      <c r="H36" s="9">
        <v>0</v>
      </c>
      <c r="I36" s="9"/>
      <c r="J36" s="9"/>
      <c r="K36" s="9"/>
      <c r="L36" s="9"/>
      <c r="M36" s="9">
        <v>52104</v>
      </c>
      <c r="N36" s="9">
        <v>93480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46877</v>
      </c>
      <c r="C37" s="9">
        <v>70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10855</v>
      </c>
      <c r="N37" s="9">
        <v>57802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2793</v>
      </c>
      <c r="N38" s="9">
        <v>2793</v>
      </c>
      <c r="O38" s="17">
        <f>SUM(O31:O35)</f>
        <v>0.75181099013680885</v>
      </c>
      <c r="P38" s="17"/>
      <c r="Q38" s="3"/>
      <c r="R38" s="7" t="s">
        <v>51</v>
      </c>
      <c r="S38" s="19">
        <f>N45/1000</f>
        <v>26.57668</v>
      </c>
      <c r="T38" s="7"/>
    </row>
    <row r="39" spans="1:47">
      <c r="A39" s="5" t="s">
        <v>17</v>
      </c>
      <c r="B39" s="9">
        <v>85012</v>
      </c>
      <c r="C39" s="43">
        <f>SUM(C31:C38)</f>
        <v>235629</v>
      </c>
      <c r="D39" s="9">
        <v>0</v>
      </c>
      <c r="E39" s="43">
        <f>SUM(E31:E38)</f>
        <v>10220</v>
      </c>
      <c r="F39" s="9">
        <v>20557</v>
      </c>
      <c r="G39" s="43">
        <f>SUM(G31:G38)</f>
        <v>35605</v>
      </c>
      <c r="H39" s="9">
        <v>0</v>
      </c>
      <c r="I39" s="9"/>
      <c r="J39" s="9"/>
      <c r="K39" s="9"/>
      <c r="L39" s="9"/>
      <c r="M39" s="9">
        <v>233771</v>
      </c>
      <c r="N39" s="9">
        <v>620793</v>
      </c>
      <c r="O39" s="3"/>
      <c r="P39" s="3"/>
      <c r="Q39" s="3"/>
      <c r="R39" s="7" t="s">
        <v>52</v>
      </c>
      <c r="S39" s="20">
        <f>N41/1000</f>
        <v>154.07499999999999</v>
      </c>
      <c r="T39" s="14">
        <f>O41</f>
        <v>0.24819062070609688</v>
      </c>
    </row>
    <row r="40" spans="1:47">
      <c r="R40" s="7" t="s">
        <v>53</v>
      </c>
      <c r="S40" s="20">
        <f>N35/1000</f>
        <v>65.463999999999999</v>
      </c>
      <c r="T40" s="15">
        <f>O35</f>
        <v>0.10545221998315059</v>
      </c>
    </row>
    <row r="41" spans="1:47">
      <c r="A41" s="21" t="s">
        <v>54</v>
      </c>
      <c r="B41" s="22">
        <f>B38+B37+B36</f>
        <v>53128</v>
      </c>
      <c r="C41" s="22">
        <f t="shared" ref="C41:N41" si="0">C38+C37+C36</f>
        <v>270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34925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65752</v>
      </c>
      <c r="N41" s="22">
        <f t="shared" si="0"/>
        <v>154075</v>
      </c>
      <c r="O41" s="16">
        <f>N41/N$39</f>
        <v>0.24819062070609688</v>
      </c>
      <c r="P41" s="16" t="s">
        <v>55</v>
      </c>
      <c r="Q41" s="7"/>
      <c r="R41" s="7" t="s">
        <v>56</v>
      </c>
      <c r="S41" s="20">
        <f>N33/1000</f>
        <v>38.331000000000003</v>
      </c>
      <c r="T41" s="14">
        <f>O33</f>
        <v>6.1745219420966412E-2</v>
      </c>
    </row>
    <row r="42" spans="1:47">
      <c r="A42" s="23" t="s">
        <v>57</v>
      </c>
      <c r="B42" s="22"/>
      <c r="C42" s="24">
        <f>C39+C23+C10</f>
        <v>237281</v>
      </c>
      <c r="D42" s="24">
        <f t="shared" ref="D42:L42" si="1">D39+D23+D10</f>
        <v>0</v>
      </c>
      <c r="E42" s="24">
        <f t="shared" si="1"/>
        <v>10220</v>
      </c>
      <c r="F42" s="24">
        <f t="shared" si="1"/>
        <v>20557</v>
      </c>
      <c r="G42" s="24">
        <f t="shared" si="1"/>
        <v>113109</v>
      </c>
      <c r="H42" s="24">
        <f t="shared" si="1"/>
        <v>25133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252472.68</v>
      </c>
      <c r="N42" s="25">
        <f>SUM(C42:M42)</f>
        <v>658772.67999999993</v>
      </c>
      <c r="O42" s="7"/>
      <c r="P42" s="7"/>
      <c r="Q42" s="7"/>
      <c r="R42" s="7" t="s">
        <v>37</v>
      </c>
      <c r="S42" s="20">
        <f>N31/1000</f>
        <v>36.359000000000002</v>
      </c>
      <c r="T42" s="14">
        <f>O31</f>
        <v>5.8568637210793292E-2</v>
      </c>
    </row>
    <row r="43" spans="1:47">
      <c r="A43" s="23" t="s">
        <v>58</v>
      </c>
      <c r="B43" s="22"/>
      <c r="C43" s="16">
        <f t="shared" ref="C43:M43" si="2">C42/$N42</f>
        <v>0.36018646067714893</v>
      </c>
      <c r="D43" s="16">
        <f t="shared" si="2"/>
        <v>0</v>
      </c>
      <c r="E43" s="16">
        <f t="shared" si="2"/>
        <v>1.5513697380407459E-2</v>
      </c>
      <c r="F43" s="16">
        <f t="shared" si="2"/>
        <v>3.1204997754308818E-2</v>
      </c>
      <c r="G43" s="16">
        <f t="shared" si="2"/>
        <v>0.17169655547950169</v>
      </c>
      <c r="H43" s="16">
        <f t="shared" si="2"/>
        <v>3.8151248166514738E-2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0.38324704054211844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102.88200000000001</v>
      </c>
      <c r="T43" s="15">
        <f>O32</f>
        <v>0.16572673983115144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223.68299999999999</v>
      </c>
      <c r="T44" s="15">
        <f>O34</f>
        <v>0.36031817369074715</v>
      </c>
    </row>
    <row r="45" spans="1:47">
      <c r="A45" s="6" t="s">
        <v>61</v>
      </c>
      <c r="B45" s="6">
        <f>B23-B39</f>
        <v>7875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18701.68</v>
      </c>
      <c r="N45" s="25">
        <f>B45+M45</f>
        <v>26576.68</v>
      </c>
      <c r="O45" s="7"/>
      <c r="P45" s="7"/>
      <c r="Q45" s="7"/>
      <c r="R45" s="7" t="s">
        <v>62</v>
      </c>
      <c r="S45" s="20">
        <f>SUM(S39:S44)</f>
        <v>620.79399999999998</v>
      </c>
      <c r="T45" s="14">
        <f>SUM(T39:T44)</f>
        <v>1.0000016108429057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 enableFormatConditionsCalculation="0"/>
  <dimension ref="A1:AU70"/>
  <sheetViews>
    <sheetView topLeftCell="A13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107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9468</v>
      </c>
      <c r="C6" s="9">
        <v>0</v>
      </c>
      <c r="D6" s="41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5625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15094</v>
      </c>
      <c r="C10" s="9">
        <v>0</v>
      </c>
      <c r="D10" s="41">
        <v>0</v>
      </c>
      <c r="E10" s="9">
        <v>0</v>
      </c>
      <c r="F10" s="9">
        <v>0</v>
      </c>
      <c r="G10" s="41">
        <f>SUM(G6:G9)</f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171810+49916*0.7</f>
        <v>206751.2</v>
      </c>
      <c r="C17" s="9">
        <v>736</v>
      </c>
      <c r="D17" s="41">
        <v>0</v>
      </c>
      <c r="E17" s="9">
        <v>0</v>
      </c>
      <c r="F17" s="9">
        <v>0</v>
      </c>
      <c r="G17" s="41">
        <v>0</v>
      </c>
      <c r="H17" s="9">
        <v>0</v>
      </c>
      <c r="I17" s="9"/>
      <c r="J17" s="9"/>
      <c r="K17" s="41">
        <f>109677*2</f>
        <v>219354</v>
      </c>
      <c r="L17" s="9"/>
      <c r="M17" s="9"/>
      <c r="N17" s="41">
        <f>209752+10339</f>
        <v>220091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184090+49916*0.3</f>
        <v>199064.8</v>
      </c>
      <c r="C18" s="9">
        <v>10181</v>
      </c>
      <c r="D18" s="9">
        <v>0</v>
      </c>
      <c r="E18" s="9">
        <v>0</v>
      </c>
      <c r="F18" s="9">
        <v>0</v>
      </c>
      <c r="G18" s="9">
        <v>194919</v>
      </c>
      <c r="H18" s="9">
        <v>0</v>
      </c>
      <c r="I18" s="9"/>
      <c r="J18" s="9"/>
      <c r="K18" s="9"/>
      <c r="L18" s="9"/>
      <c r="M18" s="9"/>
      <c r="N18" s="9">
        <v>205100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405816</v>
      </c>
      <c r="C23" s="9">
        <v>10918</v>
      </c>
      <c r="D23" s="41">
        <f>SUM(D17:D22)</f>
        <v>0</v>
      </c>
      <c r="E23" s="9">
        <v>0</v>
      </c>
      <c r="F23" s="9">
        <v>0</v>
      </c>
      <c r="G23" s="41">
        <f>SUM(G17:G22)</f>
        <v>194919</v>
      </c>
      <c r="H23" s="9">
        <v>0</v>
      </c>
      <c r="I23" s="9"/>
      <c r="J23" s="9"/>
      <c r="K23" s="41">
        <f>SUM(K17:K22)</f>
        <v>219354</v>
      </c>
      <c r="L23" s="9"/>
      <c r="M23" s="9"/>
      <c r="N23" s="41">
        <f>SUM(N17:N22)</f>
        <v>425191</v>
      </c>
      <c r="O23" s="3"/>
      <c r="P23" s="3"/>
      <c r="Q23" s="3"/>
      <c r="R23" s="3" t="s">
        <v>27</v>
      </c>
      <c r="S23" s="12">
        <f>N42/1000</f>
        <v>2397.4759199999999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861.92892000000006</v>
      </c>
      <c r="T26" s="14">
        <f>M43</f>
        <v>0.35951515208544832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261.096</v>
      </c>
      <c r="T27" s="15">
        <f>G43</f>
        <v>0.10890453489935366</v>
      </c>
    </row>
    <row r="28" spans="1:20">
      <c r="A28" s="4" t="s">
        <v>107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40.497</v>
      </c>
      <c r="T29" s="14">
        <f>F43</f>
        <v>1.68915148061216E-2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21065</v>
      </c>
      <c r="D31" s="9">
        <v>0</v>
      </c>
      <c r="E31" s="9">
        <v>0</v>
      </c>
      <c r="F31" s="9">
        <v>2247</v>
      </c>
      <c r="G31" s="9">
        <v>0</v>
      </c>
      <c r="H31" s="9">
        <v>0</v>
      </c>
      <c r="I31" s="9"/>
      <c r="J31" s="9"/>
      <c r="K31" s="9"/>
      <c r="L31" s="9"/>
      <c r="M31" s="9">
        <v>21435</v>
      </c>
      <c r="N31" s="9">
        <v>44747</v>
      </c>
      <c r="O31" s="16">
        <f>N31/N$39</f>
        <v>1.9639788709985364E-2</v>
      </c>
      <c r="P31" s="17" t="s">
        <v>37</v>
      </c>
      <c r="Q31" s="3"/>
      <c r="R31" s="3" t="s">
        <v>38</v>
      </c>
      <c r="S31" s="13">
        <f>C42/1000</f>
        <v>504.22399999999999</v>
      </c>
      <c r="T31" s="15">
        <f>C43</f>
        <v>0.21031452111519019</v>
      </c>
    </row>
    <row r="32" spans="1:20">
      <c r="A32" s="5" t="s">
        <v>39</v>
      </c>
      <c r="B32" s="9">
        <v>66286</v>
      </c>
      <c r="C32" s="9">
        <v>51559</v>
      </c>
      <c r="D32" s="43">
        <v>0</v>
      </c>
      <c r="E32" s="43">
        <v>0</v>
      </c>
      <c r="F32" s="9">
        <v>1029</v>
      </c>
      <c r="G32" s="43">
        <v>10000</v>
      </c>
      <c r="H32" s="9">
        <v>0</v>
      </c>
      <c r="I32" s="9"/>
      <c r="J32" s="9"/>
      <c r="K32" s="41">
        <f>N32-SUM(L32:M32,B32:J32)</f>
        <v>510376</v>
      </c>
      <c r="L32" s="9"/>
      <c r="M32" s="9">
        <v>408706</v>
      </c>
      <c r="N32" s="9">
        <v>1047956</v>
      </c>
      <c r="O32" s="16">
        <f>N32/N$39</f>
        <v>0.45995562646348181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72757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77740</v>
      </c>
      <c r="N33" s="9">
        <v>150497</v>
      </c>
      <c r="O33" s="16">
        <f>N33/N$39</f>
        <v>6.6054244563583414E-2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406405</v>
      </c>
      <c r="D34" s="9">
        <v>0</v>
      </c>
      <c r="E34" s="9">
        <v>0</v>
      </c>
      <c r="F34" s="9">
        <v>37222</v>
      </c>
      <c r="G34" s="9">
        <v>0</v>
      </c>
      <c r="H34" s="9">
        <v>0</v>
      </c>
      <c r="I34" s="9"/>
      <c r="J34" s="9"/>
      <c r="K34" s="9"/>
      <c r="L34" s="9"/>
      <c r="M34" s="9">
        <v>3161</v>
      </c>
      <c r="N34" s="9">
        <v>446789</v>
      </c>
      <c r="O34" s="16">
        <f>N34/N$39</f>
        <v>0.19609899117137797</v>
      </c>
      <c r="P34" s="17" t="s">
        <v>45</v>
      </c>
      <c r="Q34" s="3"/>
      <c r="R34" s="3"/>
      <c r="S34" s="13">
        <f>SUM(S26:S33)</f>
        <v>1667.7459200000001</v>
      </c>
      <c r="T34" s="14">
        <f>SUM(T26:T33)</f>
        <v>0.6956257229061138</v>
      </c>
    </row>
    <row r="35" spans="1:47">
      <c r="A35" s="5" t="s">
        <v>46</v>
      </c>
      <c r="B35" s="9">
        <v>43459</v>
      </c>
      <c r="C35" s="9">
        <v>12826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123875</v>
      </c>
      <c r="N35" s="9">
        <v>180160</v>
      </c>
      <c r="O35" s="16">
        <f>N35/N$39</f>
        <v>7.9073554293940668E-2</v>
      </c>
      <c r="P35" s="17" t="s">
        <v>47</v>
      </c>
      <c r="Q35" s="17"/>
    </row>
    <row r="36" spans="1:47">
      <c r="A36" s="5" t="s">
        <v>48</v>
      </c>
      <c r="B36" s="9">
        <v>15640</v>
      </c>
      <c r="C36" s="9">
        <v>915</v>
      </c>
      <c r="D36" s="9">
        <v>0</v>
      </c>
      <c r="E36" s="9">
        <v>0</v>
      </c>
      <c r="F36" s="9">
        <v>0</v>
      </c>
      <c r="G36" s="9">
        <v>56177</v>
      </c>
      <c r="H36" s="9">
        <v>0</v>
      </c>
      <c r="I36" s="9"/>
      <c r="J36" s="9"/>
      <c r="K36" s="9"/>
      <c r="L36" s="9"/>
      <c r="M36" s="9">
        <v>138757</v>
      </c>
      <c r="N36" s="9">
        <v>211489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163036</v>
      </c>
      <c r="C37" s="9">
        <v>535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29277</v>
      </c>
      <c r="N37" s="9">
        <v>192847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3899</v>
      </c>
      <c r="N38" s="9">
        <v>3899</v>
      </c>
      <c r="O38" s="17">
        <f>SUM(O31:O35)</f>
        <v>0.82082220520236926</v>
      </c>
      <c r="P38" s="17"/>
      <c r="Q38" s="3"/>
      <c r="R38" s="7" t="s">
        <v>51</v>
      </c>
      <c r="S38" s="19">
        <f>N45/1000</f>
        <v>109.18592</v>
      </c>
      <c r="T38" s="7"/>
    </row>
    <row r="39" spans="1:47">
      <c r="A39" s="5" t="s">
        <v>17</v>
      </c>
      <c r="B39" s="9">
        <v>361178</v>
      </c>
      <c r="C39" s="9">
        <v>493306</v>
      </c>
      <c r="D39" s="43">
        <v>0</v>
      </c>
      <c r="E39" s="43">
        <v>0</v>
      </c>
      <c r="F39" s="9">
        <v>40497</v>
      </c>
      <c r="G39" s="43">
        <f>SUM(G31:G38)</f>
        <v>66177</v>
      </c>
      <c r="H39" s="9">
        <v>0</v>
      </c>
      <c r="I39" s="9"/>
      <c r="J39" s="9"/>
      <c r="K39" s="41">
        <f>SUM(K32:K38)</f>
        <v>510376</v>
      </c>
      <c r="L39" s="9"/>
      <c r="M39" s="9">
        <v>806849</v>
      </c>
      <c r="N39" s="9">
        <v>2278385</v>
      </c>
      <c r="O39" s="3"/>
      <c r="P39" s="3"/>
      <c r="Q39" s="3"/>
      <c r="R39" s="7" t="s">
        <v>52</v>
      </c>
      <c r="S39" s="20">
        <f>N41/1000</f>
        <v>408.23500000000001</v>
      </c>
      <c r="T39" s="14">
        <f>O41</f>
        <v>0.17917735589024683</v>
      </c>
    </row>
    <row r="40" spans="1:47">
      <c r="R40" s="7" t="s">
        <v>53</v>
      </c>
      <c r="S40" s="20">
        <f>N35/1000</f>
        <v>180.16</v>
      </c>
      <c r="T40" s="15">
        <f>O35</f>
        <v>7.9073554293940668E-2</v>
      </c>
    </row>
    <row r="41" spans="1:47">
      <c r="A41" s="21" t="s">
        <v>54</v>
      </c>
      <c r="B41" s="22">
        <f>B38+B37+B36</f>
        <v>178676</v>
      </c>
      <c r="C41" s="22">
        <f t="shared" ref="C41:N41" si="0">C38+C37+C36</f>
        <v>1450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56177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171933</v>
      </c>
      <c r="N41" s="22">
        <f t="shared" si="0"/>
        <v>408235</v>
      </c>
      <c r="O41" s="16">
        <f>N41/N$39</f>
        <v>0.17917735589024683</v>
      </c>
      <c r="P41" s="16" t="s">
        <v>55</v>
      </c>
      <c r="Q41" s="7"/>
      <c r="R41" s="7" t="s">
        <v>56</v>
      </c>
      <c r="S41" s="20">
        <f>N33/1000</f>
        <v>150.49700000000001</v>
      </c>
      <c r="T41" s="14">
        <f>O33</f>
        <v>6.6054244563583414E-2</v>
      </c>
    </row>
    <row r="42" spans="1:47">
      <c r="A42" s="23" t="s">
        <v>57</v>
      </c>
      <c r="B42" s="22"/>
      <c r="C42" s="24">
        <f>C39+C23+C10</f>
        <v>504224</v>
      </c>
      <c r="D42" s="24">
        <f t="shared" ref="D42:L42" si="1">D39+D23+D10</f>
        <v>0</v>
      </c>
      <c r="E42" s="24">
        <f t="shared" si="1"/>
        <v>0</v>
      </c>
      <c r="F42" s="24">
        <f t="shared" si="1"/>
        <v>40497</v>
      </c>
      <c r="G42" s="24">
        <f t="shared" si="1"/>
        <v>261096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729730</v>
      </c>
      <c r="L42" s="24">
        <f t="shared" si="1"/>
        <v>0</v>
      </c>
      <c r="M42" s="24">
        <f>M39+M23-B6+M45</f>
        <v>861928.92</v>
      </c>
      <c r="N42" s="25">
        <f>SUM(C42:M42)</f>
        <v>2397475.92</v>
      </c>
      <c r="O42" s="7"/>
      <c r="P42" s="7"/>
      <c r="Q42" s="7"/>
      <c r="R42" s="7" t="s">
        <v>37</v>
      </c>
      <c r="S42" s="20">
        <f>N31/1000</f>
        <v>44.747</v>
      </c>
      <c r="T42" s="14">
        <f>O31</f>
        <v>1.9639788709985364E-2</v>
      </c>
    </row>
    <row r="43" spans="1:47">
      <c r="A43" s="23" t="s">
        <v>58</v>
      </c>
      <c r="B43" s="22"/>
      <c r="C43" s="16">
        <f t="shared" ref="C43:M43" si="2">C42/$N42</f>
        <v>0.21031452111519019</v>
      </c>
      <c r="D43" s="16">
        <f t="shared" si="2"/>
        <v>0</v>
      </c>
      <c r="E43" s="16">
        <f t="shared" si="2"/>
        <v>0</v>
      </c>
      <c r="F43" s="16">
        <f t="shared" si="2"/>
        <v>1.68915148061216E-2</v>
      </c>
      <c r="G43" s="16">
        <f t="shared" si="2"/>
        <v>0.10890453489935366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0.30437427709388631</v>
      </c>
      <c r="L43" s="16">
        <f t="shared" si="2"/>
        <v>0</v>
      </c>
      <c r="M43" s="16">
        <f t="shared" si="2"/>
        <v>0.35951515208544832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1047.9559999999999</v>
      </c>
      <c r="T43" s="15">
        <f>O32</f>
        <v>0.45995562646348181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446.78899999999999</v>
      </c>
      <c r="T44" s="15">
        <f>O34</f>
        <v>0.19609899117137797</v>
      </c>
    </row>
    <row r="45" spans="1:47">
      <c r="A45" s="6" t="s">
        <v>61</v>
      </c>
      <c r="B45" s="6">
        <f>B23-B39</f>
        <v>44638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64547.92</v>
      </c>
      <c r="N45" s="25">
        <f>B45+M45</f>
        <v>109185.92</v>
      </c>
      <c r="O45" s="7"/>
      <c r="P45" s="7"/>
      <c r="Q45" s="7"/>
      <c r="R45" s="7" t="s">
        <v>62</v>
      </c>
      <c r="S45" s="20">
        <f>SUM(S39:S44)</f>
        <v>2278.384</v>
      </c>
      <c r="T45" s="14">
        <f>SUM(T39:T44)</f>
        <v>0.99999956109261601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8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 enableFormatConditionsCalculation="0"/>
  <dimension ref="A1:AU70"/>
  <sheetViews>
    <sheetView topLeftCell="A13" workbookViewId="0">
      <selection activeCell="B22" sqref="B22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108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1676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35503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37179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f>35958+5028</f>
        <v>40986</v>
      </c>
      <c r="C18" s="9">
        <v>5950</v>
      </c>
      <c r="D18" s="9">
        <v>0</v>
      </c>
      <c r="E18" s="9">
        <v>0</v>
      </c>
      <c r="F18" s="9">
        <v>0</v>
      </c>
      <c r="G18" s="9">
        <v>41309</v>
      </c>
      <c r="H18" s="9">
        <v>0</v>
      </c>
      <c r="I18" s="9"/>
      <c r="J18" s="9"/>
      <c r="K18" s="9"/>
      <c r="L18" s="9"/>
      <c r="M18" s="9"/>
      <c r="N18" s="9">
        <v>47259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40986</v>
      </c>
      <c r="C23" s="9">
        <v>5950</v>
      </c>
      <c r="D23" s="9">
        <v>0</v>
      </c>
      <c r="E23" s="9">
        <v>0</v>
      </c>
      <c r="F23" s="9">
        <v>0</v>
      </c>
      <c r="G23" s="9">
        <v>41309</v>
      </c>
      <c r="H23" s="9">
        <v>0</v>
      </c>
      <c r="I23" s="9"/>
      <c r="J23" s="9"/>
      <c r="K23" s="9"/>
      <c r="L23" s="9"/>
      <c r="M23" s="9"/>
      <c r="N23" s="9">
        <v>47259</v>
      </c>
      <c r="O23" s="3"/>
      <c r="P23" s="3"/>
      <c r="Q23" s="3"/>
      <c r="R23" s="3" t="s">
        <v>27</v>
      </c>
      <c r="S23" s="12">
        <f>N42/1000</f>
        <v>245.67743999999999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102.13344000000001</v>
      </c>
      <c r="T26" s="14">
        <f>M43</f>
        <v>0.41572168775448004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60.444000000000003</v>
      </c>
      <c r="T27" s="15">
        <f>G43</f>
        <v>0.24602991630000703</v>
      </c>
    </row>
    <row r="28" spans="1:20">
      <c r="A28" s="4" t="s">
        <v>108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5.4589999999999996</v>
      </c>
      <c r="T29" s="14">
        <f>F43</f>
        <v>2.2220192460488029E-2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5.4619999999999962</v>
      </c>
      <c r="T30" s="14">
        <f>E43</f>
        <v>2.2232403593915651E-2</v>
      </c>
    </row>
    <row r="31" spans="1:20">
      <c r="A31" s="5" t="s">
        <v>36</v>
      </c>
      <c r="B31" s="9">
        <v>0</v>
      </c>
      <c r="C31" s="43">
        <f>(N31-M31)*10394/(10394+1076)</f>
        <v>10467.40139494333</v>
      </c>
      <c r="D31" s="9">
        <v>0</v>
      </c>
      <c r="E31" s="9">
        <v>0</v>
      </c>
      <c r="F31" s="43">
        <f>(N31-M31)*1076/(10394+1076)</f>
        <v>1083.5986050566696</v>
      </c>
      <c r="G31" s="9">
        <v>0</v>
      </c>
      <c r="H31" s="9">
        <v>0</v>
      </c>
      <c r="I31" s="9"/>
      <c r="J31" s="9"/>
      <c r="K31" s="9"/>
      <c r="L31" s="9"/>
      <c r="M31" s="9">
        <v>10841</v>
      </c>
      <c r="N31" s="9">
        <v>22392</v>
      </c>
      <c r="O31" s="16">
        <f>N31/N$39</f>
        <v>0.10045940707774029</v>
      </c>
      <c r="P31" s="17" t="s">
        <v>37</v>
      </c>
      <c r="Q31" s="3"/>
      <c r="R31" s="3" t="s">
        <v>38</v>
      </c>
      <c r="S31" s="13">
        <f>C42/1000</f>
        <v>72.179000000000002</v>
      </c>
      <c r="T31" s="15">
        <f>C43</f>
        <v>0.29379579989110927</v>
      </c>
    </row>
    <row r="32" spans="1:20">
      <c r="A32" s="5" t="s">
        <v>39</v>
      </c>
      <c r="B32" s="9">
        <v>1655</v>
      </c>
      <c r="C32" s="43">
        <f>C39-SUM(C31,C33:C38)</f>
        <v>1775.5986050566717</v>
      </c>
      <c r="D32" s="9">
        <v>0</v>
      </c>
      <c r="E32" s="43">
        <f>N32-SUM(F32:M32,B32:D32)</f>
        <v>5461.9999999999964</v>
      </c>
      <c r="F32" s="43">
        <f>F39-F34-F31</f>
        <v>183.40139494333039</v>
      </c>
      <c r="G32" s="43">
        <v>0</v>
      </c>
      <c r="H32" s="9">
        <v>0</v>
      </c>
      <c r="I32" s="9"/>
      <c r="J32" s="9"/>
      <c r="K32" s="9"/>
      <c r="L32" s="9"/>
      <c r="M32" s="9">
        <v>26994</v>
      </c>
      <c r="N32" s="9">
        <v>36070</v>
      </c>
      <c r="O32" s="16">
        <f>N32/N$39</f>
        <v>0.16182434857512024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4930</v>
      </c>
      <c r="C33" s="9">
        <v>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10090</v>
      </c>
      <c r="N33" s="9">
        <v>15028</v>
      </c>
      <c r="O33" s="16">
        <f>N33/N$39</f>
        <v>6.7421577776182615E-2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46737</v>
      </c>
      <c r="D34" s="9">
        <v>0</v>
      </c>
      <c r="E34" s="9">
        <v>0</v>
      </c>
      <c r="F34" s="9">
        <v>4192</v>
      </c>
      <c r="G34" s="9">
        <v>0</v>
      </c>
      <c r="H34" s="9">
        <v>0</v>
      </c>
      <c r="I34" s="9"/>
      <c r="J34" s="9"/>
      <c r="K34" s="9"/>
      <c r="L34" s="9"/>
      <c r="M34" s="9">
        <v>94</v>
      </c>
      <c r="N34" s="9">
        <v>51023</v>
      </c>
      <c r="O34" s="16">
        <f>N34/N$39</f>
        <v>0.22890944655803602</v>
      </c>
      <c r="P34" s="17" t="s">
        <v>45</v>
      </c>
      <c r="Q34" s="3"/>
      <c r="R34" s="3"/>
      <c r="S34" s="13">
        <f>SUM(S26:S33)</f>
        <v>245.67744000000002</v>
      </c>
      <c r="T34" s="14">
        <f>SUM(T26:T33)</f>
        <v>1</v>
      </c>
    </row>
    <row r="35" spans="1:47">
      <c r="A35" s="5" t="s">
        <v>46</v>
      </c>
      <c r="B35" s="9">
        <v>3190</v>
      </c>
      <c r="C35" s="9">
        <v>7030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10894</v>
      </c>
      <c r="N35" s="9">
        <v>21114</v>
      </c>
      <c r="O35" s="16">
        <f>N35/N$39</f>
        <v>9.4725791400473769E-2</v>
      </c>
      <c r="P35" s="17" t="s">
        <v>47</v>
      </c>
      <c r="Q35" s="17"/>
    </row>
    <row r="36" spans="1:47">
      <c r="A36" s="5" t="s">
        <v>48</v>
      </c>
      <c r="B36" s="9">
        <v>8180</v>
      </c>
      <c r="C36" s="43">
        <v>61</v>
      </c>
      <c r="D36" s="9">
        <v>0</v>
      </c>
      <c r="E36" s="9">
        <v>0</v>
      </c>
      <c r="F36" s="9">
        <v>0</v>
      </c>
      <c r="G36" s="43">
        <f>N36-SUM(H36:M36,B36:E36)</f>
        <v>19135</v>
      </c>
      <c r="H36" s="9">
        <v>0</v>
      </c>
      <c r="I36" s="9"/>
      <c r="J36" s="9"/>
      <c r="K36" s="9"/>
      <c r="L36" s="9"/>
      <c r="M36" s="9">
        <v>28054</v>
      </c>
      <c r="N36" s="9">
        <v>55430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14089</v>
      </c>
      <c r="C37" s="9">
        <v>149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4672</v>
      </c>
      <c r="N37" s="9">
        <v>18910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2930</v>
      </c>
      <c r="N38" s="9">
        <v>2930</v>
      </c>
      <c r="O38" s="17">
        <f>SUM(O31:O35)</f>
        <v>0.65334057138755297</v>
      </c>
      <c r="P38" s="17"/>
      <c r="Q38" s="3"/>
      <c r="R38" s="7" t="s">
        <v>51</v>
      </c>
      <c r="S38" s="19">
        <f>N45/1000</f>
        <v>16.507440000000003</v>
      </c>
      <c r="T38" s="7"/>
    </row>
    <row r="39" spans="1:47">
      <c r="A39" s="5" t="s">
        <v>17</v>
      </c>
      <c r="B39" s="9">
        <v>32044</v>
      </c>
      <c r="C39" s="9">
        <v>66229</v>
      </c>
      <c r="D39" s="9">
        <v>0</v>
      </c>
      <c r="E39" s="43">
        <f>SUM(E31:E38)</f>
        <v>5461.9999999999964</v>
      </c>
      <c r="F39" s="9">
        <v>5459</v>
      </c>
      <c r="G39" s="43">
        <f>SUM(G31:G38)</f>
        <v>19135</v>
      </c>
      <c r="H39" s="9">
        <v>0</v>
      </c>
      <c r="I39" s="9"/>
      <c r="J39" s="9"/>
      <c r="K39" s="9"/>
      <c r="L39" s="9"/>
      <c r="M39" s="9">
        <v>94568</v>
      </c>
      <c r="N39" s="9">
        <v>222896</v>
      </c>
      <c r="O39" s="3"/>
      <c r="P39" s="3"/>
      <c r="Q39" s="3"/>
      <c r="R39" s="7" t="s">
        <v>52</v>
      </c>
      <c r="S39" s="20">
        <f>N41/1000</f>
        <v>77.27</v>
      </c>
      <c r="T39" s="14">
        <f>O41</f>
        <v>0.34666391500969063</v>
      </c>
    </row>
    <row r="40" spans="1:47">
      <c r="R40" s="7" t="s">
        <v>53</v>
      </c>
      <c r="S40" s="20">
        <f>N35/1000</f>
        <v>21.114000000000001</v>
      </c>
      <c r="T40" s="15">
        <f>O35</f>
        <v>9.4725791400473769E-2</v>
      </c>
    </row>
    <row r="41" spans="1:47">
      <c r="A41" s="21" t="s">
        <v>54</v>
      </c>
      <c r="B41" s="22">
        <f>B38+B37+B36</f>
        <v>22269</v>
      </c>
      <c r="C41" s="22">
        <f t="shared" ref="C41:N41" si="0">C38+C37+C36</f>
        <v>210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19135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35656</v>
      </c>
      <c r="N41" s="22">
        <f t="shared" si="0"/>
        <v>77270</v>
      </c>
      <c r="O41" s="16">
        <f>N41/N$39</f>
        <v>0.34666391500969063</v>
      </c>
      <c r="P41" s="16" t="s">
        <v>55</v>
      </c>
      <c r="Q41" s="7"/>
      <c r="R41" s="7" t="s">
        <v>56</v>
      </c>
      <c r="S41" s="20">
        <f>N33/1000</f>
        <v>15.028</v>
      </c>
      <c r="T41" s="14">
        <f>O33</f>
        <v>6.7421577776182615E-2</v>
      </c>
    </row>
    <row r="42" spans="1:47">
      <c r="A42" s="23" t="s">
        <v>57</v>
      </c>
      <c r="B42" s="22"/>
      <c r="C42" s="24">
        <f>C39+C23+C10</f>
        <v>72179</v>
      </c>
      <c r="D42" s="24">
        <f t="shared" ref="D42:L42" si="1">D39+D23+D10</f>
        <v>0</v>
      </c>
      <c r="E42" s="24">
        <f t="shared" si="1"/>
        <v>5461.9999999999964</v>
      </c>
      <c r="F42" s="24">
        <f t="shared" si="1"/>
        <v>5459</v>
      </c>
      <c r="G42" s="24">
        <f t="shared" si="1"/>
        <v>60444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102133.44</v>
      </c>
      <c r="N42" s="25">
        <f>SUM(C42:M42)</f>
        <v>245677.44</v>
      </c>
      <c r="O42" s="7"/>
      <c r="P42" s="7"/>
      <c r="Q42" s="7"/>
      <c r="R42" s="7" t="s">
        <v>37</v>
      </c>
      <c r="S42" s="20">
        <f>N31/1000</f>
        <v>22.391999999999999</v>
      </c>
      <c r="T42" s="14">
        <f>O31</f>
        <v>0.10045940707774029</v>
      </c>
    </row>
    <row r="43" spans="1:47">
      <c r="A43" s="23" t="s">
        <v>58</v>
      </c>
      <c r="B43" s="22"/>
      <c r="C43" s="16">
        <f t="shared" ref="C43:M43" si="2">C42/$N42</f>
        <v>0.29379579989110927</v>
      </c>
      <c r="D43" s="16">
        <f t="shared" si="2"/>
        <v>0</v>
      </c>
      <c r="E43" s="16">
        <f t="shared" si="2"/>
        <v>2.2232403593915651E-2</v>
      </c>
      <c r="F43" s="16">
        <f t="shared" si="2"/>
        <v>2.2220192460488029E-2</v>
      </c>
      <c r="G43" s="16">
        <f t="shared" si="2"/>
        <v>0.24602991630000703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0.41572168775448004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36.07</v>
      </c>
      <c r="T43" s="15">
        <f>O32</f>
        <v>0.16182434857512024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51.023000000000003</v>
      </c>
      <c r="T44" s="15">
        <f>O34</f>
        <v>0.22890944655803602</v>
      </c>
    </row>
    <row r="45" spans="1:47">
      <c r="A45" s="6" t="s">
        <v>61</v>
      </c>
      <c r="B45" s="6">
        <f>B23-B39</f>
        <v>8942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7565.4400000000005</v>
      </c>
      <c r="N45" s="25">
        <f>B45+M45</f>
        <v>16507.440000000002</v>
      </c>
      <c r="O45" s="7"/>
      <c r="P45" s="7"/>
      <c r="Q45" s="7"/>
      <c r="R45" s="7" t="s">
        <v>62</v>
      </c>
      <c r="S45" s="20">
        <f>SUM(S39:S44)</f>
        <v>222.89699999999999</v>
      </c>
      <c r="T45" s="14">
        <f>SUM(T39:T44)</f>
        <v>1.0000044863972435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 enableFormatConditionsCalculation="0"/>
  <dimension ref="A1:AU70"/>
  <sheetViews>
    <sheetView topLeftCell="A17" workbookViewId="0">
      <selection activeCell="K23" sqref="K23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109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3137</v>
      </c>
      <c r="C6" s="9">
        <v>0</v>
      </c>
      <c r="D6" s="41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1466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3283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7886</v>
      </c>
      <c r="C10" s="9">
        <v>0</v>
      </c>
      <c r="D10" s="41">
        <v>0</v>
      </c>
      <c r="E10" s="9">
        <v>0</v>
      </c>
      <c r="F10" s="9">
        <v>0</v>
      </c>
      <c r="G10" s="41">
        <v>0</v>
      </c>
      <c r="H10" s="9">
        <v>0</v>
      </c>
      <c r="I10" s="9"/>
      <c r="J10" s="9"/>
      <c r="K10" s="9"/>
      <c r="L10" s="9"/>
      <c r="M10" s="9"/>
      <c r="N10" s="41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109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63600</v>
      </c>
      <c r="C17" s="9">
        <v>786</v>
      </c>
      <c r="D17" s="41">
        <v>0</v>
      </c>
      <c r="E17" s="9">
        <v>0</v>
      </c>
      <c r="F17" s="9">
        <v>0</v>
      </c>
      <c r="G17" s="9">
        <f>62866+3020+538+18920-K17</f>
        <v>57744</v>
      </c>
      <c r="H17" s="9">
        <v>0</v>
      </c>
      <c r="I17" s="9"/>
      <c r="J17" s="9"/>
      <c r="K17" s="41">
        <v>27600</v>
      </c>
      <c r="L17" s="9"/>
      <c r="M17" s="9"/>
      <c r="N17" s="41">
        <f>82572+3558</f>
        <v>86130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63600</v>
      </c>
      <c r="C23" s="9">
        <v>786</v>
      </c>
      <c r="D23" s="41">
        <v>0</v>
      </c>
      <c r="E23" s="9">
        <v>0</v>
      </c>
      <c r="F23" s="9">
        <v>0</v>
      </c>
      <c r="G23" s="41">
        <f>SUM(G17:G22)</f>
        <v>57744</v>
      </c>
      <c r="H23" s="9">
        <v>0</v>
      </c>
      <c r="I23" s="9"/>
      <c r="J23" s="9"/>
      <c r="K23" s="41">
        <f>SUM(K17:K22)</f>
        <v>27600</v>
      </c>
      <c r="L23" s="9"/>
      <c r="M23" s="9"/>
      <c r="N23" s="41">
        <f>SUM(N17:N22)</f>
        <v>86130</v>
      </c>
      <c r="O23" s="3"/>
      <c r="P23" s="3"/>
      <c r="Q23" s="3"/>
      <c r="R23" s="3" t="s">
        <v>27</v>
      </c>
      <c r="S23" s="12">
        <f>N42/1000</f>
        <v>381.55707999999998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137.02107999999998</v>
      </c>
      <c r="T26" s="14">
        <f>M43</f>
        <v>0.35911030664140736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99.524426187419792</v>
      </c>
      <c r="T27" s="15">
        <f>G43</f>
        <v>0.26083758211856484</v>
      </c>
    </row>
    <row r="28" spans="1:20">
      <c r="A28" s="4" t="s">
        <v>109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9.3219999999999992</v>
      </c>
      <c r="T29" s="14">
        <f>F43</f>
        <v>2.4431469074037367E-2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2.7E-2</v>
      </c>
      <c r="T30" s="14">
        <f>E43</f>
        <v>7.0762675927806142E-5</v>
      </c>
    </row>
    <row r="31" spans="1:20">
      <c r="A31" s="5" t="s">
        <v>36</v>
      </c>
      <c r="B31" s="9">
        <v>0</v>
      </c>
      <c r="C31" s="43">
        <v>15852.5738125802</v>
      </c>
      <c r="D31" s="9">
        <v>0</v>
      </c>
      <c r="E31" s="9">
        <v>0</v>
      </c>
      <c r="F31" s="9">
        <v>1635</v>
      </c>
      <c r="G31" s="9">
        <v>0</v>
      </c>
      <c r="H31" s="9">
        <v>0</v>
      </c>
      <c r="I31" s="9"/>
      <c r="J31" s="9"/>
      <c r="K31" s="9"/>
      <c r="L31" s="9"/>
      <c r="M31" s="9">
        <v>9521</v>
      </c>
      <c r="N31" s="43">
        <f>SUM(B31:M31)</f>
        <v>27008.573812580202</v>
      </c>
      <c r="O31" s="16">
        <f>N31/N$39</f>
        <v>7.8056980305771212E-2</v>
      </c>
      <c r="P31" s="17" t="s">
        <v>37</v>
      </c>
      <c r="Q31" s="3"/>
      <c r="R31" s="3" t="s">
        <v>38</v>
      </c>
      <c r="S31" s="13">
        <f>C42/1000</f>
        <v>108.0625738125802</v>
      </c>
      <c r="T31" s="15">
        <f>C43</f>
        <v>0.28321469965274976</v>
      </c>
    </row>
    <row r="32" spans="1:20">
      <c r="A32" s="5" t="s">
        <v>39</v>
      </c>
      <c r="B32" s="9">
        <v>24066</v>
      </c>
      <c r="C32" s="43">
        <v>1400</v>
      </c>
      <c r="D32" s="9">
        <v>0</v>
      </c>
      <c r="E32" s="43">
        <v>27</v>
      </c>
      <c r="F32" s="9">
        <v>55</v>
      </c>
      <c r="G32" s="43">
        <f>N32-SUM(H32:M32,B32:F32)</f>
        <v>928</v>
      </c>
      <c r="H32" s="9">
        <v>0</v>
      </c>
      <c r="I32" s="9"/>
      <c r="J32" s="9"/>
      <c r="K32" s="9"/>
      <c r="L32" s="9"/>
      <c r="M32" s="9">
        <v>36099</v>
      </c>
      <c r="N32" s="9">
        <v>62575</v>
      </c>
      <c r="O32" s="16">
        <f>N32/N$39</f>
        <v>0.18084685168968617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12024</v>
      </c>
      <c r="C33" s="9">
        <v>240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14388</v>
      </c>
      <c r="N33" s="9">
        <v>26652</v>
      </c>
      <c r="O33" s="16">
        <f>N33/N$39</f>
        <v>7.7026452916236762E-2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89097</v>
      </c>
      <c r="D34" s="9">
        <v>0</v>
      </c>
      <c r="E34" s="9">
        <v>0</v>
      </c>
      <c r="F34" s="9">
        <v>7633</v>
      </c>
      <c r="G34" s="9">
        <v>0</v>
      </c>
      <c r="H34" s="9">
        <v>0</v>
      </c>
      <c r="I34" s="9"/>
      <c r="J34" s="9"/>
      <c r="K34" s="9"/>
      <c r="L34" s="9"/>
      <c r="M34" s="9">
        <v>245</v>
      </c>
      <c r="N34" s="9">
        <v>96974</v>
      </c>
      <c r="O34" s="16">
        <f>N34/N$39</f>
        <v>0.28026276621263485</v>
      </c>
      <c r="P34" s="17" t="s">
        <v>45</v>
      </c>
      <c r="Q34" s="3"/>
      <c r="R34" s="3"/>
      <c r="S34" s="13">
        <f>SUM(S26:S33)</f>
        <v>353.95707999999996</v>
      </c>
      <c r="T34" s="14">
        <f>SUM(T26:T33)</f>
        <v>0.92766482016268714</v>
      </c>
    </row>
    <row r="35" spans="1:47">
      <c r="A35" s="5" t="s">
        <v>46</v>
      </c>
      <c r="B35" s="9">
        <v>3123</v>
      </c>
      <c r="C35" s="9">
        <v>139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20074</v>
      </c>
      <c r="N35" s="9">
        <v>23336</v>
      </c>
      <c r="O35" s="16">
        <f>N35/N$39</f>
        <v>6.7442942565409766E-2</v>
      </c>
      <c r="P35" s="17" t="s">
        <v>47</v>
      </c>
      <c r="Q35" s="17"/>
    </row>
    <row r="36" spans="1:47">
      <c r="A36" s="5" t="s">
        <v>48</v>
      </c>
      <c r="B36" s="9">
        <v>1334</v>
      </c>
      <c r="C36" s="9">
        <v>488</v>
      </c>
      <c r="D36" s="9">
        <v>0</v>
      </c>
      <c r="E36" s="9">
        <v>0</v>
      </c>
      <c r="F36" s="9">
        <v>0</v>
      </c>
      <c r="G36" s="43">
        <f>N36-M36-C36-B36</f>
        <v>40852.426187419798</v>
      </c>
      <c r="H36" s="9">
        <v>0</v>
      </c>
      <c r="I36" s="9"/>
      <c r="J36" s="9"/>
      <c r="K36" s="9"/>
      <c r="L36" s="9"/>
      <c r="M36" s="9">
        <v>39700</v>
      </c>
      <c r="N36" s="43">
        <f>N39-N38-N37-N35-N34-N33-N32-N31</f>
        <v>82374.426187419798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17282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7674</v>
      </c>
      <c r="N37" s="9">
        <v>25016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2075</v>
      </c>
      <c r="N38" s="9">
        <v>2075</v>
      </c>
      <c r="O38" s="17">
        <f>SUM(O31:O35)</f>
        <v>0.68363599368973871</v>
      </c>
      <c r="P38" s="17"/>
      <c r="Q38" s="3"/>
      <c r="R38" s="7" t="s">
        <v>51</v>
      </c>
      <c r="S38" s="19">
        <f>N45/1000</f>
        <v>16.153079999999999</v>
      </c>
      <c r="T38" s="7"/>
    </row>
    <row r="39" spans="1:47">
      <c r="A39" s="5" t="s">
        <v>17</v>
      </c>
      <c r="B39" s="9">
        <v>57829</v>
      </c>
      <c r="C39" s="43">
        <f>SUM(C31:C38)</f>
        <v>107276.5738125802</v>
      </c>
      <c r="D39" s="9">
        <v>0</v>
      </c>
      <c r="E39" s="43">
        <f>SUM(E31:E38)</f>
        <v>27</v>
      </c>
      <c r="F39" s="9">
        <v>9322</v>
      </c>
      <c r="G39" s="43">
        <f>SUM(G31:G38)</f>
        <v>41780.426187419798</v>
      </c>
      <c r="H39" s="9">
        <v>0</v>
      </c>
      <c r="I39" s="9"/>
      <c r="J39" s="9"/>
      <c r="K39" s="9"/>
      <c r="L39" s="9"/>
      <c r="M39" s="9">
        <v>129776</v>
      </c>
      <c r="N39" s="9">
        <v>346011</v>
      </c>
      <c r="O39" s="3"/>
      <c r="P39" s="3"/>
      <c r="Q39" s="3"/>
      <c r="R39" s="7" t="s">
        <v>52</v>
      </c>
      <c r="S39" s="20">
        <f>N41/1000</f>
        <v>109.46542618741979</v>
      </c>
      <c r="T39" s="14">
        <f>O41</f>
        <v>0.31636400631026124</v>
      </c>
    </row>
    <row r="40" spans="1:47">
      <c r="R40" s="7" t="s">
        <v>53</v>
      </c>
      <c r="S40" s="20">
        <f>N35/1000</f>
        <v>23.335999999999999</v>
      </c>
      <c r="T40" s="15">
        <f>O35</f>
        <v>6.7442942565409766E-2</v>
      </c>
    </row>
    <row r="41" spans="1:47">
      <c r="A41" s="21" t="s">
        <v>54</v>
      </c>
      <c r="B41" s="22">
        <f>B38+B37+B36</f>
        <v>18616</v>
      </c>
      <c r="C41" s="22">
        <f t="shared" ref="C41:N41" si="0">C38+C37+C36</f>
        <v>548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40852.426187419798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49449</v>
      </c>
      <c r="N41" s="22">
        <f t="shared" si="0"/>
        <v>109465.4261874198</v>
      </c>
      <c r="O41" s="16">
        <f>N41/N$39</f>
        <v>0.31636400631026124</v>
      </c>
      <c r="P41" s="16" t="s">
        <v>55</v>
      </c>
      <c r="Q41" s="7"/>
      <c r="R41" s="7" t="s">
        <v>56</v>
      </c>
      <c r="S41" s="20">
        <f>N33/1000</f>
        <v>26.652000000000001</v>
      </c>
      <c r="T41" s="14">
        <f>O33</f>
        <v>7.7026452916236762E-2</v>
      </c>
    </row>
    <row r="42" spans="1:47">
      <c r="A42" s="23" t="s">
        <v>57</v>
      </c>
      <c r="B42" s="22"/>
      <c r="C42" s="24">
        <f>C39+C23+C10</f>
        <v>108062.5738125802</v>
      </c>
      <c r="D42" s="24">
        <f t="shared" ref="D42:L42" si="1">D39+D23+D10</f>
        <v>0</v>
      </c>
      <c r="E42" s="24">
        <f t="shared" si="1"/>
        <v>27</v>
      </c>
      <c r="F42" s="24">
        <f t="shared" si="1"/>
        <v>9322</v>
      </c>
      <c r="G42" s="24">
        <f t="shared" si="1"/>
        <v>99524.426187419798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27600</v>
      </c>
      <c r="L42" s="24">
        <f t="shared" si="1"/>
        <v>0</v>
      </c>
      <c r="M42" s="24">
        <f>M39+M23-B6+M45</f>
        <v>137021.07999999999</v>
      </c>
      <c r="N42" s="25">
        <f>SUM(C42:M42)</f>
        <v>381557.07999999996</v>
      </c>
      <c r="O42" s="7"/>
      <c r="P42" s="7"/>
      <c r="Q42" s="7"/>
      <c r="R42" s="7" t="s">
        <v>37</v>
      </c>
      <c r="S42" s="20">
        <f>N31/1000</f>
        <v>27.008573812580202</v>
      </c>
      <c r="T42" s="14">
        <f>O31</f>
        <v>7.8056980305771212E-2</v>
      </c>
    </row>
    <row r="43" spans="1:47">
      <c r="A43" s="23" t="s">
        <v>58</v>
      </c>
      <c r="B43" s="22"/>
      <c r="C43" s="16">
        <f t="shared" ref="C43:M43" si="2">C42/$N42</f>
        <v>0.28321469965274976</v>
      </c>
      <c r="D43" s="16">
        <f t="shared" si="2"/>
        <v>0</v>
      </c>
      <c r="E43" s="16">
        <f t="shared" si="2"/>
        <v>7.0762675927806142E-5</v>
      </c>
      <c r="F43" s="16">
        <f t="shared" si="2"/>
        <v>2.4431469074037367E-2</v>
      </c>
      <c r="G43" s="16">
        <f t="shared" si="2"/>
        <v>0.26083758211856484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7.2335179837312941E-2</v>
      </c>
      <c r="L43" s="16">
        <f t="shared" si="2"/>
        <v>0</v>
      </c>
      <c r="M43" s="16">
        <f t="shared" si="2"/>
        <v>0.35911030664140736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62.575000000000003</v>
      </c>
      <c r="T43" s="15">
        <f>O32</f>
        <v>0.18084685168968617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96.974000000000004</v>
      </c>
      <c r="T44" s="15">
        <f>O34</f>
        <v>0.28026276621263485</v>
      </c>
    </row>
    <row r="45" spans="1:47">
      <c r="A45" s="6" t="s">
        <v>61</v>
      </c>
      <c r="B45" s="6">
        <f>B23-B39</f>
        <v>5771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10382.08</v>
      </c>
      <c r="N45" s="25">
        <f>B45+M45</f>
        <v>16153.08</v>
      </c>
      <c r="O45" s="7"/>
      <c r="P45" s="7"/>
      <c r="Q45" s="7"/>
      <c r="R45" s="7" t="s">
        <v>62</v>
      </c>
      <c r="S45" s="20">
        <f>SUM(S39:S44)</f>
        <v>346.01099999999997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3" width="8.83203125" style="2"/>
    <col min="14" max="14" width="9.8320312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65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2829</v>
      </c>
      <c r="C7" s="9">
        <v>10600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10600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2829</v>
      </c>
      <c r="C10" s="9">
        <v>10600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10600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2300</v>
      </c>
      <c r="C18" s="9">
        <v>0</v>
      </c>
      <c r="D18" s="9">
        <v>0</v>
      </c>
      <c r="E18" s="9">
        <v>2596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2596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91800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94100</v>
      </c>
      <c r="C23" s="9">
        <v>0</v>
      </c>
      <c r="D23" s="9">
        <v>0</v>
      </c>
      <c r="E23" s="9">
        <v>2596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2596</v>
      </c>
      <c r="O23" s="3"/>
      <c r="P23" s="3"/>
      <c r="Q23" s="3"/>
      <c r="R23" s="3" t="s">
        <v>27</v>
      </c>
      <c r="S23" s="12">
        <f>N42/1000</f>
        <v>7406.3725999999997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2080.5066000000002</v>
      </c>
      <c r="T26" s="14">
        <f>M43</f>
        <v>0.28090763351549453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28.574000000000002</v>
      </c>
      <c r="T27" s="15">
        <f>G43</f>
        <v>3.8580289627880727E-3</v>
      </c>
    </row>
    <row r="28" spans="1:20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29.332999999999998</v>
      </c>
      <c r="T29" s="14">
        <f>F43</f>
        <v>3.960508279046075E-3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4833.6210000000001</v>
      </c>
      <c r="T30" s="14">
        <f>E43</f>
        <v>0.65263000675931426</v>
      </c>
    </row>
    <row r="31" spans="1:20">
      <c r="A31" s="5" t="s">
        <v>36</v>
      </c>
      <c r="B31" s="9">
        <v>0</v>
      </c>
      <c r="C31" s="9">
        <v>729</v>
      </c>
      <c r="D31" s="9">
        <v>0</v>
      </c>
      <c r="E31" s="9">
        <v>0</v>
      </c>
      <c r="F31" s="9">
        <v>79</v>
      </c>
      <c r="G31" s="9">
        <v>0</v>
      </c>
      <c r="H31" s="9">
        <v>0</v>
      </c>
      <c r="I31" s="9"/>
      <c r="J31" s="9"/>
      <c r="K31" s="9"/>
      <c r="L31" s="9"/>
      <c r="M31" s="9">
        <v>3957</v>
      </c>
      <c r="N31" s="9">
        <v>4765</v>
      </c>
      <c r="O31" s="16">
        <f>N31/N$39</f>
        <v>6.5138030425543401E-4</v>
      </c>
      <c r="P31" s="17" t="s">
        <v>37</v>
      </c>
      <c r="Q31" s="3"/>
      <c r="R31" s="3" t="s">
        <v>38</v>
      </c>
      <c r="S31" s="13">
        <f>C42/1000</f>
        <v>434.33800000000002</v>
      </c>
      <c r="T31" s="15">
        <f>C43</f>
        <v>5.8643822483357103E-2</v>
      </c>
    </row>
    <row r="32" spans="1:20">
      <c r="A32" s="5" t="s">
        <v>39</v>
      </c>
      <c r="B32" s="9">
        <v>1745</v>
      </c>
      <c r="C32" s="43">
        <f>C39-SUM(C31,C33:C38)</f>
        <v>125145</v>
      </c>
      <c r="D32" s="9">
        <v>0</v>
      </c>
      <c r="E32" s="43">
        <f>N32-SUM(F32:M32,B32:D32)</f>
        <v>4831025</v>
      </c>
      <c r="F32" s="9">
        <v>638</v>
      </c>
      <c r="G32" s="43">
        <v>0</v>
      </c>
      <c r="H32" s="43">
        <v>0</v>
      </c>
      <c r="I32" s="18"/>
      <c r="J32" s="18"/>
      <c r="K32" s="18"/>
      <c r="L32" s="9"/>
      <c r="M32" s="9">
        <v>1769498</v>
      </c>
      <c r="N32" s="9">
        <v>6728051</v>
      </c>
      <c r="O32" s="16">
        <f>N32/N$39</f>
        <v>0.91973135517861015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10819</v>
      </c>
      <c r="C33" s="9">
        <v>2661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19750</v>
      </c>
      <c r="N33" s="9">
        <v>33230</v>
      </c>
      <c r="O33" s="16">
        <f>N33/N$39</f>
        <v>4.5425745037582527E-3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294554</v>
      </c>
      <c r="D34" s="9">
        <v>0</v>
      </c>
      <c r="E34" s="9">
        <v>0</v>
      </c>
      <c r="F34" s="9">
        <v>28617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323170</v>
      </c>
      <c r="O34" s="16">
        <f>N34/N$39</f>
        <v>4.4177664832366972E-2</v>
      </c>
      <c r="P34" s="17" t="s">
        <v>45</v>
      </c>
      <c r="Q34" s="3"/>
      <c r="R34" s="3"/>
      <c r="S34" s="13">
        <f>SUM(S26:S33)</f>
        <v>7406.3726000000006</v>
      </c>
      <c r="T34" s="14">
        <f>SUM(T26:T33)</f>
        <v>1.0000000000000002</v>
      </c>
    </row>
    <row r="35" spans="1:47">
      <c r="A35" s="5" t="s">
        <v>46</v>
      </c>
      <c r="B35" s="9">
        <v>8013</v>
      </c>
      <c r="C35" s="9">
        <v>119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29835</v>
      </c>
      <c r="N35" s="9">
        <v>37967</v>
      </c>
      <c r="O35" s="16">
        <f>N35/N$39</f>
        <v>5.1901271797830141E-3</v>
      </c>
      <c r="P35" s="17" t="s">
        <v>47</v>
      </c>
      <c r="Q35" s="17"/>
    </row>
    <row r="36" spans="1:47">
      <c r="A36" s="5" t="s">
        <v>48</v>
      </c>
      <c r="B36" s="9">
        <v>17155</v>
      </c>
      <c r="C36" s="43">
        <v>520</v>
      </c>
      <c r="D36" s="9">
        <v>0</v>
      </c>
      <c r="E36" s="9">
        <v>0</v>
      </c>
      <c r="F36" s="9">
        <v>0</v>
      </c>
      <c r="G36" s="43">
        <f>N36-SUM(H36:M36,B36:F36)</f>
        <v>28574</v>
      </c>
      <c r="H36" s="9">
        <v>0</v>
      </c>
      <c r="I36" s="9"/>
      <c r="J36" s="9"/>
      <c r="K36" s="9"/>
      <c r="L36" s="9"/>
      <c r="M36" s="9">
        <v>79741</v>
      </c>
      <c r="N36" s="9">
        <v>125990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38438</v>
      </c>
      <c r="C37" s="9">
        <v>10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11863</v>
      </c>
      <c r="N37" s="9">
        <v>50311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11751</v>
      </c>
      <c r="N38" s="9">
        <v>11751</v>
      </c>
      <c r="O38" s="17">
        <f>SUM(O31:O35)</f>
        <v>0.97429310199877395</v>
      </c>
      <c r="P38" s="17"/>
      <c r="Q38" s="3"/>
      <c r="R38" s="7" t="s">
        <v>51</v>
      </c>
      <c r="S38" s="19">
        <f>N45/1000</f>
        <v>172.04160000000002</v>
      </c>
      <c r="T38" s="7"/>
    </row>
    <row r="39" spans="1:47">
      <c r="A39" s="5" t="s">
        <v>17</v>
      </c>
      <c r="B39" s="9">
        <v>76170</v>
      </c>
      <c r="C39" s="9">
        <v>423738</v>
      </c>
      <c r="D39" s="9">
        <v>0</v>
      </c>
      <c r="E39" s="43">
        <f>SUM(E31:E38)</f>
        <v>4831025</v>
      </c>
      <c r="F39" s="9">
        <v>29333</v>
      </c>
      <c r="G39" s="43">
        <f>SUM(G31:G38)</f>
        <v>28574</v>
      </c>
      <c r="H39" s="43">
        <f>SUM(H31:H38)</f>
        <v>0</v>
      </c>
      <c r="I39" s="18"/>
      <c r="J39" s="18"/>
      <c r="K39" s="18"/>
      <c r="L39" s="9"/>
      <c r="M39" s="9">
        <v>1926395</v>
      </c>
      <c r="N39" s="9">
        <v>7315235</v>
      </c>
      <c r="O39" s="3"/>
      <c r="P39" s="3"/>
      <c r="Q39" s="3"/>
      <c r="R39" s="7" t="s">
        <v>52</v>
      </c>
      <c r="S39" s="20">
        <f>N41/1000</f>
        <v>188.05199999999999</v>
      </c>
      <c r="T39" s="14">
        <f>O41</f>
        <v>2.5706898001226209E-2</v>
      </c>
    </row>
    <row r="40" spans="1:47">
      <c r="N40" s="10"/>
      <c r="R40" s="7" t="s">
        <v>53</v>
      </c>
      <c r="S40" s="20">
        <f>N35/1000</f>
        <v>37.966999999999999</v>
      </c>
      <c r="T40" s="15">
        <f>O35</f>
        <v>5.1901271797830141E-3</v>
      </c>
    </row>
    <row r="41" spans="1:47">
      <c r="A41" s="21" t="s">
        <v>54</v>
      </c>
      <c r="B41" s="22">
        <f>B38+B37+B36</f>
        <v>55593</v>
      </c>
      <c r="C41" s="22">
        <f t="shared" ref="C41:N41" si="0">C38+C37+C36</f>
        <v>530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28574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103355</v>
      </c>
      <c r="N41" s="22">
        <f t="shared" si="0"/>
        <v>188052</v>
      </c>
      <c r="O41" s="16">
        <f>N41/N$39</f>
        <v>2.5706898001226209E-2</v>
      </c>
      <c r="P41" s="16" t="s">
        <v>55</v>
      </c>
      <c r="Q41" s="7"/>
      <c r="R41" s="7" t="s">
        <v>56</v>
      </c>
      <c r="S41" s="20">
        <f>N33/1000</f>
        <v>33.229999999999997</v>
      </c>
      <c r="T41" s="14">
        <f>O33</f>
        <v>4.5425745037582527E-3</v>
      </c>
    </row>
    <row r="42" spans="1:47">
      <c r="A42" s="23" t="s">
        <v>57</v>
      </c>
      <c r="B42" s="22"/>
      <c r="C42" s="24">
        <f>C39+C23+C10</f>
        <v>434338</v>
      </c>
      <c r="D42" s="24">
        <f t="shared" ref="D42:L42" si="1">D39+D23+D10</f>
        <v>0</v>
      </c>
      <c r="E42" s="24">
        <f t="shared" si="1"/>
        <v>4833621</v>
      </c>
      <c r="F42" s="24">
        <f t="shared" si="1"/>
        <v>29333</v>
      </c>
      <c r="G42" s="24">
        <f t="shared" si="1"/>
        <v>28574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2080506.6</v>
      </c>
      <c r="N42" s="25">
        <f>SUM(C42:M42)</f>
        <v>7406372.5999999996</v>
      </c>
      <c r="O42" s="7"/>
      <c r="P42" s="7"/>
      <c r="Q42" s="7"/>
      <c r="R42" s="7" t="s">
        <v>37</v>
      </c>
      <c r="S42" s="20">
        <f>N31/1000</f>
        <v>4.7649999999999997</v>
      </c>
      <c r="T42" s="14">
        <f>O31</f>
        <v>6.5138030425543401E-4</v>
      </c>
    </row>
    <row r="43" spans="1:47">
      <c r="A43" s="23" t="s">
        <v>58</v>
      </c>
      <c r="B43" s="22"/>
      <c r="C43" s="16">
        <f t="shared" ref="C43:M43" si="2">C42/$N42</f>
        <v>5.8643822483357103E-2</v>
      </c>
      <c r="D43" s="16">
        <f t="shared" si="2"/>
        <v>0</v>
      </c>
      <c r="E43" s="16">
        <f t="shared" si="2"/>
        <v>0.65263000675931426</v>
      </c>
      <c r="F43" s="16">
        <f t="shared" si="2"/>
        <v>3.960508279046075E-3</v>
      </c>
      <c r="G43" s="16">
        <f t="shared" si="2"/>
        <v>3.8580289627880727E-3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0.28090763351549453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6728.0510000000004</v>
      </c>
      <c r="T43" s="15">
        <f>O32</f>
        <v>0.91973135517861015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323.17</v>
      </c>
      <c r="T44" s="15">
        <f>O34</f>
        <v>4.4177664832366972E-2</v>
      </c>
    </row>
    <row r="45" spans="1:47">
      <c r="A45" s="6" t="s">
        <v>61</v>
      </c>
      <c r="B45" s="6">
        <f>B23-B39</f>
        <v>17930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154111.6</v>
      </c>
      <c r="N45" s="25">
        <f>B45+M45</f>
        <v>172041.60000000001</v>
      </c>
      <c r="O45" s="7"/>
      <c r="P45" s="7"/>
      <c r="Q45" s="7"/>
      <c r="R45" s="7" t="s">
        <v>62</v>
      </c>
      <c r="S45" s="20">
        <f>SUM(S39:S44)</f>
        <v>7315.2350000000006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18">
        <f>N32-SUM(B32:M32)</f>
        <v>0</v>
      </c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 enableFormatConditionsCalculation="0"/>
  <dimension ref="A1:AU70"/>
  <sheetViews>
    <sheetView topLeftCell="A17"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110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7081</v>
      </c>
      <c r="C6" s="9">
        <v>0</v>
      </c>
      <c r="D6" s="9">
        <v>0</v>
      </c>
      <c r="E6" s="9">
        <v>0</v>
      </c>
      <c r="F6" s="9">
        <v>0</v>
      </c>
      <c r="G6" s="41">
        <v>0</v>
      </c>
      <c r="H6" s="9">
        <v>0</v>
      </c>
      <c r="I6" s="9"/>
      <c r="J6" s="9"/>
      <c r="K6" s="9"/>
      <c r="L6" s="9"/>
      <c r="M6" s="9"/>
      <c r="N6" s="41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595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98906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106582</v>
      </c>
      <c r="C10" s="9">
        <v>0</v>
      </c>
      <c r="D10" s="9">
        <v>0</v>
      </c>
      <c r="E10" s="9">
        <v>0</v>
      </c>
      <c r="F10" s="9">
        <v>0</v>
      </c>
      <c r="G10" s="41">
        <f>SUM(G6:G9)</f>
        <v>0</v>
      </c>
      <c r="H10" s="9">
        <v>0</v>
      </c>
      <c r="I10" s="9"/>
      <c r="J10" s="9"/>
      <c r="K10" s="9"/>
      <c r="L10" s="9"/>
      <c r="M10" s="9"/>
      <c r="N10" s="41">
        <f>SUM(N6:N9)</f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110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41">
        <f>69218+14000</f>
        <v>83218</v>
      </c>
      <c r="C17" s="9">
        <v>0</v>
      </c>
      <c r="D17" s="9">
        <v>0</v>
      </c>
      <c r="E17" s="9">
        <v>0</v>
      </c>
      <c r="F17" s="9">
        <v>0</v>
      </c>
      <c r="G17" s="41">
        <v>102303</v>
      </c>
      <c r="H17" s="9">
        <v>0</v>
      </c>
      <c r="I17" s="9"/>
      <c r="J17" s="9"/>
      <c r="K17" s="9"/>
      <c r="L17" s="9"/>
      <c r="M17" s="9"/>
      <c r="N17" s="41">
        <v>102303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f>63795</f>
        <v>63795</v>
      </c>
      <c r="C18" s="9">
        <v>348</v>
      </c>
      <c r="D18" s="9">
        <v>0</v>
      </c>
      <c r="E18" s="9">
        <v>0</v>
      </c>
      <c r="F18" s="9">
        <v>10720</v>
      </c>
      <c r="G18" s="9">
        <v>66627</v>
      </c>
      <c r="H18" s="9">
        <v>0</v>
      </c>
      <c r="I18" s="9"/>
      <c r="J18" s="9"/>
      <c r="K18" s="9"/>
      <c r="L18" s="9"/>
      <c r="M18" s="9"/>
      <c r="N18" s="9">
        <v>77695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4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147013</v>
      </c>
      <c r="C23" s="9">
        <v>348</v>
      </c>
      <c r="D23" s="9">
        <v>0</v>
      </c>
      <c r="E23" s="9">
        <v>0</v>
      </c>
      <c r="F23" s="9">
        <v>10720</v>
      </c>
      <c r="G23" s="41">
        <f>SUM(G17:G22)</f>
        <v>168930</v>
      </c>
      <c r="H23" s="9">
        <v>0</v>
      </c>
      <c r="I23" s="9"/>
      <c r="J23" s="9"/>
      <c r="K23" s="9"/>
      <c r="L23" s="9"/>
      <c r="M23" s="9"/>
      <c r="N23" s="41">
        <f>SUM(N17:N22)</f>
        <v>179998</v>
      </c>
      <c r="O23" s="3"/>
      <c r="P23" s="3"/>
      <c r="Q23" s="3"/>
      <c r="R23" s="3" t="s">
        <v>27</v>
      </c>
      <c r="S23" s="12">
        <f>N42/1000</f>
        <v>1146.84672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397.65871999999996</v>
      </c>
      <c r="T26" s="14">
        <f>M43</f>
        <v>0.34674094895610807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253.81899999999999</v>
      </c>
      <c r="T27" s="15">
        <f>G43</f>
        <v>0.22131902683560015</v>
      </c>
    </row>
    <row r="28" spans="1:20">
      <c r="A28" s="4" t="s">
        <v>110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49.241999999999997</v>
      </c>
      <c r="T29" s="14">
        <f>F43</f>
        <v>4.2936862565208365E-2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8.4440000000000008</v>
      </c>
      <c r="T30" s="14">
        <f>E43</f>
        <v>7.3627973579590477E-3</v>
      </c>
    </row>
    <row r="31" spans="1:20">
      <c r="A31" s="5" t="s">
        <v>36</v>
      </c>
      <c r="B31" s="9">
        <v>0</v>
      </c>
      <c r="C31" s="9">
        <v>42702</v>
      </c>
      <c r="D31" s="9">
        <v>0</v>
      </c>
      <c r="E31" s="9">
        <v>0</v>
      </c>
      <c r="F31" s="9">
        <v>4231</v>
      </c>
      <c r="G31" s="9">
        <v>0</v>
      </c>
      <c r="H31" s="9">
        <v>0</v>
      </c>
      <c r="I31" s="9"/>
      <c r="J31" s="9"/>
      <c r="K31" s="9"/>
      <c r="L31" s="9"/>
      <c r="M31" s="9">
        <v>29241</v>
      </c>
      <c r="N31" s="9">
        <v>76174</v>
      </c>
      <c r="O31" s="16">
        <f>N31/N$39</f>
        <v>7.1041334615373861E-2</v>
      </c>
      <c r="P31" s="17" t="s">
        <v>37</v>
      </c>
      <c r="Q31" s="3"/>
      <c r="R31" s="3" t="s">
        <v>38</v>
      </c>
      <c r="S31" s="13">
        <f>C42/1000</f>
        <v>437.68299999999999</v>
      </c>
      <c r="T31" s="15">
        <f>C43</f>
        <v>0.38164036428512438</v>
      </c>
    </row>
    <row r="32" spans="1:20">
      <c r="A32" s="5" t="s">
        <v>39</v>
      </c>
      <c r="B32" s="9">
        <v>10649</v>
      </c>
      <c r="C32" s="9">
        <v>19917</v>
      </c>
      <c r="D32" s="9">
        <v>0</v>
      </c>
      <c r="E32" s="43">
        <f>N32-SUM(F32:M32,B32:D32)</f>
        <v>8444</v>
      </c>
      <c r="F32" s="9">
        <v>616</v>
      </c>
      <c r="G32" s="43">
        <v>15000</v>
      </c>
      <c r="H32" s="9">
        <v>0</v>
      </c>
      <c r="I32" s="9"/>
      <c r="J32" s="9"/>
      <c r="K32" s="9"/>
      <c r="L32" s="9"/>
      <c r="M32" s="9">
        <v>102403</v>
      </c>
      <c r="N32" s="9">
        <v>157029</v>
      </c>
      <c r="O32" s="16">
        <f>N32/N$39</f>
        <v>0.14644825968594982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21683</v>
      </c>
      <c r="C33" s="9">
        <v>191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30509</v>
      </c>
      <c r="N33" s="9">
        <v>52383</v>
      </c>
      <c r="O33" s="16">
        <f>N33/N$39</f>
        <v>4.8853391329812382E-2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362775</v>
      </c>
      <c r="D34" s="9">
        <v>0</v>
      </c>
      <c r="E34" s="9">
        <v>0</v>
      </c>
      <c r="F34" s="9">
        <v>33675</v>
      </c>
      <c r="G34" s="9">
        <v>0</v>
      </c>
      <c r="H34" s="9">
        <v>0</v>
      </c>
      <c r="I34" s="9"/>
      <c r="J34" s="9"/>
      <c r="K34" s="9"/>
      <c r="L34" s="9"/>
      <c r="M34" s="9">
        <v>40593</v>
      </c>
      <c r="N34" s="9">
        <v>437044</v>
      </c>
      <c r="O34" s="16">
        <f>N34/N$39</f>
        <v>0.40759562377768599</v>
      </c>
      <c r="P34" s="17" t="s">
        <v>45</v>
      </c>
      <c r="Q34" s="3"/>
      <c r="R34" s="3"/>
      <c r="S34" s="13">
        <f>SUM(S26:S33)</f>
        <v>1146.84672</v>
      </c>
      <c r="T34" s="14">
        <f>SUM(T26:T33)</f>
        <v>1</v>
      </c>
    </row>
    <row r="35" spans="1:47">
      <c r="A35" s="5" t="s">
        <v>46</v>
      </c>
      <c r="B35" s="9">
        <v>21811</v>
      </c>
      <c r="C35" s="9">
        <v>2971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57884</v>
      </c>
      <c r="N35" s="9">
        <v>82666</v>
      </c>
      <c r="O35" s="16">
        <f>N35/N$39</f>
        <v>7.7095898434039106E-2</v>
      </c>
      <c r="P35" s="17" t="s">
        <v>47</v>
      </c>
      <c r="Q35" s="17"/>
    </row>
    <row r="36" spans="1:47">
      <c r="A36" s="5" t="s">
        <v>48</v>
      </c>
      <c r="B36" s="9">
        <v>10007</v>
      </c>
      <c r="C36" s="9">
        <v>2688</v>
      </c>
      <c r="D36" s="9">
        <v>0</v>
      </c>
      <c r="E36" s="9">
        <v>0</v>
      </c>
      <c r="F36" s="9">
        <v>0</v>
      </c>
      <c r="G36" s="9">
        <v>69889</v>
      </c>
      <c r="H36" s="9">
        <v>0</v>
      </c>
      <c r="I36" s="9"/>
      <c r="J36" s="9"/>
      <c r="K36" s="9"/>
      <c r="L36" s="9"/>
      <c r="M36" s="9">
        <v>96862</v>
      </c>
      <c r="N36" s="9">
        <v>179447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64150</v>
      </c>
      <c r="C37" s="9">
        <v>6089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15498</v>
      </c>
      <c r="N37" s="9">
        <v>85738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1769</v>
      </c>
      <c r="N38" s="9">
        <v>1769</v>
      </c>
      <c r="O38" s="17">
        <f>SUM(O31:O35)</f>
        <v>0.75103450784286108</v>
      </c>
      <c r="P38" s="17"/>
      <c r="Q38" s="3"/>
      <c r="R38" s="7" t="s">
        <v>51</v>
      </c>
      <c r="S38" s="19">
        <f>N45/1000</f>
        <v>48.693719999999999</v>
      </c>
      <c r="T38" s="7"/>
    </row>
    <row r="39" spans="1:47">
      <c r="A39" s="5" t="s">
        <v>17</v>
      </c>
      <c r="B39" s="9">
        <v>128300</v>
      </c>
      <c r="C39" s="9">
        <v>437335</v>
      </c>
      <c r="D39" s="9">
        <v>0</v>
      </c>
      <c r="E39" s="43">
        <f>SUM(E31:E38)</f>
        <v>8444</v>
      </c>
      <c r="F39" s="9">
        <v>38522</v>
      </c>
      <c r="G39" s="43">
        <f>SUM(G31:G38)</f>
        <v>84889</v>
      </c>
      <c r="H39" s="9">
        <v>0</v>
      </c>
      <c r="I39" s="9"/>
      <c r="J39" s="9"/>
      <c r="K39" s="9"/>
      <c r="L39" s="9"/>
      <c r="M39" s="9">
        <v>374759</v>
      </c>
      <c r="N39" s="9">
        <v>1072249</v>
      </c>
      <c r="O39" s="3"/>
      <c r="P39" s="3"/>
      <c r="Q39" s="3"/>
      <c r="R39" s="7" t="s">
        <v>52</v>
      </c>
      <c r="S39" s="20">
        <f>N41/1000</f>
        <v>266.95400000000001</v>
      </c>
      <c r="T39" s="14">
        <f>O41</f>
        <v>0.2489664247763346</v>
      </c>
    </row>
    <row r="40" spans="1:47">
      <c r="R40" s="7" t="s">
        <v>53</v>
      </c>
      <c r="S40" s="20">
        <f>N35/1000</f>
        <v>82.665999999999997</v>
      </c>
      <c r="T40" s="15">
        <f>O35</f>
        <v>7.7095898434039106E-2</v>
      </c>
    </row>
    <row r="41" spans="1:47">
      <c r="A41" s="21" t="s">
        <v>54</v>
      </c>
      <c r="B41" s="22">
        <f>B38+B37+B36</f>
        <v>74157</v>
      </c>
      <c r="C41" s="22">
        <f t="shared" ref="C41:N41" si="0">C38+C37+C36</f>
        <v>8777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69889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114129</v>
      </c>
      <c r="N41" s="22">
        <f t="shared" si="0"/>
        <v>266954</v>
      </c>
      <c r="O41" s="16">
        <f>N41/N$39</f>
        <v>0.2489664247763346</v>
      </c>
      <c r="P41" s="16" t="s">
        <v>55</v>
      </c>
      <c r="Q41" s="7"/>
      <c r="R41" s="7" t="s">
        <v>56</v>
      </c>
      <c r="S41" s="20">
        <f>N33/1000</f>
        <v>52.383000000000003</v>
      </c>
      <c r="T41" s="14">
        <f>O33</f>
        <v>4.8853391329812382E-2</v>
      </c>
    </row>
    <row r="42" spans="1:47">
      <c r="A42" s="23" t="s">
        <v>57</v>
      </c>
      <c r="B42" s="22"/>
      <c r="C42" s="24">
        <f>C39+C23+C10</f>
        <v>437683</v>
      </c>
      <c r="D42" s="24">
        <f t="shared" ref="D42:L42" si="1">D39+D23+D10</f>
        <v>0</v>
      </c>
      <c r="E42" s="24">
        <f t="shared" si="1"/>
        <v>8444</v>
      </c>
      <c r="F42" s="24">
        <f t="shared" si="1"/>
        <v>49242</v>
      </c>
      <c r="G42" s="24">
        <f t="shared" si="1"/>
        <v>253819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397658.72</v>
      </c>
      <c r="N42" s="25">
        <f>SUM(C42:M42)</f>
        <v>1146846.72</v>
      </c>
      <c r="O42" s="7"/>
      <c r="P42" s="7"/>
      <c r="Q42" s="7"/>
      <c r="R42" s="7" t="s">
        <v>37</v>
      </c>
      <c r="S42" s="20">
        <f>N31/1000</f>
        <v>76.174000000000007</v>
      </c>
      <c r="T42" s="14">
        <f>O31</f>
        <v>7.1041334615373861E-2</v>
      </c>
    </row>
    <row r="43" spans="1:47">
      <c r="A43" s="23" t="s">
        <v>58</v>
      </c>
      <c r="B43" s="22"/>
      <c r="C43" s="16">
        <f t="shared" ref="C43:M43" si="2">C42/$N42</f>
        <v>0.38164036428512438</v>
      </c>
      <c r="D43" s="16">
        <f t="shared" si="2"/>
        <v>0</v>
      </c>
      <c r="E43" s="16">
        <f t="shared" si="2"/>
        <v>7.3627973579590477E-3</v>
      </c>
      <c r="F43" s="16">
        <f t="shared" si="2"/>
        <v>4.2936862565208365E-2</v>
      </c>
      <c r="G43" s="16">
        <f t="shared" si="2"/>
        <v>0.22131902683560015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0.34674094895610807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157.029</v>
      </c>
      <c r="T43" s="15">
        <f>O32</f>
        <v>0.14644825968594982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437.04399999999998</v>
      </c>
      <c r="T44" s="15">
        <f>O34</f>
        <v>0.40759562377768599</v>
      </c>
    </row>
    <row r="45" spans="1:47">
      <c r="A45" s="6" t="s">
        <v>61</v>
      </c>
      <c r="B45" s="6">
        <f>B23-B39</f>
        <v>18713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29980.720000000001</v>
      </c>
      <c r="N45" s="25">
        <f>B45+M45</f>
        <v>48693.72</v>
      </c>
      <c r="O45" s="7"/>
      <c r="P45" s="7"/>
      <c r="Q45" s="7"/>
      <c r="R45" s="7" t="s">
        <v>62</v>
      </c>
      <c r="S45" s="20">
        <f>SUM(S39:S44)</f>
        <v>1072.25</v>
      </c>
      <c r="T45" s="14">
        <f>SUM(T39:T44)</f>
        <v>1.0000009326191956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4" sqref="Y34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3" width="8.83203125" style="2"/>
    <col min="14" max="14" width="10.164062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67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46">
        <v>18511.269435554201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43">
        <f>SUM(B6:B9)</f>
        <v>18511.269435554201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v>8841</v>
      </c>
      <c r="C18" s="41">
        <v>1527</v>
      </c>
      <c r="D18" s="9">
        <v>0</v>
      </c>
      <c r="E18" s="9">
        <v>0</v>
      </c>
      <c r="F18" s="9">
        <v>0</v>
      </c>
      <c r="G18" s="41">
        <v>7314</v>
      </c>
      <c r="H18" s="9">
        <v>0</v>
      </c>
      <c r="I18" s="9"/>
      <c r="J18" s="9"/>
      <c r="K18" s="9"/>
      <c r="L18" s="9"/>
      <c r="M18" s="9"/>
      <c r="N18" s="41">
        <f>SUM(C18:M18)</f>
        <v>8841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41">
        <v>641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SUM(B17:B22)</f>
        <v>9482</v>
      </c>
      <c r="C23" s="41">
        <f>SUM(C17:C22)</f>
        <v>1527</v>
      </c>
      <c r="D23" s="9">
        <v>0</v>
      </c>
      <c r="E23" s="9">
        <v>0</v>
      </c>
      <c r="F23" s="9">
        <v>0</v>
      </c>
      <c r="G23" s="41">
        <f>SUM(G17:G22)</f>
        <v>7314</v>
      </c>
      <c r="H23" s="9">
        <v>0</v>
      </c>
      <c r="I23" s="9"/>
      <c r="J23" s="9"/>
      <c r="K23" s="9"/>
      <c r="L23" s="9"/>
      <c r="M23" s="9"/>
      <c r="N23" s="41">
        <f>SUM(N17:N22)</f>
        <v>8841</v>
      </c>
      <c r="O23" s="3"/>
      <c r="P23" s="3"/>
      <c r="Q23" s="3"/>
      <c r="R23" s="3" t="s">
        <v>27</v>
      </c>
      <c r="S23" s="12">
        <f>N42/1000</f>
        <v>368.95567999999997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191.64167999999998</v>
      </c>
      <c r="T26" s="14">
        <f>M43</f>
        <v>0.51941653263069432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46.734000000000002</v>
      </c>
      <c r="T27" s="15">
        <f>G43</f>
        <v>0.12666562010916868</v>
      </c>
    </row>
    <row r="28" spans="1:20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9.9410000000000007</v>
      </c>
      <c r="T29" s="14">
        <f>F43</f>
        <v>2.6943615558378178E-2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5468</v>
      </c>
      <c r="D31" s="9">
        <v>0</v>
      </c>
      <c r="E31" s="9">
        <v>0</v>
      </c>
      <c r="F31" s="9">
        <v>584</v>
      </c>
      <c r="G31" s="9">
        <v>0</v>
      </c>
      <c r="H31" s="9">
        <v>0</v>
      </c>
      <c r="I31" s="9"/>
      <c r="J31" s="9"/>
      <c r="K31" s="9"/>
      <c r="L31" s="9"/>
      <c r="M31" s="9">
        <v>10652</v>
      </c>
      <c r="N31" s="9">
        <v>16704</v>
      </c>
      <c r="O31" s="16">
        <f>N31/N$39</f>
        <v>4.715566960542697E-2</v>
      </c>
      <c r="P31" s="17" t="s">
        <v>37</v>
      </c>
      <c r="Q31" s="3"/>
      <c r="R31" s="3" t="s">
        <v>38</v>
      </c>
      <c r="S31" s="13">
        <f>C42/1000</f>
        <v>120.639</v>
      </c>
      <c r="T31" s="15">
        <f>C43</f>
        <v>0.32697423170175888</v>
      </c>
    </row>
    <row r="32" spans="1:20">
      <c r="A32" s="5" t="s">
        <v>39</v>
      </c>
      <c r="B32" s="9">
        <v>0</v>
      </c>
      <c r="C32" s="9">
        <v>2277</v>
      </c>
      <c r="D32" s="9">
        <v>0</v>
      </c>
      <c r="E32" s="9">
        <v>0</v>
      </c>
      <c r="F32" s="9">
        <v>154</v>
      </c>
      <c r="G32" s="9">
        <v>0</v>
      </c>
      <c r="H32" s="9">
        <v>0</v>
      </c>
      <c r="I32" s="9"/>
      <c r="J32" s="9"/>
      <c r="K32" s="9"/>
      <c r="L32" s="9"/>
      <c r="M32" s="9">
        <v>19541</v>
      </c>
      <c r="N32" s="9">
        <v>21972</v>
      </c>
      <c r="O32" s="16">
        <f>N32/N$39</f>
        <v>6.2027321154839637E-2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1">
        <v>6106</v>
      </c>
      <c r="C33" s="9">
        <v>2261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12891</v>
      </c>
      <c r="N33" s="41">
        <f>15152+B33</f>
        <v>21258</v>
      </c>
      <c r="O33" s="16">
        <f>N33/N$39</f>
        <v>6.0011687288803066E-2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107587</v>
      </c>
      <c r="D34" s="9">
        <v>0</v>
      </c>
      <c r="E34" s="9">
        <v>0</v>
      </c>
      <c r="F34" s="9">
        <v>9202</v>
      </c>
      <c r="G34" s="9">
        <v>0</v>
      </c>
      <c r="H34" s="9">
        <v>0</v>
      </c>
      <c r="I34" s="9"/>
      <c r="J34" s="9"/>
      <c r="K34" s="9"/>
      <c r="L34" s="9"/>
      <c r="M34" s="9">
        <v>540</v>
      </c>
      <c r="N34" s="9">
        <v>117329</v>
      </c>
      <c r="O34" s="16">
        <f>N34/N$39</f>
        <v>0.33122171690224739</v>
      </c>
      <c r="P34" s="17" t="s">
        <v>45</v>
      </c>
      <c r="Q34" s="3"/>
      <c r="R34" s="3"/>
      <c r="S34" s="13">
        <f>SUM(S26:S33)</f>
        <v>368.95567999999997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258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22018</v>
      </c>
      <c r="N35" s="9">
        <v>22277</v>
      </c>
      <c r="O35" s="16">
        <f>N35/N$39</f>
        <v>6.2888341223664782E-2</v>
      </c>
      <c r="P35" s="17" t="s">
        <v>47</v>
      </c>
      <c r="Q35" s="17"/>
    </row>
    <row r="36" spans="1:47">
      <c r="A36" s="5" t="s">
        <v>48</v>
      </c>
      <c r="B36" s="41">
        <v>251</v>
      </c>
      <c r="C36" s="9">
        <v>1073</v>
      </c>
      <c r="D36" s="9">
        <v>0</v>
      </c>
      <c r="E36" s="9">
        <v>0</v>
      </c>
      <c r="F36" s="9">
        <v>0</v>
      </c>
      <c r="G36" s="9">
        <v>39420</v>
      </c>
      <c r="H36" s="9">
        <v>0</v>
      </c>
      <c r="I36" s="9"/>
      <c r="J36" s="9"/>
      <c r="K36" s="9"/>
      <c r="L36" s="9"/>
      <c r="M36" s="9">
        <v>70894</v>
      </c>
      <c r="N36" s="41">
        <f>111387+B36</f>
        <v>111638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1">
        <v>1955</v>
      </c>
      <c r="C37" s="9">
        <v>189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8356</v>
      </c>
      <c r="N37" s="41">
        <f>8545+B37</f>
        <v>10500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32554</v>
      </c>
      <c r="N38" s="9">
        <v>32554</v>
      </c>
      <c r="O38" s="17">
        <f>SUM(O31:O35)</f>
        <v>0.56330473617498189</v>
      </c>
      <c r="P38" s="17"/>
      <c r="Q38" s="3"/>
      <c r="R38" s="7" t="s">
        <v>51</v>
      </c>
      <c r="S38" s="19">
        <f>N45/1000</f>
        <v>15.365680000000001</v>
      </c>
      <c r="T38" s="7"/>
    </row>
    <row r="39" spans="1:47">
      <c r="A39" s="5" t="s">
        <v>17</v>
      </c>
      <c r="B39" s="41">
        <f>SUM(B31:B38)</f>
        <v>8312</v>
      </c>
      <c r="C39" s="9">
        <v>119112</v>
      </c>
      <c r="D39" s="9">
        <v>0</v>
      </c>
      <c r="E39" s="9">
        <v>0</v>
      </c>
      <c r="F39" s="9">
        <v>9941</v>
      </c>
      <c r="G39" s="9">
        <v>39420</v>
      </c>
      <c r="H39" s="9">
        <v>0</v>
      </c>
      <c r="I39" s="9"/>
      <c r="J39" s="9"/>
      <c r="K39" s="9"/>
      <c r="L39" s="9"/>
      <c r="M39" s="9">
        <v>177446</v>
      </c>
      <c r="N39" s="41">
        <f>345919+B39</f>
        <v>354231</v>
      </c>
      <c r="O39" s="3"/>
      <c r="P39" s="3"/>
      <c r="Q39" s="3"/>
      <c r="R39" s="7" t="s">
        <v>52</v>
      </c>
      <c r="S39" s="20">
        <f>N41/1000</f>
        <v>154.69200000000001</v>
      </c>
      <c r="T39" s="14">
        <f>O41</f>
        <v>0.43669808684163725</v>
      </c>
    </row>
    <row r="40" spans="1:47">
      <c r="R40" s="7" t="s">
        <v>53</v>
      </c>
      <c r="S40" s="20">
        <f>N35/1000</f>
        <v>22.277000000000001</v>
      </c>
      <c r="T40" s="15">
        <f>O35</f>
        <v>6.2888341223664782E-2</v>
      </c>
    </row>
    <row r="41" spans="1:47">
      <c r="A41" s="21" t="s">
        <v>54</v>
      </c>
      <c r="B41" s="22">
        <f>B38+B37+B36</f>
        <v>2206</v>
      </c>
      <c r="C41" s="22">
        <f t="shared" ref="C41:N41" si="0">C38+C37+C36</f>
        <v>1262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39420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111804</v>
      </c>
      <c r="N41" s="22">
        <f t="shared" si="0"/>
        <v>154692</v>
      </c>
      <c r="O41" s="16">
        <f>N41/N$39</f>
        <v>0.43669808684163725</v>
      </c>
      <c r="P41" s="16" t="s">
        <v>55</v>
      </c>
      <c r="Q41" s="7"/>
      <c r="R41" s="7" t="s">
        <v>56</v>
      </c>
      <c r="S41" s="20">
        <f>N33/1000</f>
        <v>21.257999999999999</v>
      </c>
      <c r="T41" s="14">
        <f>O33</f>
        <v>6.0011687288803066E-2</v>
      </c>
    </row>
    <row r="42" spans="1:47">
      <c r="A42" s="23" t="s">
        <v>57</v>
      </c>
      <c r="B42" s="22"/>
      <c r="C42" s="24">
        <f>C39+C23+C10</f>
        <v>120639</v>
      </c>
      <c r="D42" s="24">
        <f t="shared" ref="D42:L42" si="1">D39+D23+D10</f>
        <v>0</v>
      </c>
      <c r="E42" s="24">
        <f t="shared" si="1"/>
        <v>0</v>
      </c>
      <c r="F42" s="24">
        <f t="shared" si="1"/>
        <v>9941</v>
      </c>
      <c r="G42" s="24">
        <f t="shared" si="1"/>
        <v>46734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191641.68</v>
      </c>
      <c r="N42" s="25">
        <f>SUM(C42:M42)</f>
        <v>368955.68</v>
      </c>
      <c r="O42" s="7"/>
      <c r="P42" s="7"/>
      <c r="Q42" s="7"/>
      <c r="R42" s="7" t="s">
        <v>37</v>
      </c>
      <c r="S42" s="20">
        <f>N31/1000</f>
        <v>16.704000000000001</v>
      </c>
      <c r="T42" s="14">
        <f>O31</f>
        <v>4.715566960542697E-2</v>
      </c>
    </row>
    <row r="43" spans="1:47">
      <c r="A43" s="23" t="s">
        <v>58</v>
      </c>
      <c r="B43" s="22"/>
      <c r="C43" s="16">
        <f t="shared" ref="C43:M43" si="2">C42/$N42</f>
        <v>0.32697423170175888</v>
      </c>
      <c r="D43" s="16">
        <f t="shared" si="2"/>
        <v>0</v>
      </c>
      <c r="E43" s="16">
        <f t="shared" si="2"/>
        <v>0</v>
      </c>
      <c r="F43" s="16">
        <f t="shared" si="2"/>
        <v>2.6943615558378178E-2</v>
      </c>
      <c r="G43" s="16">
        <f t="shared" si="2"/>
        <v>0.12666562010916868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0.51941653263069432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21.972000000000001</v>
      </c>
      <c r="T43" s="15">
        <f>O32</f>
        <v>6.2027321154839637E-2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117.32899999999999</v>
      </c>
      <c r="T44" s="15">
        <f>O34</f>
        <v>0.33122171690224739</v>
      </c>
    </row>
    <row r="45" spans="1:47">
      <c r="A45" s="6" t="s">
        <v>61</v>
      </c>
      <c r="B45" s="6">
        <f>B23-B39</f>
        <v>1170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14195.68</v>
      </c>
      <c r="N45" s="25">
        <f>B45+M45</f>
        <v>15365.68</v>
      </c>
      <c r="O45" s="7"/>
      <c r="P45" s="7"/>
      <c r="Q45" s="7"/>
      <c r="R45" s="7" t="s">
        <v>62</v>
      </c>
      <c r="S45" s="20">
        <f>SUM(S39:S44)</f>
        <v>354.23200000000003</v>
      </c>
      <c r="T45" s="14">
        <f>SUM(T39:T44)</f>
        <v>1.0000028230166191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66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3764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3764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343.40352000000001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176.49251999999998</v>
      </c>
      <c r="T26" s="14">
        <f>M43</f>
        <v>0.51395081797647268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19.364000000000001</v>
      </c>
      <c r="T27" s="15">
        <f>G43</f>
        <v>5.63884726632971E-2</v>
      </c>
    </row>
    <row r="28" spans="1:20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12.441000000000001</v>
      </c>
      <c r="T29" s="14">
        <f>F43</f>
        <v>3.6228516236525468E-2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>
      <c r="A31" s="5" t="s">
        <v>36</v>
      </c>
      <c r="B31" s="9">
        <v>0</v>
      </c>
      <c r="C31" s="9">
        <v>3160</v>
      </c>
      <c r="D31" s="9">
        <v>0</v>
      </c>
      <c r="E31" s="9">
        <v>0</v>
      </c>
      <c r="F31" s="9">
        <v>292</v>
      </c>
      <c r="G31" s="9">
        <v>0</v>
      </c>
      <c r="H31" s="9">
        <v>0</v>
      </c>
      <c r="I31" s="9"/>
      <c r="J31" s="9"/>
      <c r="K31" s="9"/>
      <c r="L31" s="9"/>
      <c r="M31" s="9">
        <v>6666</v>
      </c>
      <c r="N31" s="9">
        <v>10118</v>
      </c>
      <c r="O31" s="16">
        <f>N31/N$39</f>
        <v>3.063006881018621E-2</v>
      </c>
      <c r="P31" s="17" t="s">
        <v>37</v>
      </c>
      <c r="Q31" s="3"/>
      <c r="R31" s="3" t="s">
        <v>38</v>
      </c>
      <c r="S31" s="13">
        <f>C42/1000</f>
        <v>135.10599999999999</v>
      </c>
      <c r="T31" s="15">
        <f>C43</f>
        <v>0.3934321931237047</v>
      </c>
    </row>
    <row r="32" spans="1:20">
      <c r="A32" s="5" t="s">
        <v>39</v>
      </c>
      <c r="B32" s="9">
        <v>0</v>
      </c>
      <c r="C32" s="9">
        <v>2854</v>
      </c>
      <c r="D32" s="9">
        <v>0</v>
      </c>
      <c r="E32" s="43">
        <v>0</v>
      </c>
      <c r="F32" s="43">
        <f>N32-SUM(M32,G32:H32,B32:E32)</f>
        <v>248</v>
      </c>
      <c r="G32" s="9">
        <v>0</v>
      </c>
      <c r="H32" s="9">
        <v>0</v>
      </c>
      <c r="I32" s="9"/>
      <c r="J32" s="9"/>
      <c r="K32" s="9"/>
      <c r="L32" s="9"/>
      <c r="M32" s="9">
        <v>14221</v>
      </c>
      <c r="N32" s="9">
        <v>17323</v>
      </c>
      <c r="O32" s="16">
        <f>N32/N$39</f>
        <v>5.2441656651399063E-2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32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6697</v>
      </c>
      <c r="N33" s="9">
        <v>6729</v>
      </c>
      <c r="O33" s="16">
        <f>N33/N$39</f>
        <v>2.0370600219780884E-2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123848</v>
      </c>
      <c r="D34" s="9">
        <v>0</v>
      </c>
      <c r="E34" s="9">
        <v>0</v>
      </c>
      <c r="F34" s="9">
        <v>11901</v>
      </c>
      <c r="G34" s="9">
        <v>0</v>
      </c>
      <c r="H34" s="9">
        <v>0</v>
      </c>
      <c r="I34" s="9"/>
      <c r="J34" s="9"/>
      <c r="K34" s="9"/>
      <c r="L34" s="9"/>
      <c r="M34" s="9">
        <v>631</v>
      </c>
      <c r="N34" s="9">
        <v>136379</v>
      </c>
      <c r="O34" s="16">
        <f>N34/N$39</f>
        <v>0.41285808996485324</v>
      </c>
      <c r="P34" s="17" t="s">
        <v>45</v>
      </c>
      <c r="Q34" s="3"/>
      <c r="R34" s="3"/>
      <c r="S34" s="13">
        <f>SUM(S26:S33)</f>
        <v>343.40351999999996</v>
      </c>
      <c r="T34" s="14">
        <f>SUM(T26:T33)</f>
        <v>0.99999999999999989</v>
      </c>
    </row>
    <row r="35" spans="1:47">
      <c r="A35" s="5" t="s">
        <v>46</v>
      </c>
      <c r="B35" s="9">
        <v>0</v>
      </c>
      <c r="C35" s="9">
        <v>3483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30384</v>
      </c>
      <c r="N35" s="9">
        <v>33867</v>
      </c>
      <c r="O35" s="16">
        <f>N35/N$39</f>
        <v>0.10252505835091681</v>
      </c>
      <c r="P35" s="17" t="s">
        <v>47</v>
      </c>
      <c r="Q35" s="17"/>
    </row>
    <row r="36" spans="1:47">
      <c r="A36" s="5" t="s">
        <v>48</v>
      </c>
      <c r="B36" s="9">
        <v>0</v>
      </c>
      <c r="C36" s="9">
        <v>830</v>
      </c>
      <c r="D36" s="9">
        <v>0</v>
      </c>
      <c r="E36" s="9">
        <v>0</v>
      </c>
      <c r="F36" s="9">
        <v>0</v>
      </c>
      <c r="G36" s="9">
        <v>19364</v>
      </c>
      <c r="H36" s="9">
        <v>0</v>
      </c>
      <c r="I36" s="9"/>
      <c r="J36" s="9"/>
      <c r="K36" s="9"/>
      <c r="L36" s="9"/>
      <c r="M36" s="9">
        <v>74488</v>
      </c>
      <c r="N36" s="9">
        <v>94682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0</v>
      </c>
      <c r="C37" s="9">
        <v>900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6203</v>
      </c>
      <c r="N37" s="9">
        <v>7103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24129</v>
      </c>
      <c r="N38" s="9">
        <v>24129</v>
      </c>
      <c r="O38" s="17">
        <f>SUM(O31:O35)</f>
        <v>0.61882547399713628</v>
      </c>
      <c r="P38" s="17"/>
      <c r="Q38" s="3"/>
      <c r="R38" s="7" t="s">
        <v>51</v>
      </c>
      <c r="S38" s="19">
        <f>N45/1000</f>
        <v>13.07352</v>
      </c>
      <c r="T38" s="7"/>
    </row>
    <row r="39" spans="1:47">
      <c r="A39" s="5" t="s">
        <v>17</v>
      </c>
      <c r="B39" s="9">
        <v>0</v>
      </c>
      <c r="C39" s="9">
        <v>135106</v>
      </c>
      <c r="D39" s="9">
        <v>0</v>
      </c>
      <c r="E39" s="43">
        <f>SUM(E31:E38)</f>
        <v>0</v>
      </c>
      <c r="F39" s="43">
        <f>SUM(F31:F38)</f>
        <v>12441</v>
      </c>
      <c r="G39" s="9">
        <v>19364</v>
      </c>
      <c r="H39" s="9">
        <v>0</v>
      </c>
      <c r="I39" s="9"/>
      <c r="J39" s="9"/>
      <c r="K39" s="9"/>
      <c r="L39" s="9"/>
      <c r="M39" s="9">
        <v>163419</v>
      </c>
      <c r="N39" s="9">
        <v>330329</v>
      </c>
      <c r="O39" s="3"/>
      <c r="P39" s="3"/>
      <c r="Q39" s="3"/>
      <c r="R39" s="7" t="s">
        <v>52</v>
      </c>
      <c r="S39" s="20">
        <f>N41/1000</f>
        <v>125.914</v>
      </c>
      <c r="T39" s="14">
        <f>O41</f>
        <v>0.3811775532877828</v>
      </c>
    </row>
    <row r="40" spans="1:47">
      <c r="N40" s="10"/>
      <c r="R40" s="7" t="s">
        <v>53</v>
      </c>
      <c r="S40" s="20">
        <f>N35/1000</f>
        <v>33.866999999999997</v>
      </c>
      <c r="T40" s="15">
        <f>O35</f>
        <v>0.10252505835091681</v>
      </c>
    </row>
    <row r="41" spans="1:47">
      <c r="A41" s="21" t="s">
        <v>54</v>
      </c>
      <c r="B41" s="22">
        <f>B38+B37+B36</f>
        <v>0</v>
      </c>
      <c r="C41" s="22">
        <f t="shared" ref="C41:N41" si="0">C38+C37+C36</f>
        <v>1730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19364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104820</v>
      </c>
      <c r="N41" s="22">
        <f t="shared" si="0"/>
        <v>125914</v>
      </c>
      <c r="O41" s="16">
        <f>N41/N$39</f>
        <v>0.3811775532877828</v>
      </c>
      <c r="P41" s="16" t="s">
        <v>55</v>
      </c>
      <c r="Q41" s="7"/>
      <c r="R41" s="7" t="s">
        <v>56</v>
      </c>
      <c r="S41" s="20">
        <f>N33/1000</f>
        <v>6.7290000000000001</v>
      </c>
      <c r="T41" s="14">
        <f>O33</f>
        <v>2.0370600219780884E-2</v>
      </c>
    </row>
    <row r="42" spans="1:47">
      <c r="A42" s="23" t="s">
        <v>57</v>
      </c>
      <c r="B42" s="22"/>
      <c r="C42" s="24">
        <f>C39+C23+C10</f>
        <v>135106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12441</v>
      </c>
      <c r="G42" s="24">
        <f t="shared" si="1"/>
        <v>19364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176492.52</v>
      </c>
      <c r="N42" s="25">
        <f>SUM(C42:M42)</f>
        <v>343403.52000000002</v>
      </c>
      <c r="O42" s="7"/>
      <c r="P42" s="7"/>
      <c r="Q42" s="7"/>
      <c r="R42" s="7" t="s">
        <v>37</v>
      </c>
      <c r="S42" s="20">
        <f>N31/1000</f>
        <v>10.118</v>
      </c>
      <c r="T42" s="14">
        <f>O31</f>
        <v>3.063006881018621E-2</v>
      </c>
    </row>
    <row r="43" spans="1:47">
      <c r="A43" s="23" t="s">
        <v>58</v>
      </c>
      <c r="B43" s="22"/>
      <c r="C43" s="16">
        <f t="shared" ref="C43:M43" si="2">C42/$N42</f>
        <v>0.3934321931237047</v>
      </c>
      <c r="D43" s="16">
        <f t="shared" si="2"/>
        <v>0</v>
      </c>
      <c r="E43" s="16">
        <f t="shared" si="2"/>
        <v>0</v>
      </c>
      <c r="F43" s="16">
        <f t="shared" si="2"/>
        <v>3.6228516236525468E-2</v>
      </c>
      <c r="G43" s="16">
        <f t="shared" si="2"/>
        <v>5.63884726632971E-2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0.51395081797647268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17.323</v>
      </c>
      <c r="T43" s="15">
        <f>O32</f>
        <v>5.2441656651399063E-2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136.37899999999999</v>
      </c>
      <c r="T44" s="15">
        <f>O34</f>
        <v>0.41285808996485324</v>
      </c>
    </row>
    <row r="45" spans="1:47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13073.52</v>
      </c>
      <c r="N45" s="25">
        <f>B45+M45</f>
        <v>13073.52</v>
      </c>
      <c r="O45" s="7"/>
      <c r="P45" s="7"/>
      <c r="Q45" s="7"/>
      <c r="R45" s="7" t="s">
        <v>62</v>
      </c>
      <c r="S45" s="20">
        <f>SUM(S39:S44)</f>
        <v>330.33000000000004</v>
      </c>
      <c r="T45" s="14">
        <f>SUM(T39:T44)</f>
        <v>1.0000030272849192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30" ht="18">
      <c r="A1" s="1" t="s">
        <v>0</v>
      </c>
      <c r="O1" s="3"/>
      <c r="P1" s="3"/>
      <c r="Q1" s="3"/>
      <c r="R1" s="3"/>
      <c r="S1" s="3"/>
      <c r="T1" s="3"/>
    </row>
    <row r="2" spans="1:30">
      <c r="A2" s="4" t="s">
        <v>68</v>
      </c>
      <c r="O2" s="3"/>
      <c r="P2" s="3"/>
      <c r="Q2" s="3"/>
      <c r="R2" s="3"/>
      <c r="S2" s="3"/>
      <c r="T2" s="3"/>
    </row>
    <row r="3" spans="1:3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30">
      <c r="O4" s="3"/>
      <c r="P4" s="3"/>
      <c r="Q4" s="3"/>
      <c r="R4" s="3"/>
      <c r="S4" s="3"/>
      <c r="T4" s="3"/>
    </row>
    <row r="5" spans="1:30">
      <c r="A5" s="5"/>
      <c r="O5" s="3"/>
      <c r="P5" s="3"/>
      <c r="Q5" s="3"/>
      <c r="R5" s="3"/>
      <c r="S5" s="3"/>
      <c r="T5" s="3"/>
    </row>
    <row r="6" spans="1:3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3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30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129"/>
      <c r="R8" s="129"/>
      <c r="S8" s="129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</row>
    <row r="9" spans="1:30">
      <c r="A9" s="8" t="s">
        <v>16</v>
      </c>
      <c r="B9" s="9">
        <v>2850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129"/>
      <c r="R9" s="129"/>
      <c r="S9" s="129"/>
      <c r="T9" s="129"/>
      <c r="U9" s="130"/>
      <c r="V9" s="130"/>
      <c r="W9" s="130"/>
      <c r="X9" s="130"/>
      <c r="Y9" s="130"/>
      <c r="Z9" s="130"/>
      <c r="AA9" s="130"/>
      <c r="AB9" s="130"/>
      <c r="AC9" s="130"/>
      <c r="AD9" s="130"/>
    </row>
    <row r="10" spans="1:30">
      <c r="A10" s="8" t="s">
        <v>17</v>
      </c>
      <c r="B10" s="9">
        <v>2850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129"/>
      <c r="R10" s="129"/>
      <c r="S10" s="129"/>
      <c r="T10" s="129"/>
      <c r="U10" s="130"/>
      <c r="V10" s="130"/>
      <c r="W10" s="130"/>
    </row>
    <row r="11" spans="1:3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129"/>
    </row>
    <row r="12" spans="1:3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131"/>
    </row>
    <row r="13" spans="1:3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131"/>
    </row>
    <row r="14" spans="1:30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131"/>
    </row>
    <row r="15" spans="1:3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131"/>
    </row>
    <row r="16" spans="1:3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131"/>
    </row>
    <row r="17" spans="1:3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131"/>
    </row>
    <row r="18" spans="1:30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131"/>
    </row>
    <row r="19" spans="1:3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131"/>
      <c r="Z19" s="131"/>
      <c r="AA19" s="131"/>
      <c r="AB19" s="131"/>
      <c r="AC19" s="131"/>
      <c r="AD19" s="130"/>
    </row>
    <row r="20" spans="1:3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129"/>
      <c r="R20" s="129"/>
      <c r="S20" s="129"/>
      <c r="T20" s="129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1:3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3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30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321.83771999999999</v>
      </c>
      <c r="T23" s="3"/>
    </row>
    <row r="24" spans="1:3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3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30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169.56971999999999</v>
      </c>
      <c r="T26" s="14">
        <f>M43</f>
        <v>0.52687957148093145</v>
      </c>
    </row>
    <row r="27" spans="1:3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11.117000000000001</v>
      </c>
      <c r="T27" s="15">
        <f>G43</f>
        <v>3.4542253157895851E-2</v>
      </c>
    </row>
    <row r="28" spans="1:30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3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10.942</v>
      </c>
      <c r="T29" s="14">
        <f>F43</f>
        <v>3.3998500859377209E-2</v>
      </c>
    </row>
    <row r="30" spans="1:3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10.087</v>
      </c>
      <c r="T30" s="14">
        <f>E43</f>
        <v>3.1341882486614688E-2</v>
      </c>
    </row>
    <row r="31" spans="1:30">
      <c r="A31" s="5" t="s">
        <v>36</v>
      </c>
      <c r="B31" s="9">
        <v>0</v>
      </c>
      <c r="C31" s="9">
        <v>2532</v>
      </c>
      <c r="D31" s="9">
        <v>0</v>
      </c>
      <c r="E31" s="9">
        <v>0</v>
      </c>
      <c r="F31" s="9">
        <v>268</v>
      </c>
      <c r="G31" s="9">
        <v>0</v>
      </c>
      <c r="H31" s="9">
        <v>0</v>
      </c>
      <c r="I31" s="9"/>
      <c r="J31" s="9"/>
      <c r="K31" s="9"/>
      <c r="L31" s="9"/>
      <c r="M31" s="9">
        <v>5459</v>
      </c>
      <c r="N31" s="9">
        <v>8259</v>
      </c>
      <c r="O31" s="16">
        <f>N31/N$39</f>
        <v>2.6704216608412525E-2</v>
      </c>
      <c r="P31" s="17" t="s">
        <v>37</v>
      </c>
      <c r="Q31" s="3"/>
      <c r="R31" s="3" t="s">
        <v>38</v>
      </c>
      <c r="S31" s="13">
        <f>C42/1000</f>
        <v>120.122</v>
      </c>
      <c r="T31" s="15">
        <f>C43</f>
        <v>0.37323779201518087</v>
      </c>
    </row>
    <row r="32" spans="1:30">
      <c r="A32" s="5" t="s">
        <v>39</v>
      </c>
      <c r="B32" s="9">
        <v>0</v>
      </c>
      <c r="C32" s="43">
        <f>C39-SUM(C31,C33:C38)</f>
        <v>5377</v>
      </c>
      <c r="D32" s="9">
        <v>0</v>
      </c>
      <c r="E32" s="43">
        <f>N32-SUM(F32:M32,B32:D32)</f>
        <v>10087</v>
      </c>
      <c r="F32" s="9">
        <v>282</v>
      </c>
      <c r="G32" s="43">
        <v>0</v>
      </c>
      <c r="H32" s="9">
        <v>0</v>
      </c>
      <c r="I32" s="9"/>
      <c r="J32" s="9"/>
      <c r="K32" s="9"/>
      <c r="L32" s="9"/>
      <c r="M32" s="9">
        <v>30056</v>
      </c>
      <c r="N32" s="9">
        <v>45802</v>
      </c>
      <c r="O32" s="16">
        <f>N32/N$39</f>
        <v>0.14809378000950604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9">
        <v>0</v>
      </c>
      <c r="C33" s="9">
        <v>1648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9969</v>
      </c>
      <c r="N33" s="9">
        <v>11617</v>
      </c>
      <c r="O33" s="16">
        <f>N33/N$39</f>
        <v>3.7561797353181776E-2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109967</v>
      </c>
      <c r="D34" s="9">
        <v>0</v>
      </c>
      <c r="E34" s="9">
        <v>0</v>
      </c>
      <c r="F34" s="9">
        <v>10392</v>
      </c>
      <c r="G34" s="9">
        <v>0</v>
      </c>
      <c r="H34" s="9">
        <v>0</v>
      </c>
      <c r="I34" s="9"/>
      <c r="J34" s="9"/>
      <c r="K34" s="9"/>
      <c r="L34" s="9"/>
      <c r="M34" s="9">
        <v>177</v>
      </c>
      <c r="N34" s="9">
        <v>120536</v>
      </c>
      <c r="O34" s="16">
        <f>N34/N$39</f>
        <v>0.38973476850848915</v>
      </c>
      <c r="P34" s="17" t="s">
        <v>45</v>
      </c>
      <c r="Q34" s="3"/>
      <c r="R34" s="3"/>
      <c r="S34" s="13">
        <f>SUM(S26:S33)</f>
        <v>321.83771999999999</v>
      </c>
      <c r="T34" s="14">
        <f>SUM(T26:T33)</f>
        <v>1</v>
      </c>
    </row>
    <row r="35" spans="1:47">
      <c r="A35" s="5" t="s">
        <v>46</v>
      </c>
      <c r="B35" s="9">
        <v>0</v>
      </c>
      <c r="C35" s="9">
        <v>30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26000</v>
      </c>
      <c r="N35" s="9">
        <v>26030</v>
      </c>
      <c r="O35" s="16">
        <f>N35/N$39</f>
        <v>8.4164034182949266E-2</v>
      </c>
      <c r="P35" s="17" t="s">
        <v>47</v>
      </c>
      <c r="Q35" s="17"/>
    </row>
    <row r="36" spans="1:47">
      <c r="A36" s="5" t="s">
        <v>48</v>
      </c>
      <c r="B36" s="9">
        <v>0</v>
      </c>
      <c r="C36" s="43">
        <v>200</v>
      </c>
      <c r="D36" s="9">
        <v>0</v>
      </c>
      <c r="E36" s="9">
        <v>0</v>
      </c>
      <c r="F36" s="9">
        <v>0</v>
      </c>
      <c r="G36" s="43">
        <f>N36-M36-C36</f>
        <v>11117</v>
      </c>
      <c r="H36" s="9">
        <v>0</v>
      </c>
      <c r="I36" s="9"/>
      <c r="J36" s="9"/>
      <c r="K36" s="9"/>
      <c r="L36" s="9"/>
      <c r="M36" s="9">
        <v>62775</v>
      </c>
      <c r="N36" s="9">
        <v>74092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9">
        <v>0</v>
      </c>
      <c r="C37" s="9">
        <v>368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5833</v>
      </c>
      <c r="N37" s="9">
        <v>6201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16740</v>
      </c>
      <c r="N38" s="9">
        <v>16740</v>
      </c>
      <c r="O38" s="17">
        <f>SUM(O31:O35)</f>
        <v>0.68625859666253874</v>
      </c>
      <c r="P38" s="17"/>
      <c r="Q38" s="3"/>
      <c r="R38" s="7" t="s">
        <v>51</v>
      </c>
      <c r="S38" s="19">
        <f>N45/1000</f>
        <v>12.560720000000002</v>
      </c>
      <c r="T38" s="7"/>
    </row>
    <row r="39" spans="1:47">
      <c r="A39" s="5" t="s">
        <v>17</v>
      </c>
      <c r="B39" s="9">
        <v>0</v>
      </c>
      <c r="C39" s="9">
        <v>120122</v>
      </c>
      <c r="D39" s="9">
        <v>0</v>
      </c>
      <c r="E39" s="43">
        <f>SUM(E31:E38)</f>
        <v>10087</v>
      </c>
      <c r="F39" s="9">
        <v>10942</v>
      </c>
      <c r="G39" s="43">
        <f>SUM(G31:G38)</f>
        <v>11117</v>
      </c>
      <c r="H39" s="9">
        <v>0</v>
      </c>
      <c r="I39" s="9"/>
      <c r="J39" s="9"/>
      <c r="K39" s="9"/>
      <c r="L39" s="9"/>
      <c r="M39" s="9">
        <v>157009</v>
      </c>
      <c r="N39" s="9">
        <v>309277</v>
      </c>
      <c r="O39" s="3"/>
      <c r="P39" s="3"/>
      <c r="Q39" s="3"/>
      <c r="R39" s="7" t="s">
        <v>52</v>
      </c>
      <c r="S39" s="20">
        <f>N41/1000</f>
        <v>97.033000000000001</v>
      </c>
      <c r="T39" s="14">
        <f>O41</f>
        <v>0.31374140333746126</v>
      </c>
    </row>
    <row r="40" spans="1:47">
      <c r="R40" s="7" t="s">
        <v>53</v>
      </c>
      <c r="S40" s="20">
        <f>N35/1000</f>
        <v>26.03</v>
      </c>
      <c r="T40" s="15">
        <f>O35</f>
        <v>8.4164034182949266E-2</v>
      </c>
    </row>
    <row r="41" spans="1:47">
      <c r="A41" s="21" t="s">
        <v>54</v>
      </c>
      <c r="B41" s="22">
        <f>B38+B37+B36</f>
        <v>0</v>
      </c>
      <c r="C41" s="22">
        <f t="shared" ref="C41:N41" si="0">C38+C37+C36</f>
        <v>568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11117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85348</v>
      </c>
      <c r="N41" s="22">
        <f t="shared" si="0"/>
        <v>97033</v>
      </c>
      <c r="O41" s="16">
        <f>N41/N$39</f>
        <v>0.31374140333746126</v>
      </c>
      <c r="P41" s="16" t="s">
        <v>55</v>
      </c>
      <c r="Q41" s="7"/>
      <c r="R41" s="7" t="s">
        <v>56</v>
      </c>
      <c r="S41" s="20">
        <f>N33/1000</f>
        <v>11.617000000000001</v>
      </c>
      <c r="T41" s="14">
        <f>O33</f>
        <v>3.7561797353181776E-2</v>
      </c>
    </row>
    <row r="42" spans="1:47">
      <c r="A42" s="23" t="s">
        <v>57</v>
      </c>
      <c r="B42" s="22"/>
      <c r="C42" s="24">
        <f>C39+C23+C10</f>
        <v>120122</v>
      </c>
      <c r="D42" s="24">
        <f t="shared" ref="D42:L42" si="1">D39+D23+D10</f>
        <v>0</v>
      </c>
      <c r="E42" s="24">
        <f t="shared" si="1"/>
        <v>10087</v>
      </c>
      <c r="F42" s="24">
        <f t="shared" si="1"/>
        <v>10942</v>
      </c>
      <c r="G42" s="24">
        <f t="shared" si="1"/>
        <v>11117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169569.72</v>
      </c>
      <c r="N42" s="25">
        <f>SUM(C42:M42)</f>
        <v>321837.71999999997</v>
      </c>
      <c r="O42" s="7"/>
      <c r="P42" s="7"/>
      <c r="Q42" s="7"/>
      <c r="R42" s="7" t="s">
        <v>37</v>
      </c>
      <c r="S42" s="20">
        <f>N31/1000</f>
        <v>8.2590000000000003</v>
      </c>
      <c r="T42" s="14">
        <f>O31</f>
        <v>2.6704216608412525E-2</v>
      </c>
    </row>
    <row r="43" spans="1:47">
      <c r="A43" s="23" t="s">
        <v>58</v>
      </c>
      <c r="B43" s="22"/>
      <c r="C43" s="16">
        <f t="shared" ref="C43:M43" si="2">C42/$N42</f>
        <v>0.37323779201518087</v>
      </c>
      <c r="D43" s="16">
        <f t="shared" si="2"/>
        <v>0</v>
      </c>
      <c r="E43" s="16">
        <f t="shared" si="2"/>
        <v>3.1341882486614688E-2</v>
      </c>
      <c r="F43" s="16">
        <f t="shared" si="2"/>
        <v>3.3998500859377209E-2</v>
      </c>
      <c r="G43" s="16">
        <f t="shared" si="2"/>
        <v>3.4542253157895851E-2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0.52687957148093145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45.802</v>
      </c>
      <c r="T43" s="15">
        <f>O32</f>
        <v>0.14809378000950604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120.536</v>
      </c>
      <c r="T44" s="15">
        <f>O34</f>
        <v>0.38973476850848915</v>
      </c>
    </row>
    <row r="45" spans="1:47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12560.720000000001</v>
      </c>
      <c r="N45" s="25">
        <f>B45+M45</f>
        <v>12560.720000000001</v>
      </c>
      <c r="O45" s="7"/>
      <c r="P45" s="7"/>
      <c r="Q45" s="7"/>
      <c r="R45" s="7" t="s">
        <v>62</v>
      </c>
      <c r="S45" s="20">
        <f>SUM(S39:S44)</f>
        <v>309.27700000000004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U70"/>
  <sheetViews>
    <sheetView workbookViewId="0">
      <selection activeCell="B45" sqref="B45"/>
    </sheetView>
  </sheetViews>
  <sheetFormatPr baseColWidth="10" defaultColWidth="8.83203125" defaultRowHeight="15" x14ac:dyDescent="0"/>
  <cols>
    <col min="1" max="1" width="22.5" style="2" customWidth="1"/>
    <col min="2" max="2" width="12" style="2" customWidth="1"/>
    <col min="3" max="3" width="13.83203125" style="2" customWidth="1"/>
    <col min="4" max="14" width="8.83203125" style="2"/>
    <col min="15" max="15" width="10.6640625" style="2" bestFit="1" customWidth="1"/>
    <col min="16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>
      <c r="A2" s="4" t="s">
        <v>69</v>
      </c>
      <c r="O2" s="3"/>
      <c r="P2" s="3"/>
      <c r="Q2" s="3"/>
      <c r="R2" s="3"/>
      <c r="S2" s="3"/>
      <c r="T2" s="3"/>
    </row>
    <row r="3" spans="1:20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>
      <c r="O4" s="3"/>
      <c r="P4" s="3"/>
      <c r="Q4" s="3"/>
      <c r="R4" s="3"/>
      <c r="S4" s="3"/>
      <c r="T4" s="3"/>
    </row>
    <row r="5" spans="1:20">
      <c r="A5" s="5"/>
      <c r="O5" s="3"/>
      <c r="P5" s="3"/>
      <c r="Q5" s="3"/>
      <c r="R5" s="3"/>
      <c r="S5" s="3"/>
      <c r="T5" s="3"/>
    </row>
    <row r="6" spans="1:20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>
      <c r="A8" s="8" t="s">
        <v>15</v>
      </c>
      <c r="B8" s="9">
        <v>7314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>
      <c r="A9" s="8" t="s">
        <v>16</v>
      </c>
      <c r="B9" s="9">
        <v>85568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>
      <c r="A10" s="8" t="s">
        <v>17</v>
      </c>
      <c r="B10" s="9">
        <v>92882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>
      <c r="A18" s="8" t="s">
        <v>22</v>
      </c>
      <c r="B18" s="41">
        <v>8286</v>
      </c>
      <c r="C18" s="9">
        <v>0</v>
      </c>
      <c r="D18" s="9">
        <v>0</v>
      </c>
      <c r="E18" s="9">
        <v>0</v>
      </c>
      <c r="F18" s="9">
        <v>0</v>
      </c>
      <c r="G18" s="40">
        <v>9584</v>
      </c>
      <c r="H18" s="9">
        <v>0</v>
      </c>
      <c r="I18" s="9"/>
      <c r="J18" s="9"/>
      <c r="K18" s="9"/>
      <c r="L18" s="9"/>
      <c r="M18" s="7"/>
      <c r="N18" s="40">
        <f>SUM(C18:M18)</f>
        <v>9584</v>
      </c>
      <c r="O18" s="3"/>
      <c r="P18" s="3"/>
      <c r="Q18" s="3"/>
      <c r="R18" s="3"/>
      <c r="S18" s="3"/>
      <c r="T18" s="3"/>
    </row>
    <row r="19" spans="1:20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>
      <c r="A23" s="8" t="s">
        <v>17</v>
      </c>
      <c r="B23" s="41">
        <f>SUM(B17:B22)</f>
        <v>8286</v>
      </c>
      <c r="C23" s="9">
        <v>0</v>
      </c>
      <c r="D23" s="9">
        <v>0</v>
      </c>
      <c r="E23" s="9">
        <v>0</v>
      </c>
      <c r="F23" s="9">
        <v>0</v>
      </c>
      <c r="G23" s="40">
        <f>SUM(G17:G22)</f>
        <v>9584</v>
      </c>
      <c r="H23" s="9">
        <v>0</v>
      </c>
      <c r="I23" s="9"/>
      <c r="J23" s="9"/>
      <c r="K23" s="9"/>
      <c r="L23" s="9"/>
      <c r="M23" s="7"/>
      <c r="N23" s="40">
        <f>SUM(N17:N22)</f>
        <v>9584</v>
      </c>
      <c r="O23" s="3"/>
      <c r="P23" s="3"/>
      <c r="Q23" s="3"/>
      <c r="R23" s="3" t="s">
        <v>27</v>
      </c>
      <c r="S23" s="12">
        <f>N42/1000</f>
        <v>622.65556000000004</v>
      </c>
      <c r="T23" s="3"/>
    </row>
    <row r="24" spans="1:20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>
      <c r="B26" s="10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444.80556000000001</v>
      </c>
      <c r="T26" s="14">
        <f>M43</f>
        <v>0.71436856678835403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41.585999999999999</v>
      </c>
      <c r="T27" s="15">
        <f>G43</f>
        <v>6.6788129218664644E-2</v>
      </c>
    </row>
    <row r="28" spans="1:20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11.795999999999999</v>
      </c>
      <c r="T29" s="14">
        <f>F43</f>
        <v>1.8944663402668403E-2</v>
      </c>
    </row>
    <row r="30" spans="1:20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0.14099999999999999</v>
      </c>
      <c r="T30" s="14">
        <f>E43</f>
        <v>2.2644943538286237E-4</v>
      </c>
    </row>
    <row r="31" spans="1:20">
      <c r="A31" s="5" t="s">
        <v>36</v>
      </c>
      <c r="B31" s="9">
        <v>0</v>
      </c>
      <c r="C31" s="9">
        <v>10245</v>
      </c>
      <c r="D31" s="9">
        <v>0</v>
      </c>
      <c r="E31" s="9">
        <v>0</v>
      </c>
      <c r="F31" s="9">
        <v>1108</v>
      </c>
      <c r="G31" s="9">
        <v>0</v>
      </c>
      <c r="H31" s="9">
        <v>0</v>
      </c>
      <c r="I31" s="9"/>
      <c r="J31" s="9"/>
      <c r="K31" s="9"/>
      <c r="L31" s="9"/>
      <c r="M31" s="9">
        <v>9153</v>
      </c>
      <c r="N31" s="9">
        <v>20506</v>
      </c>
      <c r="O31" s="16">
        <f>N31/N$39</f>
        <v>3.493427463593804E-2</v>
      </c>
      <c r="P31" s="17" t="s">
        <v>37</v>
      </c>
      <c r="Q31" s="3"/>
      <c r="R31" s="3" t="s">
        <v>38</v>
      </c>
      <c r="S31" s="13">
        <f>C42/1000</f>
        <v>124.327</v>
      </c>
      <c r="T31" s="15">
        <f>C43</f>
        <v>0.19967219115493001</v>
      </c>
    </row>
    <row r="32" spans="1:20">
      <c r="A32" s="5" t="s">
        <v>39</v>
      </c>
      <c r="B32" s="9">
        <v>0</v>
      </c>
      <c r="C32" s="43">
        <f>C39-SUM(C31,C33:C38)</f>
        <v>6942</v>
      </c>
      <c r="D32" s="9">
        <v>0</v>
      </c>
      <c r="E32" s="43">
        <f>N32-SUM(F32:M32,B32:D32)</f>
        <v>141</v>
      </c>
      <c r="F32" s="9">
        <v>107</v>
      </c>
      <c r="G32" s="43">
        <v>0</v>
      </c>
      <c r="H32" s="9">
        <v>0</v>
      </c>
      <c r="I32" s="9"/>
      <c r="J32" s="9"/>
      <c r="K32" s="9"/>
      <c r="L32" s="9"/>
      <c r="M32" s="9">
        <v>324852</v>
      </c>
      <c r="N32" s="43">
        <f>N39-SUM(N31,N33:N38)</f>
        <v>332042</v>
      </c>
      <c r="O32" s="16">
        <f>N32/N$39</f>
        <v>0.56567084846708959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>
      <c r="A33" s="5" t="s">
        <v>42</v>
      </c>
      <c r="B33" s="43">
        <v>3500</v>
      </c>
      <c r="C33" s="43">
        <v>283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8191</v>
      </c>
      <c r="N33" s="9">
        <v>12039</v>
      </c>
      <c r="O33" s="16">
        <f>N33/N$39</f>
        <v>2.0509788956503371E-2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>
      <c r="A34" s="5" t="s">
        <v>44</v>
      </c>
      <c r="B34" s="9">
        <v>0</v>
      </c>
      <c r="C34" s="9">
        <v>105597</v>
      </c>
      <c r="D34" s="9">
        <v>0</v>
      </c>
      <c r="E34" s="9">
        <v>0</v>
      </c>
      <c r="F34" s="9">
        <v>10581</v>
      </c>
      <c r="G34" s="9">
        <v>0</v>
      </c>
      <c r="H34" s="9">
        <v>0</v>
      </c>
      <c r="I34" s="9"/>
      <c r="J34" s="9"/>
      <c r="K34" s="9"/>
      <c r="L34" s="9"/>
      <c r="M34" s="9">
        <v>159</v>
      </c>
      <c r="N34" s="9">
        <v>116338</v>
      </c>
      <c r="O34" s="16">
        <f>N34/N$39</f>
        <v>0.19819485236495465</v>
      </c>
      <c r="P34" s="17" t="s">
        <v>45</v>
      </c>
      <c r="Q34" s="3"/>
      <c r="R34" s="3"/>
      <c r="S34" s="13">
        <f>SUM(S26:S33)</f>
        <v>622.65556000000004</v>
      </c>
      <c r="T34" s="14">
        <f>SUM(T26:T33)</f>
        <v>1</v>
      </c>
    </row>
    <row r="35" spans="1:47">
      <c r="A35" s="5" t="s">
        <v>46</v>
      </c>
      <c r="B35" s="43">
        <v>300</v>
      </c>
      <c r="C35" s="43">
        <f>N35-M35-B35</f>
        <v>651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18223</v>
      </c>
      <c r="N35" s="9">
        <v>19174</v>
      </c>
      <c r="O35" s="16">
        <f>N35/N$39</f>
        <v>3.266506299958432E-2</v>
      </c>
      <c r="P35" s="17" t="s">
        <v>47</v>
      </c>
      <c r="Q35" s="17"/>
    </row>
    <row r="36" spans="1:47">
      <c r="A36" s="5" t="s">
        <v>48</v>
      </c>
      <c r="B36" s="9">
        <v>0</v>
      </c>
      <c r="C36" s="43">
        <v>400</v>
      </c>
      <c r="D36" s="9">
        <v>0</v>
      </c>
      <c r="E36" s="9">
        <v>0</v>
      </c>
      <c r="F36" s="9">
        <v>0</v>
      </c>
      <c r="G36" s="43">
        <f>32402-C36</f>
        <v>32002</v>
      </c>
      <c r="H36" s="9">
        <v>0</v>
      </c>
      <c r="I36" s="9"/>
      <c r="J36" s="9"/>
      <c r="K36" s="9"/>
      <c r="L36" s="9"/>
      <c r="M36" s="9">
        <v>42433</v>
      </c>
      <c r="N36" s="9">
        <v>74835</v>
      </c>
      <c r="O36" s="17"/>
      <c r="P36" s="17"/>
      <c r="Q36" s="3"/>
      <c r="R36" s="7"/>
      <c r="S36" s="7"/>
      <c r="T36" s="7"/>
    </row>
    <row r="37" spans="1:47">
      <c r="A37" s="5" t="s">
        <v>49</v>
      </c>
      <c r="B37" s="43">
        <v>3000</v>
      </c>
      <c r="C37" s="9">
        <v>209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4163</v>
      </c>
      <c r="N37" s="43">
        <f>SUM(B37:M37)</f>
        <v>7372</v>
      </c>
      <c r="O37" s="17"/>
      <c r="P37" s="17"/>
      <c r="Q37" s="3"/>
      <c r="R37" s="7"/>
      <c r="S37" s="7" t="s">
        <v>28</v>
      </c>
      <c r="T37" s="7" t="s">
        <v>29</v>
      </c>
    </row>
    <row r="38" spans="1:47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4682</v>
      </c>
      <c r="N38" s="9">
        <v>4682</v>
      </c>
      <c r="O38" s="17">
        <f>SUM(O31:O36)</f>
        <v>0.85197482742406982</v>
      </c>
      <c r="P38" s="17"/>
      <c r="Q38" s="3"/>
      <c r="R38" s="7" t="s">
        <v>51</v>
      </c>
      <c r="S38" s="19">
        <f>N45/1000</f>
        <v>34.434559999999998</v>
      </c>
      <c r="T38" s="7"/>
    </row>
    <row r="39" spans="1:47">
      <c r="A39" s="5" t="s">
        <v>17</v>
      </c>
      <c r="B39" s="43">
        <v>6800</v>
      </c>
      <c r="C39" s="9">
        <v>124327</v>
      </c>
      <c r="D39" s="9">
        <v>0</v>
      </c>
      <c r="E39" s="43">
        <f>SUM(E31:E38)</f>
        <v>141</v>
      </c>
      <c r="F39" s="9">
        <v>11796</v>
      </c>
      <c r="G39" s="43">
        <f>SUM(G31:G38)</f>
        <v>32002</v>
      </c>
      <c r="H39" s="9">
        <v>0</v>
      </c>
      <c r="I39" s="9"/>
      <c r="J39" s="9"/>
      <c r="K39" s="9"/>
      <c r="L39" s="9"/>
      <c r="M39" s="9">
        <v>411857</v>
      </c>
      <c r="N39" s="9">
        <v>586988</v>
      </c>
      <c r="O39" s="3"/>
      <c r="P39" s="3"/>
      <c r="Q39" s="3"/>
      <c r="R39" s="7" t="s">
        <v>52</v>
      </c>
      <c r="S39" s="20">
        <f>N41/1000</f>
        <v>86.888999999999996</v>
      </c>
      <c r="T39" s="14">
        <f>O41</f>
        <v>0.14802517257593001</v>
      </c>
    </row>
    <row r="40" spans="1:47">
      <c r="N40" s="10"/>
      <c r="R40" s="7" t="s">
        <v>53</v>
      </c>
      <c r="S40" s="20">
        <f>N35/1000</f>
        <v>19.173999999999999</v>
      </c>
      <c r="T40" s="15">
        <f>O35</f>
        <v>3.266506299958432E-2</v>
      </c>
    </row>
    <row r="41" spans="1:47">
      <c r="A41" s="21" t="s">
        <v>54</v>
      </c>
      <c r="B41" s="22">
        <f>B38+B37+B36</f>
        <v>3000</v>
      </c>
      <c r="C41" s="22">
        <f t="shared" ref="C41:N41" si="0">C38+C37+C36</f>
        <v>609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32002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51278</v>
      </c>
      <c r="N41" s="22">
        <f t="shared" si="0"/>
        <v>86889</v>
      </c>
      <c r="O41" s="16">
        <f>N41/N$39</f>
        <v>0.14802517257593001</v>
      </c>
      <c r="P41" s="16" t="s">
        <v>55</v>
      </c>
      <c r="Q41" s="7"/>
      <c r="R41" s="7" t="s">
        <v>56</v>
      </c>
      <c r="S41" s="20">
        <f>N33/1000</f>
        <v>12.039</v>
      </c>
      <c r="T41" s="14">
        <f>O33</f>
        <v>2.0509788956503371E-2</v>
      </c>
    </row>
    <row r="42" spans="1:47">
      <c r="A42" s="23" t="s">
        <v>57</v>
      </c>
      <c r="B42" s="22"/>
      <c r="C42" s="24">
        <f>C39+C23+C10</f>
        <v>124327</v>
      </c>
      <c r="D42" s="24">
        <f t="shared" ref="D42:L42" si="1">D39+D23+D10</f>
        <v>0</v>
      </c>
      <c r="E42" s="24">
        <f t="shared" si="1"/>
        <v>141</v>
      </c>
      <c r="F42" s="24">
        <f t="shared" si="1"/>
        <v>11796</v>
      </c>
      <c r="G42" s="24">
        <f t="shared" si="1"/>
        <v>41586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444805.56</v>
      </c>
      <c r="N42" s="25">
        <f>SUM(C42:M42)</f>
        <v>622655.56000000006</v>
      </c>
      <c r="O42" s="7"/>
      <c r="P42" s="7"/>
      <c r="Q42" s="7"/>
      <c r="R42" s="7" t="s">
        <v>37</v>
      </c>
      <c r="S42" s="20">
        <f>N31/1000</f>
        <v>20.506</v>
      </c>
      <c r="T42" s="14">
        <f>O31</f>
        <v>3.493427463593804E-2</v>
      </c>
    </row>
    <row r="43" spans="1:47">
      <c r="A43" s="23" t="s">
        <v>58</v>
      </c>
      <c r="B43" s="22"/>
      <c r="C43" s="16">
        <f t="shared" ref="C43:M43" si="2">C42/$N42</f>
        <v>0.19967219115493001</v>
      </c>
      <c r="D43" s="16">
        <f t="shared" si="2"/>
        <v>0</v>
      </c>
      <c r="E43" s="16">
        <f t="shared" si="2"/>
        <v>2.2644943538286237E-4</v>
      </c>
      <c r="F43" s="16">
        <f t="shared" si="2"/>
        <v>1.8944663402668403E-2</v>
      </c>
      <c r="G43" s="16">
        <f t="shared" si="2"/>
        <v>6.6788129218664644E-2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0.71436856678835403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332.04199999999997</v>
      </c>
      <c r="T43" s="15">
        <f>O32</f>
        <v>0.56567084846708959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116.33799999999999</v>
      </c>
      <c r="T44" s="15">
        <f>O34</f>
        <v>0.19819485236495465</v>
      </c>
    </row>
    <row r="45" spans="1:47">
      <c r="A45" s="6" t="s">
        <v>61</v>
      </c>
      <c r="B45" s="6">
        <f>B23-B39</f>
        <v>1486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32948.559999999998</v>
      </c>
      <c r="N45" s="25">
        <f>B45+M45</f>
        <v>34434.559999999998</v>
      </c>
      <c r="O45" s="7"/>
      <c r="P45" s="7"/>
      <c r="Q45" s="7"/>
      <c r="R45" s="7" t="s">
        <v>62</v>
      </c>
      <c r="S45" s="20">
        <f>SUM(S39:S44)</f>
        <v>586.98799999999994</v>
      </c>
      <c r="T45" s="14">
        <f>SUM(T39:T44)</f>
        <v>1</v>
      </c>
    </row>
    <row r="46" spans="1: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9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8"/>
      <c r="T48" s="27"/>
      <c r="U48" s="27"/>
      <c r="V48" s="27"/>
      <c r="W48" s="28"/>
      <c r="X48" s="28"/>
      <c r="Y48" s="27"/>
      <c r="Z48" s="27"/>
      <c r="AA48" s="27"/>
      <c r="AB48" s="27"/>
      <c r="AC48" s="27"/>
      <c r="AD48" s="27"/>
      <c r="AE48" s="28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8"/>
      <c r="D49" s="2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8"/>
      <c r="D51" s="2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7"/>
      <c r="Q53" s="27"/>
      <c r="R53" s="4"/>
      <c r="S53" s="28"/>
      <c r="T53" s="27"/>
      <c r="U53" s="27"/>
      <c r="V53" s="27"/>
      <c r="W53" s="28"/>
      <c r="X53" s="28"/>
      <c r="Y53" s="27"/>
      <c r="Z53" s="27"/>
      <c r="AA53" s="27"/>
      <c r="AB53" s="27"/>
      <c r="AC53" s="27"/>
      <c r="AD53" s="27"/>
      <c r="AE53" s="28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8"/>
      <c r="T54" s="27"/>
      <c r="U54" s="27"/>
      <c r="V54" s="27"/>
      <c r="W54" s="28"/>
      <c r="X54" s="28"/>
      <c r="Y54" s="27"/>
      <c r="Z54" s="27"/>
      <c r="AA54" s="27"/>
      <c r="AB54" s="27"/>
      <c r="AC54" s="27"/>
      <c r="AD54" s="27"/>
      <c r="AE54" s="28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8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8"/>
      <c r="T55" s="27"/>
      <c r="U55" s="27"/>
      <c r="V55" s="27"/>
      <c r="W55" s="28"/>
      <c r="X55" s="28"/>
      <c r="Y55" s="27"/>
      <c r="Z55" s="27"/>
      <c r="AA55" s="27"/>
      <c r="AB55" s="27"/>
      <c r="AC55" s="27"/>
      <c r="AD55" s="27"/>
      <c r="AE55" s="28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8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8"/>
      <c r="T56" s="27"/>
      <c r="U56" s="27"/>
      <c r="V56" s="27"/>
      <c r="W56" s="28"/>
      <c r="X56" s="28"/>
      <c r="Y56" s="27"/>
      <c r="Z56" s="27"/>
      <c r="AA56" s="27"/>
      <c r="AB56" s="27"/>
      <c r="AC56" s="27"/>
      <c r="AD56" s="27"/>
      <c r="AE56" s="28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7DCB265C-5321-411D-9548-EFFE5A518CAF}"/>
</file>

<file path=customXml/itemProps2.xml><?xml version="1.0" encoding="utf-8"?>
<ds:datastoreItem xmlns:ds="http://schemas.openxmlformats.org/officeDocument/2006/customXml" ds:itemID="{AEC5EE3F-2C39-4EC8-AA76-A751006F0DE5}"/>
</file>

<file path=customXml/itemProps3.xml><?xml version="1.0" encoding="utf-8"?>
<ds:datastoreItem xmlns:ds="http://schemas.openxmlformats.org/officeDocument/2006/customXml" ds:itemID="{6F462D3F-6E34-463D-B41C-81607F678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Västra Götalands län</vt:lpstr>
      <vt:lpstr>Härryda</vt:lpstr>
      <vt:lpstr>Partille</vt:lpstr>
      <vt:lpstr>Öckerö</vt:lpstr>
      <vt:lpstr>Stenungsund</vt:lpstr>
      <vt:lpstr>Orust</vt:lpstr>
      <vt:lpstr>Tjörn</vt:lpstr>
      <vt:lpstr>Sotenäs</vt:lpstr>
      <vt:lpstr>Munkedal</vt:lpstr>
      <vt:lpstr>Tanum</vt:lpstr>
      <vt:lpstr>Dals-Ed</vt:lpstr>
      <vt:lpstr>Färgelanda</vt:lpstr>
      <vt:lpstr>Ale</vt:lpstr>
      <vt:lpstr>Lerum</vt:lpstr>
      <vt:lpstr>Vårgårda</vt:lpstr>
      <vt:lpstr>Bollebygd</vt:lpstr>
      <vt:lpstr>Grästorp</vt:lpstr>
      <vt:lpstr>Essunga</vt:lpstr>
      <vt:lpstr>Karlsborg</vt:lpstr>
      <vt:lpstr>Gullspång</vt:lpstr>
      <vt:lpstr>Tranemo</vt:lpstr>
      <vt:lpstr>Bengtsfors</vt:lpstr>
      <vt:lpstr>Mellerud</vt:lpstr>
      <vt:lpstr>Lilla Edet</vt:lpstr>
      <vt:lpstr>Mark</vt:lpstr>
      <vt:lpstr>Svenljunga</vt:lpstr>
      <vt:lpstr>Herrljunga</vt:lpstr>
      <vt:lpstr>Vara</vt:lpstr>
      <vt:lpstr>Götene</vt:lpstr>
      <vt:lpstr>Tibro</vt:lpstr>
      <vt:lpstr>Töreboda</vt:lpstr>
      <vt:lpstr>Göteborg</vt:lpstr>
      <vt:lpstr>Mölndal</vt:lpstr>
      <vt:lpstr>Kungälv</vt:lpstr>
      <vt:lpstr>Lysekil</vt:lpstr>
      <vt:lpstr>Uddevalla</vt:lpstr>
      <vt:lpstr>Strömstad</vt:lpstr>
      <vt:lpstr>Vänersborg</vt:lpstr>
      <vt:lpstr>Trollhättan</vt:lpstr>
      <vt:lpstr>Alingsås</vt:lpstr>
      <vt:lpstr>Borås</vt:lpstr>
      <vt:lpstr>Ulricehamn</vt:lpstr>
      <vt:lpstr>Åmål</vt:lpstr>
      <vt:lpstr>Mariestad</vt:lpstr>
      <vt:lpstr>Lidköping</vt:lpstr>
      <vt:lpstr>Skara</vt:lpstr>
      <vt:lpstr>Skövde</vt:lpstr>
      <vt:lpstr>Hjo</vt:lpstr>
      <vt:lpstr>Tidaholm</vt:lpstr>
      <vt:lpstr>Falköping</vt:lpstr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2016-02-06T11:49:27Z</dcterms:created>
  <dcterms:modified xsi:type="dcterms:W3CDTF">2016-03-30T01:26:01Z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