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3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7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3.xml" ContentType="application/vnd.openxmlformats-officedocument.spreadsheetml.worksheet+xml"/>
  <Override PartName="/xl/worksheets/sheet52.xml" ContentType="application/vnd.openxmlformats-officedocument.spreadsheetml.worksheet+xml"/>
  <Override PartName="/xl/worksheets/sheet51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3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3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1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docProps/core.xml" ContentType="application/vnd.openxmlformats-package.core-properties+xml"/>
  <Override PartName="/xl/comments47.xml" ContentType="application/vnd.openxmlformats-officedocument.spreadsheetml.comments+xml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docProps/app.xml" ContentType="application/vnd.openxmlformats-officedocument.extended-propertie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alcChain.xml" ContentType="application/vnd.openxmlformats-officedocument.spreadsheetml.calcChain+xml"/>
  <Override PartName="/xl/comments48.xml" ContentType="application/vnd.openxmlformats-officedocument.spreadsheetml.comments+xml"/>
  <Override PartName="/xl/comments45.xml" ContentType="application/vnd.openxmlformats-officedocument.spreadsheetml.comments+xml"/>
  <Override PartName="/xl/comments10.xml" ContentType="application/vnd.openxmlformats-officedocument.spreadsheetml.comments+xml"/>
  <Override PartName="/xl/comments25.xml" ContentType="application/vnd.openxmlformats-officedocument.spreadsheetml.comments+xml"/>
  <Override PartName="/xl/comments24.xml" ContentType="application/vnd.openxmlformats-officedocument.spreadsheetml.comments+xml"/>
  <Override PartName="/xl/comments11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30.xml" ContentType="application/vnd.openxmlformats-officedocument.spreadsheetml.comments+xml"/>
  <Override PartName="/xl/comments29.xml" ContentType="application/vnd.openxmlformats-officedocument.spreadsheetml.comments+xml"/>
  <Override PartName="/xl/comments28.xml" ContentType="application/vnd.openxmlformats-officedocument.spreadsheetml.comments+xml"/>
  <Override PartName="/xl/comments23.xml" ContentType="application/vnd.openxmlformats-officedocument.spreadsheetml.comments+xml"/>
  <Override PartName="/xl/comments13.xml" ContentType="application/vnd.openxmlformats-officedocument.spreadsheetml.comments+xml"/>
  <Override PartName="/xl/comments17.xml" ContentType="application/vnd.openxmlformats-officedocument.spreadsheetml.comments+xml"/>
  <Override PartName="/xl/comments16.xml" ContentType="application/vnd.openxmlformats-officedocument.spreadsheetml.comments+xml"/>
  <Override PartName="/xl/comments15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2.xml" ContentType="application/vnd.openxmlformats-officedocument.spreadsheetml.comments+xml"/>
  <Override PartName="/xl/comments21.xml" ContentType="application/vnd.openxmlformats-officedocument.spreadsheetml.comments+xml"/>
  <Override PartName="/xl/comments12.xml" ContentType="application/vnd.openxmlformats-officedocument.spreadsheetml.comments+xml"/>
  <Override PartName="/xl/comments2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.xml" ContentType="application/vnd.openxmlformats-officedocument.spreadsheetml.comments+xml"/>
  <Override PartName="/xl/comments41.xml" ContentType="application/vnd.openxmlformats-officedocument.spreadsheetml.comments+xml"/>
  <Override PartName="/xl/comments40.xml" ContentType="application/vnd.openxmlformats-officedocument.spreadsheetml.comments+xml"/>
  <Override PartName="/xl/comments4.xml" ContentType="application/vnd.openxmlformats-officedocument.spreadsheetml.comments+xml"/>
  <Override PartName="/xl/comments39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2.xml" ContentType="application/vnd.openxmlformats-officedocument.spreadsheetml.comments+xml"/>
  <Override PartName="/xl/comments44.xml" ContentType="application/vnd.openxmlformats-officedocument.spreadsheetml.comments+xml"/>
  <Override PartName="/xl/comments38.xml" ContentType="application/vnd.openxmlformats-officedocument.spreadsheetml.comments+xml"/>
  <Override PartName="/xl/comments34.xml" ContentType="application/vnd.openxmlformats-officedocument.spreadsheetml.comments+xml"/>
  <Override PartName="/xl/comments33.xml" ContentType="application/vnd.openxmlformats-officedocument.spreadsheetml.comments+xml"/>
  <Override PartName="/xl/comments7.xml" ContentType="application/vnd.openxmlformats-officedocument.spreadsheetml.comments+xml"/>
  <Override PartName="/xl/comments6.xml" ContentType="application/vnd.openxmlformats-officedocument.spreadsheetml.comments+xml"/>
  <Override PartName="/xl/comments35.xml" ContentType="application/vnd.openxmlformats-officedocument.spreadsheetml.comments+xml"/>
  <Override PartName="/xl/comments37.xml" ContentType="application/vnd.openxmlformats-officedocument.spreadsheetml.comments+xml"/>
  <Override PartName="/xl/comments5.xml" ContentType="application/vnd.openxmlformats-officedocument.spreadsheetml.comments+xml"/>
  <Override PartName="/xl/comments36.xml" ContentType="application/vnd.openxmlformats-officedocument.spreadsheetml.comments+xml"/>
  <Override PartName="/xl/comments46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740" yWindow="460" windowWidth="27220" windowHeight="17460" tabRatio="991"/>
  </bookViews>
  <sheets>
    <sheet name="Vgötalands län" sheetId="58" r:id="rId1"/>
    <sheet name="Härryda" sheetId="2" r:id="rId2"/>
    <sheet name="Partille" sheetId="3" r:id="rId3"/>
    <sheet name="Öckerö" sheetId="4" r:id="rId4"/>
    <sheet name="Stenungsund" sheetId="5" r:id="rId5"/>
    <sheet name="Tjörn" sheetId="6" r:id="rId6"/>
    <sheet name="Orust" sheetId="7" r:id="rId7"/>
    <sheet name="Sotenäs" sheetId="8" r:id="rId8"/>
    <sheet name="Munkedal" sheetId="9" r:id="rId9"/>
    <sheet name="Tanum" sheetId="10" r:id="rId10"/>
    <sheet name="Dals-Ed" sheetId="11" r:id="rId11"/>
    <sheet name="Färgelanda" sheetId="12" r:id="rId12"/>
    <sheet name="Ale" sheetId="13" r:id="rId13"/>
    <sheet name="Lerum" sheetId="14" r:id="rId14"/>
    <sheet name="Vårgårda" sheetId="15" r:id="rId15"/>
    <sheet name="Bollebygd" sheetId="16" r:id="rId16"/>
    <sheet name="Grästorp" sheetId="17" r:id="rId17"/>
    <sheet name="Essunga" sheetId="18" r:id="rId18"/>
    <sheet name="Karlsborg" sheetId="19" r:id="rId19"/>
    <sheet name="Gullspång" sheetId="20" r:id="rId20"/>
    <sheet name="Tranemo" sheetId="21" r:id="rId21"/>
    <sheet name="Bengtsfors" sheetId="22" r:id="rId22"/>
    <sheet name="Mellerud" sheetId="23" r:id="rId23"/>
    <sheet name="Lilla Edet" sheetId="24" r:id="rId24"/>
    <sheet name="Mark" sheetId="25" r:id="rId25"/>
    <sheet name="Svenljunga" sheetId="26" r:id="rId26"/>
    <sheet name="Herrljunga" sheetId="27" r:id="rId27"/>
    <sheet name="Vara" sheetId="28" r:id="rId28"/>
    <sheet name="Götene" sheetId="29" r:id="rId29"/>
    <sheet name="Tibro" sheetId="30" r:id="rId30"/>
    <sheet name="Töreboda" sheetId="31" r:id="rId31"/>
    <sheet name="Göteborg" sheetId="32" r:id="rId32"/>
    <sheet name="Mölndal" sheetId="33" r:id="rId33"/>
    <sheet name="Kungälv" sheetId="34" r:id="rId34"/>
    <sheet name="Lysekil" sheetId="35" r:id="rId35"/>
    <sheet name="Uddevalla" sheetId="36" r:id="rId36"/>
    <sheet name="Strömstad" sheetId="37" r:id="rId37"/>
    <sheet name="Vänersborg" sheetId="38" r:id="rId38"/>
    <sheet name="Trollhättan" sheetId="39" r:id="rId39"/>
    <sheet name="Alingsås" sheetId="40" r:id="rId40"/>
    <sheet name="Borås" sheetId="41" r:id="rId41"/>
    <sheet name="Ulricehamn" sheetId="42" r:id="rId42"/>
    <sheet name="Åmål" sheetId="43" r:id="rId43"/>
    <sheet name="Mariestad" sheetId="44" r:id="rId44"/>
    <sheet name="Lidköping" sheetId="45" r:id="rId45"/>
    <sheet name="Skara" sheetId="46" r:id="rId46"/>
    <sheet name="Skövde" sheetId="47" r:id="rId47"/>
    <sheet name="Hjo" sheetId="48" r:id="rId48"/>
    <sheet name="Tidaholm" sheetId="49" r:id="rId49"/>
    <sheet name="Falköping" sheetId="50" r:id="rId50"/>
    <sheet name="Blad1" sheetId="52" state="hidden" r:id="rId51"/>
    <sheet name="Blad2" sheetId="53" state="hidden" r:id="rId52"/>
    <sheet name="Blad3" sheetId="54" state="hidden" r:id="rId53"/>
    <sheet name="Blad4" sheetId="55" state="hidden" r:id="rId54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5" i="58" l="1"/>
  <c r="T35" i="58"/>
  <c r="F32" i="58"/>
  <c r="N42" i="58"/>
  <c r="L23" i="26"/>
  <c r="L42" i="26"/>
  <c r="C39" i="26"/>
  <c r="C42" i="26"/>
  <c r="D42" i="26"/>
  <c r="E39" i="26"/>
  <c r="E42" i="26"/>
  <c r="F42" i="26"/>
  <c r="G42" i="26"/>
  <c r="H42" i="26"/>
  <c r="I42" i="26"/>
  <c r="J42" i="26"/>
  <c r="K42" i="26"/>
  <c r="M42" i="26"/>
  <c r="N18" i="26"/>
  <c r="N23" i="26"/>
  <c r="N45" i="26"/>
  <c r="N42" i="26"/>
  <c r="O42" i="26"/>
  <c r="L43" i="26"/>
  <c r="U29" i="26"/>
  <c r="T29" i="26"/>
  <c r="N45" i="3"/>
  <c r="N42" i="3"/>
  <c r="C39" i="3"/>
  <c r="C42" i="3"/>
  <c r="D42" i="3"/>
  <c r="E39" i="3"/>
  <c r="E42" i="3"/>
  <c r="F42" i="3"/>
  <c r="G39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39" i="4"/>
  <c r="N45" i="4"/>
  <c r="N42" i="4"/>
  <c r="C39" i="4"/>
  <c r="C42" i="4"/>
  <c r="D42" i="4"/>
  <c r="E39" i="4"/>
  <c r="E42" i="4"/>
  <c r="F42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32" i="5"/>
  <c r="N39" i="5"/>
  <c r="N45" i="5"/>
  <c r="N42" i="5"/>
  <c r="C42" i="5"/>
  <c r="D42" i="5"/>
  <c r="E42" i="5"/>
  <c r="F42" i="5"/>
  <c r="G42" i="5"/>
  <c r="H42" i="5"/>
  <c r="I42" i="5"/>
  <c r="J42" i="5"/>
  <c r="K42" i="5"/>
  <c r="L39" i="5"/>
  <c r="L42" i="5"/>
  <c r="M39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45" i="6"/>
  <c r="N42" i="6"/>
  <c r="C42" i="6"/>
  <c r="D42" i="6"/>
  <c r="O36" i="6"/>
  <c r="O34" i="6"/>
  <c r="F34" i="6"/>
  <c r="F39" i="6"/>
  <c r="E39" i="6"/>
  <c r="E42" i="6"/>
  <c r="F42" i="6"/>
  <c r="G42" i="6"/>
  <c r="H42" i="6"/>
  <c r="I42" i="6"/>
  <c r="J42" i="6"/>
  <c r="K42" i="6"/>
  <c r="L42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K43" i="6"/>
  <c r="U30" i="6"/>
  <c r="I43" i="6"/>
  <c r="U31" i="6"/>
  <c r="H43" i="6"/>
  <c r="U32" i="6"/>
  <c r="C43" i="6"/>
  <c r="U33" i="6"/>
  <c r="U34" i="6"/>
  <c r="N45" i="7"/>
  <c r="N42" i="7"/>
  <c r="C18" i="7"/>
  <c r="C23" i="7"/>
  <c r="C42" i="7"/>
  <c r="D42" i="7"/>
  <c r="E42" i="7"/>
  <c r="F42" i="7"/>
  <c r="G18" i="7"/>
  <c r="G23" i="7"/>
  <c r="G42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45" i="8"/>
  <c r="N42" i="8"/>
  <c r="C39" i="8"/>
  <c r="C42" i="8"/>
  <c r="D42" i="8"/>
  <c r="E39" i="8"/>
  <c r="E42" i="8"/>
  <c r="F42" i="8"/>
  <c r="G39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39" i="9"/>
  <c r="N45" i="9"/>
  <c r="N42" i="9"/>
  <c r="C39" i="9"/>
  <c r="C42" i="9"/>
  <c r="D42" i="9"/>
  <c r="E39" i="9"/>
  <c r="E42" i="9"/>
  <c r="F42" i="9"/>
  <c r="G39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45" i="10"/>
  <c r="N42" i="10"/>
  <c r="C42" i="10"/>
  <c r="D42" i="10"/>
  <c r="E39" i="10"/>
  <c r="E42" i="10"/>
  <c r="F34" i="10"/>
  <c r="F39" i="10"/>
  <c r="F42" i="10"/>
  <c r="G39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39" i="11"/>
  <c r="N45" i="11"/>
  <c r="N42" i="11"/>
  <c r="C42" i="11"/>
  <c r="D42" i="11"/>
  <c r="E42" i="11"/>
  <c r="F42" i="11"/>
  <c r="O36" i="11"/>
  <c r="O32" i="11"/>
  <c r="C32" i="11"/>
  <c r="G32" i="11"/>
  <c r="G39" i="11"/>
  <c r="G42" i="11"/>
  <c r="H42" i="11"/>
  <c r="I42" i="11"/>
  <c r="J42" i="11"/>
  <c r="K42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N39" i="12"/>
  <c r="N45" i="12"/>
  <c r="N42" i="12"/>
  <c r="C39" i="12"/>
  <c r="C42" i="12"/>
  <c r="D42" i="12"/>
  <c r="E42" i="12"/>
  <c r="F42" i="12"/>
  <c r="G42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N32" i="13"/>
  <c r="N39" i="13"/>
  <c r="N45" i="13"/>
  <c r="N42" i="13"/>
  <c r="C18" i="13"/>
  <c r="C23" i="13"/>
  <c r="C42" i="13"/>
  <c r="D42" i="13"/>
  <c r="E39" i="13"/>
  <c r="E42" i="13"/>
  <c r="F42" i="13"/>
  <c r="G18" i="13"/>
  <c r="G23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39" i="14"/>
  <c r="N45" i="14"/>
  <c r="N42" i="14"/>
  <c r="C42" i="14"/>
  <c r="D42" i="14"/>
  <c r="E42" i="14"/>
  <c r="F42" i="14"/>
  <c r="O39" i="14"/>
  <c r="G39" i="14"/>
  <c r="G18" i="14"/>
  <c r="G23" i="14"/>
  <c r="G42" i="14"/>
  <c r="H42" i="14"/>
  <c r="I42" i="14"/>
  <c r="J42" i="14"/>
  <c r="K42" i="14"/>
  <c r="L42" i="14"/>
  <c r="M42" i="14"/>
  <c r="O42" i="14"/>
  <c r="N43" i="14"/>
  <c r="U24" i="14"/>
  <c r="G43" i="14"/>
  <c r="U25" i="14"/>
  <c r="J43" i="14"/>
  <c r="U26" i="14"/>
  <c r="F43" i="14"/>
  <c r="U27" i="14"/>
  <c r="E43" i="14"/>
  <c r="U28" i="14"/>
  <c r="D43" i="14"/>
  <c r="U29" i="14"/>
  <c r="K43" i="14"/>
  <c r="U30" i="14"/>
  <c r="I43" i="14"/>
  <c r="U31" i="14"/>
  <c r="H43" i="14"/>
  <c r="U32" i="14"/>
  <c r="C43" i="14"/>
  <c r="U33" i="14"/>
  <c r="U34" i="14"/>
  <c r="C42" i="15"/>
  <c r="D42" i="15"/>
  <c r="E42" i="15"/>
  <c r="F42" i="15"/>
  <c r="G42" i="15"/>
  <c r="H42" i="15"/>
  <c r="I42" i="15"/>
  <c r="J42" i="15"/>
  <c r="K42" i="15"/>
  <c r="M42" i="15"/>
  <c r="N39" i="15"/>
  <c r="N45" i="15"/>
  <c r="N42" i="15"/>
  <c r="O42" i="15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U32" i="15"/>
  <c r="C43" i="15"/>
  <c r="U33" i="15"/>
  <c r="U34" i="15"/>
  <c r="N45" i="16"/>
  <c r="N42" i="16"/>
  <c r="C42" i="16"/>
  <c r="D42" i="16"/>
  <c r="E42" i="16"/>
  <c r="F42" i="16"/>
  <c r="G42" i="16"/>
  <c r="H42" i="16"/>
  <c r="I42" i="16"/>
  <c r="J42" i="16"/>
  <c r="K42" i="16"/>
  <c r="L42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N45" i="17"/>
  <c r="N42" i="17"/>
  <c r="C42" i="17"/>
  <c r="D42" i="17"/>
  <c r="E42" i="17"/>
  <c r="F42" i="17"/>
  <c r="G42" i="17"/>
  <c r="H42" i="17"/>
  <c r="I42" i="17"/>
  <c r="J42" i="17"/>
  <c r="K42" i="17"/>
  <c r="L42" i="17"/>
  <c r="M42" i="17"/>
  <c r="O42" i="17"/>
  <c r="N43" i="17"/>
  <c r="U24" i="17"/>
  <c r="G43" i="17"/>
  <c r="U25" i="17"/>
  <c r="J43" i="17"/>
  <c r="U26" i="17"/>
  <c r="F43" i="17"/>
  <c r="U27" i="17"/>
  <c r="E43" i="17"/>
  <c r="U28" i="17"/>
  <c r="D43" i="17"/>
  <c r="U29" i="17"/>
  <c r="K43" i="17"/>
  <c r="U30" i="17"/>
  <c r="I43" i="17"/>
  <c r="U31" i="17"/>
  <c r="H43" i="17"/>
  <c r="U32" i="17"/>
  <c r="C43" i="17"/>
  <c r="U33" i="17"/>
  <c r="U34" i="17"/>
  <c r="N45" i="18"/>
  <c r="N42" i="18"/>
  <c r="C42" i="18"/>
  <c r="D42" i="18"/>
  <c r="B36" i="18"/>
  <c r="B39" i="18"/>
  <c r="E39" i="18"/>
  <c r="E42" i="18"/>
  <c r="F42" i="18"/>
  <c r="G23" i="18"/>
  <c r="G42" i="18"/>
  <c r="H42" i="18"/>
  <c r="I42" i="18"/>
  <c r="J42" i="18"/>
  <c r="K42" i="18"/>
  <c r="L42" i="18"/>
  <c r="M42" i="18"/>
  <c r="O42" i="18"/>
  <c r="N43" i="18"/>
  <c r="U24" i="18"/>
  <c r="G43" i="18"/>
  <c r="U25" i="18"/>
  <c r="J43" i="18"/>
  <c r="U26" i="18"/>
  <c r="F43" i="18"/>
  <c r="U27" i="18"/>
  <c r="E43" i="18"/>
  <c r="U28" i="18"/>
  <c r="D43" i="18"/>
  <c r="U29" i="18"/>
  <c r="K43" i="18"/>
  <c r="U30" i="18"/>
  <c r="I43" i="18"/>
  <c r="U31" i="18"/>
  <c r="H43" i="18"/>
  <c r="U32" i="18"/>
  <c r="C43" i="18"/>
  <c r="U33" i="18"/>
  <c r="U34" i="18"/>
  <c r="N45" i="19"/>
  <c r="N42" i="19"/>
  <c r="C39" i="19"/>
  <c r="C23" i="19"/>
  <c r="C42" i="19"/>
  <c r="D23" i="19"/>
  <c r="D42" i="19"/>
  <c r="E39" i="19"/>
  <c r="E23" i="19"/>
  <c r="E42" i="19"/>
  <c r="F23" i="19"/>
  <c r="F42" i="19"/>
  <c r="G23" i="19"/>
  <c r="G42" i="19"/>
  <c r="H23" i="19"/>
  <c r="H42" i="19"/>
  <c r="I42" i="19"/>
  <c r="J42" i="19"/>
  <c r="K42" i="19"/>
  <c r="L42" i="19"/>
  <c r="M42" i="19"/>
  <c r="O42" i="19"/>
  <c r="N43" i="19"/>
  <c r="U24" i="19"/>
  <c r="G43" i="19"/>
  <c r="U25" i="19"/>
  <c r="J43" i="19"/>
  <c r="U26" i="19"/>
  <c r="F43" i="19"/>
  <c r="U27" i="19"/>
  <c r="E43" i="19"/>
  <c r="U28" i="19"/>
  <c r="D43" i="19"/>
  <c r="U29" i="19"/>
  <c r="K43" i="19"/>
  <c r="U30" i="19"/>
  <c r="I43" i="19"/>
  <c r="U31" i="19"/>
  <c r="H43" i="19"/>
  <c r="U32" i="19"/>
  <c r="C43" i="19"/>
  <c r="U33" i="19"/>
  <c r="U34" i="19"/>
  <c r="N45" i="20"/>
  <c r="N42" i="20"/>
  <c r="C39" i="20"/>
  <c r="C42" i="20"/>
  <c r="D42" i="20"/>
  <c r="E42" i="20"/>
  <c r="F42" i="20"/>
  <c r="G39" i="20"/>
  <c r="G42" i="20"/>
  <c r="H42" i="20"/>
  <c r="I42" i="20"/>
  <c r="J42" i="20"/>
  <c r="K42" i="20"/>
  <c r="L42" i="20"/>
  <c r="M42" i="20"/>
  <c r="O42" i="20"/>
  <c r="N43" i="20"/>
  <c r="U24" i="20"/>
  <c r="G43" i="20"/>
  <c r="U25" i="20"/>
  <c r="J43" i="20"/>
  <c r="U26" i="20"/>
  <c r="F43" i="20"/>
  <c r="U27" i="20"/>
  <c r="E43" i="20"/>
  <c r="U28" i="20"/>
  <c r="D43" i="20"/>
  <c r="U29" i="20"/>
  <c r="K43" i="20"/>
  <c r="U30" i="20"/>
  <c r="I43" i="20"/>
  <c r="U31" i="20"/>
  <c r="H43" i="20"/>
  <c r="U32" i="20"/>
  <c r="C43" i="20"/>
  <c r="U33" i="20"/>
  <c r="U34" i="20"/>
  <c r="N32" i="21"/>
  <c r="N39" i="21"/>
  <c r="N45" i="21"/>
  <c r="N42" i="21"/>
  <c r="C42" i="21"/>
  <c r="D42" i="21"/>
  <c r="B39" i="21"/>
  <c r="E39" i="21"/>
  <c r="E42" i="21"/>
  <c r="F42" i="21"/>
  <c r="B18" i="21"/>
  <c r="G18" i="21"/>
  <c r="G23" i="21"/>
  <c r="G42" i="21"/>
  <c r="H42" i="21"/>
  <c r="I42" i="21"/>
  <c r="J42" i="21"/>
  <c r="K42" i="21"/>
  <c r="L42" i="21"/>
  <c r="M42" i="21"/>
  <c r="O42" i="21"/>
  <c r="N43" i="21"/>
  <c r="U24" i="21"/>
  <c r="G43" i="21"/>
  <c r="U25" i="21"/>
  <c r="J43" i="21"/>
  <c r="U26" i="21"/>
  <c r="F43" i="21"/>
  <c r="U27" i="21"/>
  <c r="E43" i="21"/>
  <c r="U28" i="21"/>
  <c r="D43" i="21"/>
  <c r="U29" i="21"/>
  <c r="K43" i="21"/>
  <c r="U30" i="21"/>
  <c r="I43" i="21"/>
  <c r="U31" i="21"/>
  <c r="H43" i="21"/>
  <c r="U32" i="21"/>
  <c r="C43" i="21"/>
  <c r="U33" i="21"/>
  <c r="U34" i="21"/>
  <c r="N39" i="22"/>
  <c r="N45" i="22"/>
  <c r="N42" i="22"/>
  <c r="C42" i="22"/>
  <c r="D42" i="22"/>
  <c r="E42" i="22"/>
  <c r="C34" i="22"/>
  <c r="F34" i="22"/>
  <c r="F39" i="22"/>
  <c r="F42" i="22"/>
  <c r="G39" i="22"/>
  <c r="G42" i="22"/>
  <c r="H39" i="22"/>
  <c r="H42" i="22"/>
  <c r="I39" i="22"/>
  <c r="I42" i="22"/>
  <c r="J42" i="22"/>
  <c r="K42" i="22"/>
  <c r="L39" i="22"/>
  <c r="L42" i="22"/>
  <c r="M42" i="22"/>
  <c r="O42" i="22"/>
  <c r="N43" i="22"/>
  <c r="U24" i="22"/>
  <c r="G43" i="22"/>
  <c r="U25" i="22"/>
  <c r="J43" i="22"/>
  <c r="U26" i="22"/>
  <c r="F43" i="22"/>
  <c r="U27" i="22"/>
  <c r="E43" i="22"/>
  <c r="U28" i="22"/>
  <c r="D43" i="22"/>
  <c r="U29" i="22"/>
  <c r="K43" i="22"/>
  <c r="U30" i="22"/>
  <c r="I43" i="22"/>
  <c r="U31" i="22"/>
  <c r="H43" i="22"/>
  <c r="U32" i="22"/>
  <c r="C43" i="22"/>
  <c r="U33" i="22"/>
  <c r="U34" i="22"/>
  <c r="N32" i="23"/>
  <c r="N39" i="23"/>
  <c r="N23" i="23"/>
  <c r="N45" i="23"/>
  <c r="N42" i="23"/>
  <c r="C23" i="23"/>
  <c r="C42" i="23"/>
  <c r="D23" i="23"/>
  <c r="D42" i="23"/>
  <c r="E23" i="23"/>
  <c r="E42" i="23"/>
  <c r="F23" i="23"/>
  <c r="F42" i="23"/>
  <c r="G23" i="23"/>
  <c r="G42" i="23"/>
  <c r="H42" i="23"/>
  <c r="I42" i="23"/>
  <c r="J42" i="23"/>
  <c r="K42" i="23"/>
  <c r="L42" i="23"/>
  <c r="M42" i="23"/>
  <c r="O42" i="23"/>
  <c r="N43" i="23"/>
  <c r="U24" i="23"/>
  <c r="G43" i="23"/>
  <c r="U25" i="23"/>
  <c r="J43" i="23"/>
  <c r="U26" i="23"/>
  <c r="F43" i="23"/>
  <c r="U27" i="23"/>
  <c r="E43" i="23"/>
  <c r="U28" i="23"/>
  <c r="D43" i="23"/>
  <c r="U29" i="23"/>
  <c r="K43" i="23"/>
  <c r="U30" i="23"/>
  <c r="I43" i="23"/>
  <c r="U31" i="23"/>
  <c r="H43" i="23"/>
  <c r="U32" i="23"/>
  <c r="C43" i="23"/>
  <c r="U33" i="23"/>
  <c r="U34" i="23"/>
  <c r="N45" i="24"/>
  <c r="N42" i="24"/>
  <c r="C42" i="24"/>
  <c r="D42" i="24"/>
  <c r="E39" i="24"/>
  <c r="E42" i="24"/>
  <c r="F42" i="24"/>
  <c r="G39" i="24"/>
  <c r="G18" i="24"/>
  <c r="G23" i="24"/>
  <c r="G42" i="24"/>
  <c r="H42" i="24"/>
  <c r="I42" i="24"/>
  <c r="J42" i="24"/>
  <c r="K42" i="24"/>
  <c r="L42" i="24"/>
  <c r="M42" i="24"/>
  <c r="O42" i="24"/>
  <c r="N43" i="24"/>
  <c r="U24" i="24"/>
  <c r="G43" i="24"/>
  <c r="U25" i="24"/>
  <c r="J43" i="24"/>
  <c r="U26" i="24"/>
  <c r="F43" i="24"/>
  <c r="U27" i="24"/>
  <c r="E43" i="24"/>
  <c r="U28" i="24"/>
  <c r="D43" i="24"/>
  <c r="U29" i="24"/>
  <c r="K43" i="24"/>
  <c r="U30" i="24"/>
  <c r="I43" i="24"/>
  <c r="U31" i="24"/>
  <c r="H43" i="24"/>
  <c r="U32" i="24"/>
  <c r="C43" i="24"/>
  <c r="U33" i="24"/>
  <c r="U34" i="24"/>
  <c r="N45" i="25"/>
  <c r="N42" i="25"/>
  <c r="C42" i="25"/>
  <c r="D42" i="25"/>
  <c r="E42" i="25"/>
  <c r="F42" i="25"/>
  <c r="G42" i="25"/>
  <c r="H42" i="25"/>
  <c r="I42" i="25"/>
  <c r="J42" i="25"/>
  <c r="K42" i="25"/>
  <c r="L42" i="25"/>
  <c r="M42" i="25"/>
  <c r="O42" i="25"/>
  <c r="N43" i="25"/>
  <c r="U24" i="25"/>
  <c r="G43" i="25"/>
  <c r="U25" i="25"/>
  <c r="J43" i="25"/>
  <c r="U26" i="25"/>
  <c r="F43" i="25"/>
  <c r="U27" i="25"/>
  <c r="E43" i="25"/>
  <c r="U28" i="25"/>
  <c r="D43" i="25"/>
  <c r="U29" i="25"/>
  <c r="K43" i="25"/>
  <c r="U30" i="25"/>
  <c r="I43" i="25"/>
  <c r="U31" i="25"/>
  <c r="H43" i="25"/>
  <c r="U32" i="25"/>
  <c r="C43" i="25"/>
  <c r="U33" i="25"/>
  <c r="U34" i="25"/>
  <c r="N43" i="26"/>
  <c r="U24" i="26"/>
  <c r="G43" i="26"/>
  <c r="U25" i="26"/>
  <c r="J43" i="26"/>
  <c r="U26" i="26"/>
  <c r="F43" i="26"/>
  <c r="U27" i="26"/>
  <c r="E43" i="26"/>
  <c r="U28" i="26"/>
  <c r="D43" i="26"/>
  <c r="K43" i="26"/>
  <c r="U30" i="26"/>
  <c r="I43" i="26"/>
  <c r="U31" i="26"/>
  <c r="H43" i="26"/>
  <c r="U32" i="26"/>
  <c r="C43" i="26"/>
  <c r="U33" i="26"/>
  <c r="U34" i="26"/>
  <c r="N18" i="27"/>
  <c r="N23" i="27"/>
  <c r="N45" i="27"/>
  <c r="N42" i="27"/>
  <c r="C42" i="27"/>
  <c r="D42" i="27"/>
  <c r="E42" i="27"/>
  <c r="F42" i="27"/>
  <c r="G18" i="27"/>
  <c r="G23" i="27"/>
  <c r="G42" i="27"/>
  <c r="H42" i="27"/>
  <c r="I42" i="27"/>
  <c r="J42" i="27"/>
  <c r="K42" i="27"/>
  <c r="L42" i="27"/>
  <c r="M42" i="27"/>
  <c r="O42" i="27"/>
  <c r="N43" i="27"/>
  <c r="U24" i="27"/>
  <c r="G43" i="27"/>
  <c r="U25" i="27"/>
  <c r="J43" i="27"/>
  <c r="U26" i="27"/>
  <c r="F43" i="27"/>
  <c r="U27" i="27"/>
  <c r="E43" i="27"/>
  <c r="U28" i="27"/>
  <c r="D43" i="27"/>
  <c r="U29" i="27"/>
  <c r="K43" i="27"/>
  <c r="U30" i="27"/>
  <c r="I43" i="27"/>
  <c r="U31" i="27"/>
  <c r="H43" i="27"/>
  <c r="U32" i="27"/>
  <c r="C43" i="27"/>
  <c r="U33" i="27"/>
  <c r="U34" i="27"/>
  <c r="N45" i="28"/>
  <c r="N42" i="28"/>
  <c r="C42" i="28"/>
  <c r="D42" i="28"/>
  <c r="E42" i="28"/>
  <c r="F42" i="28"/>
  <c r="G42" i="28"/>
  <c r="H42" i="28"/>
  <c r="I42" i="28"/>
  <c r="J42" i="28"/>
  <c r="K42" i="28"/>
  <c r="L42" i="28"/>
  <c r="M42" i="28"/>
  <c r="O42" i="28"/>
  <c r="N43" i="28"/>
  <c r="U24" i="28"/>
  <c r="G43" i="28"/>
  <c r="U25" i="28"/>
  <c r="J43" i="28"/>
  <c r="U26" i="28"/>
  <c r="F43" i="28"/>
  <c r="U27" i="28"/>
  <c r="E43" i="28"/>
  <c r="U28" i="28"/>
  <c r="D43" i="28"/>
  <c r="U29" i="28"/>
  <c r="K43" i="28"/>
  <c r="U30" i="28"/>
  <c r="I43" i="28"/>
  <c r="U31" i="28"/>
  <c r="H43" i="28"/>
  <c r="U32" i="28"/>
  <c r="C43" i="28"/>
  <c r="U33" i="28"/>
  <c r="U34" i="28"/>
  <c r="N45" i="29"/>
  <c r="N42" i="29"/>
  <c r="C42" i="29"/>
  <c r="D39" i="29"/>
  <c r="D42" i="29"/>
  <c r="E39" i="29"/>
  <c r="E42" i="29"/>
  <c r="F42" i="29"/>
  <c r="G39" i="29"/>
  <c r="G42" i="29"/>
  <c r="H42" i="29"/>
  <c r="I42" i="29"/>
  <c r="J42" i="29"/>
  <c r="K42" i="29"/>
  <c r="L42" i="29"/>
  <c r="M42" i="29"/>
  <c r="O42" i="29"/>
  <c r="N43" i="29"/>
  <c r="U24" i="29"/>
  <c r="G43" i="29"/>
  <c r="U25" i="29"/>
  <c r="J43" i="29"/>
  <c r="U26" i="29"/>
  <c r="F43" i="29"/>
  <c r="U27" i="29"/>
  <c r="E43" i="29"/>
  <c r="U28" i="29"/>
  <c r="D43" i="29"/>
  <c r="U29" i="29"/>
  <c r="K43" i="29"/>
  <c r="U30" i="29"/>
  <c r="I43" i="29"/>
  <c r="U31" i="29"/>
  <c r="H43" i="29"/>
  <c r="U32" i="29"/>
  <c r="C43" i="29"/>
  <c r="U33" i="29"/>
  <c r="U34" i="29"/>
  <c r="N45" i="30"/>
  <c r="N42" i="30"/>
  <c r="C42" i="30"/>
  <c r="D42" i="30"/>
  <c r="E42" i="30"/>
  <c r="F42" i="30"/>
  <c r="G42" i="30"/>
  <c r="H42" i="30"/>
  <c r="I42" i="30"/>
  <c r="J42" i="30"/>
  <c r="K42" i="30"/>
  <c r="L42" i="30"/>
  <c r="M42" i="30"/>
  <c r="O42" i="30"/>
  <c r="N43" i="30"/>
  <c r="U24" i="30"/>
  <c r="G43" i="30"/>
  <c r="U25" i="30"/>
  <c r="J43" i="30"/>
  <c r="U26" i="30"/>
  <c r="F43" i="30"/>
  <c r="U27" i="30"/>
  <c r="E43" i="30"/>
  <c r="U28" i="30"/>
  <c r="D43" i="30"/>
  <c r="U29" i="30"/>
  <c r="K43" i="30"/>
  <c r="U30" i="30"/>
  <c r="I43" i="30"/>
  <c r="U31" i="30"/>
  <c r="H43" i="30"/>
  <c r="U32" i="30"/>
  <c r="C43" i="30"/>
  <c r="U33" i="30"/>
  <c r="U34" i="30"/>
  <c r="N45" i="31"/>
  <c r="N42" i="31"/>
  <c r="C23" i="31"/>
  <c r="C42" i="31"/>
  <c r="D23" i="31"/>
  <c r="D42" i="31"/>
  <c r="E23" i="31"/>
  <c r="E42" i="31"/>
  <c r="F23" i="31"/>
  <c r="F42" i="31"/>
  <c r="G23" i="31"/>
  <c r="G42" i="31"/>
  <c r="H42" i="31"/>
  <c r="I42" i="31"/>
  <c r="J42" i="31"/>
  <c r="K42" i="31"/>
  <c r="L42" i="31"/>
  <c r="M42" i="31"/>
  <c r="O42" i="31"/>
  <c r="N43" i="31"/>
  <c r="U24" i="31"/>
  <c r="G43" i="31"/>
  <c r="U25" i="31"/>
  <c r="J43" i="31"/>
  <c r="U26" i="31"/>
  <c r="F43" i="31"/>
  <c r="U27" i="31"/>
  <c r="E43" i="31"/>
  <c r="U28" i="31"/>
  <c r="D43" i="31"/>
  <c r="U29" i="31"/>
  <c r="K43" i="31"/>
  <c r="U30" i="31"/>
  <c r="I43" i="31"/>
  <c r="U31" i="31"/>
  <c r="H43" i="31"/>
  <c r="U32" i="31"/>
  <c r="C43" i="31"/>
  <c r="U33" i="31"/>
  <c r="U34" i="31"/>
  <c r="N23" i="32"/>
  <c r="N45" i="32"/>
  <c r="N42" i="32"/>
  <c r="C39" i="32"/>
  <c r="C23" i="32"/>
  <c r="C42" i="32"/>
  <c r="D23" i="32"/>
  <c r="D42" i="32"/>
  <c r="E32" i="32"/>
  <c r="E39" i="32"/>
  <c r="E23" i="32"/>
  <c r="E42" i="32"/>
  <c r="F23" i="32"/>
  <c r="F42" i="32"/>
  <c r="G39" i="32"/>
  <c r="G23" i="32"/>
  <c r="G42" i="32"/>
  <c r="H23" i="32"/>
  <c r="H42" i="32"/>
  <c r="I42" i="32"/>
  <c r="J42" i="32"/>
  <c r="K23" i="32"/>
  <c r="K42" i="32"/>
  <c r="L39" i="32"/>
  <c r="L42" i="32"/>
  <c r="M42" i="32"/>
  <c r="O42" i="32"/>
  <c r="N43" i="32"/>
  <c r="U24" i="32"/>
  <c r="G43" i="32"/>
  <c r="U25" i="32"/>
  <c r="J43" i="32"/>
  <c r="U26" i="32"/>
  <c r="F43" i="32"/>
  <c r="U27" i="32"/>
  <c r="E43" i="32"/>
  <c r="U28" i="32"/>
  <c r="D43" i="32"/>
  <c r="U29" i="32"/>
  <c r="K43" i="32"/>
  <c r="U30" i="32"/>
  <c r="I43" i="32"/>
  <c r="U31" i="32"/>
  <c r="H43" i="32"/>
  <c r="U32" i="32"/>
  <c r="C43" i="32"/>
  <c r="U33" i="32"/>
  <c r="U34" i="32"/>
  <c r="N45" i="33"/>
  <c r="N42" i="33"/>
  <c r="C42" i="33"/>
  <c r="D23" i="33"/>
  <c r="D42" i="33"/>
  <c r="E39" i="33"/>
  <c r="E42" i="33"/>
  <c r="F42" i="33"/>
  <c r="G39" i="33"/>
  <c r="G17" i="33"/>
  <c r="G23" i="33"/>
  <c r="G42" i="33"/>
  <c r="H42" i="33"/>
  <c r="I42" i="33"/>
  <c r="J23" i="33"/>
  <c r="J42" i="33"/>
  <c r="K42" i="33"/>
  <c r="L39" i="33"/>
  <c r="L17" i="33"/>
  <c r="L23" i="33"/>
  <c r="L42" i="33"/>
  <c r="M42" i="33"/>
  <c r="O42" i="33"/>
  <c r="N43" i="33"/>
  <c r="U24" i="33"/>
  <c r="G43" i="33"/>
  <c r="U25" i="33"/>
  <c r="J43" i="33"/>
  <c r="U26" i="33"/>
  <c r="F43" i="33"/>
  <c r="U27" i="33"/>
  <c r="E43" i="33"/>
  <c r="U28" i="33"/>
  <c r="D43" i="33"/>
  <c r="U29" i="33"/>
  <c r="K43" i="33"/>
  <c r="U30" i="33"/>
  <c r="I43" i="33"/>
  <c r="U31" i="33"/>
  <c r="H43" i="33"/>
  <c r="U32" i="33"/>
  <c r="C43" i="33"/>
  <c r="U33" i="33"/>
  <c r="U34" i="33"/>
  <c r="N39" i="34"/>
  <c r="N45" i="34"/>
  <c r="N42" i="34"/>
  <c r="C42" i="34"/>
  <c r="D42" i="34"/>
  <c r="E32" i="34"/>
  <c r="E39" i="34"/>
  <c r="E42" i="34"/>
  <c r="F42" i="34"/>
  <c r="G23" i="34"/>
  <c r="G42" i="34"/>
  <c r="H42" i="34"/>
  <c r="I42" i="34"/>
  <c r="J42" i="34"/>
  <c r="K42" i="34"/>
  <c r="M42" i="34"/>
  <c r="O42" i="34"/>
  <c r="N43" i="34"/>
  <c r="U24" i="34"/>
  <c r="G43" i="34"/>
  <c r="U25" i="34"/>
  <c r="J43" i="34"/>
  <c r="U26" i="34"/>
  <c r="F43" i="34"/>
  <c r="U27" i="34"/>
  <c r="E43" i="34"/>
  <c r="U28" i="34"/>
  <c r="D43" i="34"/>
  <c r="U29" i="34"/>
  <c r="K43" i="34"/>
  <c r="U30" i="34"/>
  <c r="I43" i="34"/>
  <c r="U31" i="34"/>
  <c r="H43" i="34"/>
  <c r="U32" i="34"/>
  <c r="C43" i="34"/>
  <c r="U33" i="34"/>
  <c r="U34" i="34"/>
  <c r="N39" i="35"/>
  <c r="N45" i="35"/>
  <c r="N42" i="35"/>
  <c r="C42" i="35"/>
  <c r="D42" i="35"/>
  <c r="E39" i="35"/>
  <c r="E42" i="35"/>
  <c r="F42" i="35"/>
  <c r="G18" i="35"/>
  <c r="G23" i="35"/>
  <c r="G42" i="35"/>
  <c r="H42" i="35"/>
  <c r="I42" i="35"/>
  <c r="J42" i="35"/>
  <c r="K42" i="35"/>
  <c r="L39" i="35"/>
  <c r="L42" i="35"/>
  <c r="M42" i="35"/>
  <c r="O42" i="35"/>
  <c r="N43" i="35"/>
  <c r="U24" i="35"/>
  <c r="G43" i="35"/>
  <c r="U25" i="35"/>
  <c r="J43" i="35"/>
  <c r="U26" i="35"/>
  <c r="F43" i="35"/>
  <c r="U27" i="35"/>
  <c r="E43" i="35"/>
  <c r="U28" i="35"/>
  <c r="D43" i="35"/>
  <c r="U29" i="35"/>
  <c r="K43" i="35"/>
  <c r="U30" i="35"/>
  <c r="I43" i="35"/>
  <c r="U31" i="35"/>
  <c r="H43" i="35"/>
  <c r="U32" i="35"/>
  <c r="C43" i="35"/>
  <c r="U33" i="35"/>
  <c r="U34" i="35"/>
  <c r="N23" i="36"/>
  <c r="N45" i="36"/>
  <c r="N42" i="36"/>
  <c r="C39" i="36"/>
  <c r="C23" i="36"/>
  <c r="C42" i="36"/>
  <c r="D23" i="36"/>
  <c r="D42" i="36"/>
  <c r="N31" i="36"/>
  <c r="N32" i="36"/>
  <c r="E32" i="36"/>
  <c r="E39" i="36"/>
  <c r="E23" i="36"/>
  <c r="E42" i="36"/>
  <c r="F23" i="36"/>
  <c r="F42" i="36"/>
  <c r="G23" i="36"/>
  <c r="G42" i="36"/>
  <c r="H42" i="36"/>
  <c r="I42" i="36"/>
  <c r="J23" i="36"/>
  <c r="J42" i="36"/>
  <c r="K23" i="36"/>
  <c r="K42" i="36"/>
  <c r="L42" i="36"/>
  <c r="M42" i="36"/>
  <c r="O42" i="36"/>
  <c r="N43" i="36"/>
  <c r="U24" i="36"/>
  <c r="G43" i="36"/>
  <c r="U25" i="36"/>
  <c r="J43" i="36"/>
  <c r="U26" i="36"/>
  <c r="F43" i="36"/>
  <c r="U27" i="36"/>
  <c r="E43" i="36"/>
  <c r="U28" i="36"/>
  <c r="D43" i="36"/>
  <c r="U29" i="36"/>
  <c r="K43" i="36"/>
  <c r="U30" i="36"/>
  <c r="I43" i="36"/>
  <c r="U31" i="36"/>
  <c r="H43" i="36"/>
  <c r="U32" i="36"/>
  <c r="C43" i="36"/>
  <c r="U33" i="36"/>
  <c r="U34" i="36"/>
  <c r="N45" i="37"/>
  <c r="N42" i="37"/>
  <c r="C42" i="37"/>
  <c r="D42" i="37"/>
  <c r="E42" i="37"/>
  <c r="F42" i="37"/>
  <c r="G42" i="37"/>
  <c r="H42" i="37"/>
  <c r="I42" i="37"/>
  <c r="J42" i="37"/>
  <c r="K42" i="37"/>
  <c r="L42" i="37"/>
  <c r="M42" i="37"/>
  <c r="O42" i="37"/>
  <c r="N43" i="37"/>
  <c r="U24" i="37"/>
  <c r="G43" i="37"/>
  <c r="U25" i="37"/>
  <c r="J43" i="37"/>
  <c r="U26" i="37"/>
  <c r="F43" i="37"/>
  <c r="U27" i="37"/>
  <c r="E43" i="37"/>
  <c r="U28" i="37"/>
  <c r="D43" i="37"/>
  <c r="U29" i="37"/>
  <c r="K43" i="37"/>
  <c r="U30" i="37"/>
  <c r="I43" i="37"/>
  <c r="U31" i="37"/>
  <c r="H43" i="37"/>
  <c r="U32" i="37"/>
  <c r="C43" i="37"/>
  <c r="U33" i="37"/>
  <c r="U34" i="37"/>
  <c r="N45" i="38"/>
  <c r="N42" i="38"/>
  <c r="C23" i="38"/>
  <c r="C42" i="38"/>
  <c r="D42" i="38"/>
  <c r="E39" i="38"/>
  <c r="E42" i="38"/>
  <c r="F42" i="38"/>
  <c r="G42" i="38"/>
  <c r="H42" i="38"/>
  <c r="I42" i="38"/>
  <c r="J42" i="38"/>
  <c r="K42" i="38"/>
  <c r="L42" i="38"/>
  <c r="M42" i="38"/>
  <c r="O42" i="38"/>
  <c r="N43" i="38"/>
  <c r="U24" i="38"/>
  <c r="G43" i="38"/>
  <c r="U25" i="38"/>
  <c r="J43" i="38"/>
  <c r="U26" i="38"/>
  <c r="F43" i="38"/>
  <c r="U27" i="38"/>
  <c r="E43" i="38"/>
  <c r="U28" i="38"/>
  <c r="D43" i="38"/>
  <c r="U29" i="38"/>
  <c r="K43" i="38"/>
  <c r="U30" i="38"/>
  <c r="I43" i="38"/>
  <c r="U31" i="38"/>
  <c r="H43" i="38"/>
  <c r="U32" i="38"/>
  <c r="C43" i="38"/>
  <c r="U33" i="38"/>
  <c r="U34" i="38"/>
  <c r="N45" i="39"/>
  <c r="N42" i="39"/>
  <c r="C39" i="39"/>
  <c r="C42" i="39"/>
  <c r="D42" i="39"/>
  <c r="E42" i="39"/>
  <c r="F23" i="39"/>
  <c r="F42" i="39"/>
  <c r="G23" i="39"/>
  <c r="G42" i="39"/>
  <c r="H42" i="39"/>
  <c r="I42" i="39"/>
  <c r="J42" i="39"/>
  <c r="K42" i="39"/>
  <c r="L42" i="39"/>
  <c r="M42" i="39"/>
  <c r="O42" i="39"/>
  <c r="N43" i="39"/>
  <c r="U24" i="39"/>
  <c r="G43" i="39"/>
  <c r="U25" i="39"/>
  <c r="J43" i="39"/>
  <c r="U26" i="39"/>
  <c r="F43" i="39"/>
  <c r="U27" i="39"/>
  <c r="E43" i="39"/>
  <c r="U28" i="39"/>
  <c r="D43" i="39"/>
  <c r="U29" i="39"/>
  <c r="K43" i="39"/>
  <c r="U30" i="39"/>
  <c r="I43" i="39"/>
  <c r="U31" i="39"/>
  <c r="H43" i="39"/>
  <c r="U32" i="39"/>
  <c r="C43" i="39"/>
  <c r="U33" i="39"/>
  <c r="U34" i="39"/>
  <c r="N45" i="40"/>
  <c r="N42" i="40"/>
  <c r="C23" i="40"/>
  <c r="C42" i="40"/>
  <c r="D42" i="40"/>
  <c r="E42" i="40"/>
  <c r="F42" i="40"/>
  <c r="G18" i="40"/>
  <c r="G23" i="40"/>
  <c r="G42" i="40"/>
  <c r="H42" i="40"/>
  <c r="I42" i="40"/>
  <c r="J42" i="40"/>
  <c r="K42" i="40"/>
  <c r="L42" i="40"/>
  <c r="M42" i="40"/>
  <c r="O42" i="40"/>
  <c r="N43" i="40"/>
  <c r="U24" i="40"/>
  <c r="G43" i="40"/>
  <c r="U25" i="40"/>
  <c r="J43" i="40"/>
  <c r="U26" i="40"/>
  <c r="F43" i="40"/>
  <c r="U27" i="40"/>
  <c r="E43" i="40"/>
  <c r="U28" i="40"/>
  <c r="D43" i="40"/>
  <c r="U29" i="40"/>
  <c r="K43" i="40"/>
  <c r="U30" i="40"/>
  <c r="I43" i="40"/>
  <c r="U31" i="40"/>
  <c r="H43" i="40"/>
  <c r="U32" i="40"/>
  <c r="C43" i="40"/>
  <c r="U33" i="40"/>
  <c r="U34" i="40"/>
  <c r="N17" i="41"/>
  <c r="N23" i="41"/>
  <c r="N45" i="41"/>
  <c r="N42" i="41"/>
  <c r="C42" i="41"/>
  <c r="D42" i="41"/>
  <c r="E42" i="41"/>
  <c r="F42" i="41"/>
  <c r="G39" i="41"/>
  <c r="G23" i="41"/>
  <c r="G42" i="41"/>
  <c r="H42" i="41"/>
  <c r="I42" i="41"/>
  <c r="J42" i="41"/>
  <c r="K23" i="41"/>
  <c r="K42" i="41"/>
  <c r="L42" i="41"/>
  <c r="M42" i="41"/>
  <c r="O42" i="41"/>
  <c r="N43" i="41"/>
  <c r="U24" i="41"/>
  <c r="G43" i="41"/>
  <c r="U25" i="41"/>
  <c r="J43" i="41"/>
  <c r="U26" i="41"/>
  <c r="F43" i="41"/>
  <c r="U27" i="41"/>
  <c r="E43" i="41"/>
  <c r="U28" i="41"/>
  <c r="D43" i="41"/>
  <c r="U29" i="41"/>
  <c r="K43" i="41"/>
  <c r="U30" i="41"/>
  <c r="I43" i="41"/>
  <c r="U31" i="41"/>
  <c r="H43" i="41"/>
  <c r="U32" i="41"/>
  <c r="C43" i="41"/>
  <c r="U33" i="41"/>
  <c r="U34" i="41"/>
  <c r="N45" i="42"/>
  <c r="N42" i="42"/>
  <c r="C42" i="42"/>
  <c r="D42" i="42"/>
  <c r="E42" i="42"/>
  <c r="F42" i="42"/>
  <c r="G32" i="42"/>
  <c r="G39" i="42"/>
  <c r="G42" i="42"/>
  <c r="H42" i="42"/>
  <c r="I42" i="42"/>
  <c r="J42" i="42"/>
  <c r="K42" i="42"/>
  <c r="L42" i="42"/>
  <c r="M42" i="42"/>
  <c r="O42" i="42"/>
  <c r="N43" i="42"/>
  <c r="U24" i="42"/>
  <c r="G43" i="42"/>
  <c r="U25" i="42"/>
  <c r="J43" i="42"/>
  <c r="U26" i="42"/>
  <c r="F43" i="42"/>
  <c r="U27" i="42"/>
  <c r="E43" i="42"/>
  <c r="U28" i="42"/>
  <c r="D43" i="42"/>
  <c r="U29" i="42"/>
  <c r="K43" i="42"/>
  <c r="U30" i="42"/>
  <c r="I43" i="42"/>
  <c r="U31" i="42"/>
  <c r="H43" i="42"/>
  <c r="U32" i="42"/>
  <c r="C43" i="42"/>
  <c r="U33" i="42"/>
  <c r="U34" i="42"/>
  <c r="N45" i="43"/>
  <c r="N42" i="43"/>
  <c r="C42" i="43"/>
  <c r="D42" i="43"/>
  <c r="E42" i="43"/>
  <c r="F42" i="43"/>
  <c r="G42" i="43"/>
  <c r="H42" i="43"/>
  <c r="I42" i="43"/>
  <c r="J42" i="43"/>
  <c r="K42" i="43"/>
  <c r="L42" i="43"/>
  <c r="M42" i="43"/>
  <c r="O42" i="43"/>
  <c r="N43" i="43"/>
  <c r="U24" i="43"/>
  <c r="G43" i="43"/>
  <c r="U25" i="43"/>
  <c r="J43" i="43"/>
  <c r="U26" i="43"/>
  <c r="F43" i="43"/>
  <c r="U27" i="43"/>
  <c r="E43" i="43"/>
  <c r="U28" i="43"/>
  <c r="D43" i="43"/>
  <c r="U29" i="43"/>
  <c r="K43" i="43"/>
  <c r="U30" i="43"/>
  <c r="I43" i="43"/>
  <c r="U31" i="43"/>
  <c r="H43" i="43"/>
  <c r="U32" i="43"/>
  <c r="C43" i="43"/>
  <c r="U33" i="43"/>
  <c r="U34" i="43"/>
  <c r="C23" i="44"/>
  <c r="C42" i="44"/>
  <c r="D23" i="44"/>
  <c r="D42" i="44"/>
  <c r="E39" i="44"/>
  <c r="E23" i="44"/>
  <c r="E42" i="44"/>
  <c r="F23" i="44"/>
  <c r="F42" i="44"/>
  <c r="G23" i="44"/>
  <c r="G42" i="44"/>
  <c r="H23" i="44"/>
  <c r="H42" i="44"/>
  <c r="I42" i="44"/>
  <c r="J42" i="44"/>
  <c r="K42" i="44"/>
  <c r="M42" i="44"/>
  <c r="N45" i="44"/>
  <c r="N42" i="44"/>
  <c r="O42" i="44"/>
  <c r="N43" i="44"/>
  <c r="U24" i="44"/>
  <c r="G43" i="44"/>
  <c r="U25" i="44"/>
  <c r="J43" i="44"/>
  <c r="U26" i="44"/>
  <c r="F43" i="44"/>
  <c r="U27" i="44"/>
  <c r="E43" i="44"/>
  <c r="U28" i="44"/>
  <c r="D43" i="44"/>
  <c r="U29" i="44"/>
  <c r="K43" i="44"/>
  <c r="U30" i="44"/>
  <c r="I43" i="44"/>
  <c r="U31" i="44"/>
  <c r="H43" i="44"/>
  <c r="U32" i="44"/>
  <c r="C43" i="44"/>
  <c r="U33" i="44"/>
  <c r="U34" i="44"/>
  <c r="C17" i="45"/>
  <c r="C23" i="45"/>
  <c r="C42" i="45"/>
  <c r="D23" i="45"/>
  <c r="D42" i="45"/>
  <c r="E23" i="45"/>
  <c r="E42" i="45"/>
  <c r="F39" i="45"/>
  <c r="F23" i="45"/>
  <c r="F42" i="45"/>
  <c r="G23" i="45"/>
  <c r="G42" i="45"/>
  <c r="H23" i="45"/>
  <c r="H42" i="45"/>
  <c r="I42" i="45"/>
  <c r="J42" i="45"/>
  <c r="K23" i="45"/>
  <c r="K42" i="45"/>
  <c r="M42" i="45"/>
  <c r="N45" i="45"/>
  <c r="N42" i="45"/>
  <c r="O42" i="45"/>
  <c r="N43" i="45"/>
  <c r="U24" i="45"/>
  <c r="G43" i="45"/>
  <c r="U25" i="45"/>
  <c r="J43" i="45"/>
  <c r="U26" i="45"/>
  <c r="F43" i="45"/>
  <c r="U27" i="45"/>
  <c r="E43" i="45"/>
  <c r="U28" i="45"/>
  <c r="D43" i="45"/>
  <c r="U29" i="45"/>
  <c r="K43" i="45"/>
  <c r="U30" i="45"/>
  <c r="I43" i="45"/>
  <c r="U31" i="45"/>
  <c r="H43" i="45"/>
  <c r="U32" i="45"/>
  <c r="C43" i="45"/>
  <c r="U33" i="45"/>
  <c r="U34" i="45"/>
  <c r="N45" i="46"/>
  <c r="N42" i="46"/>
  <c r="C42" i="46"/>
  <c r="D42" i="46"/>
  <c r="E39" i="46"/>
  <c r="E42" i="46"/>
  <c r="N36" i="46"/>
  <c r="N34" i="46"/>
  <c r="F34" i="46"/>
  <c r="F39" i="46"/>
  <c r="F42" i="46"/>
  <c r="G39" i="46"/>
  <c r="G42" i="46"/>
  <c r="H42" i="46"/>
  <c r="I42" i="46"/>
  <c r="J42" i="46"/>
  <c r="K42" i="46"/>
  <c r="L42" i="46"/>
  <c r="M42" i="46"/>
  <c r="O42" i="46"/>
  <c r="N43" i="46"/>
  <c r="U24" i="46"/>
  <c r="G43" i="46"/>
  <c r="U25" i="46"/>
  <c r="J43" i="46"/>
  <c r="U26" i="46"/>
  <c r="F43" i="46"/>
  <c r="U27" i="46"/>
  <c r="E43" i="46"/>
  <c r="U28" i="46"/>
  <c r="D43" i="46"/>
  <c r="U29" i="46"/>
  <c r="K43" i="46"/>
  <c r="U30" i="46"/>
  <c r="I43" i="46"/>
  <c r="U31" i="46"/>
  <c r="H43" i="46"/>
  <c r="U32" i="46"/>
  <c r="C43" i="46"/>
  <c r="U33" i="46"/>
  <c r="U34" i="46"/>
  <c r="N45" i="47"/>
  <c r="N42" i="47"/>
  <c r="C23" i="47"/>
  <c r="C42" i="47"/>
  <c r="D39" i="47"/>
  <c r="D23" i="47"/>
  <c r="D42" i="47"/>
  <c r="E23" i="47"/>
  <c r="E42" i="47"/>
  <c r="F39" i="47"/>
  <c r="F23" i="47"/>
  <c r="F42" i="47"/>
  <c r="G39" i="47"/>
  <c r="G23" i="47"/>
  <c r="G42" i="47"/>
  <c r="H23" i="47"/>
  <c r="H42" i="47"/>
  <c r="I39" i="47"/>
  <c r="I42" i="47"/>
  <c r="J42" i="47"/>
  <c r="K23" i="47"/>
  <c r="K42" i="47"/>
  <c r="L39" i="47"/>
  <c r="L42" i="47"/>
  <c r="M39" i="47"/>
  <c r="M42" i="47"/>
  <c r="O42" i="47"/>
  <c r="N43" i="47"/>
  <c r="U24" i="47"/>
  <c r="G43" i="47"/>
  <c r="U25" i="47"/>
  <c r="J43" i="47"/>
  <c r="U26" i="47"/>
  <c r="F43" i="47"/>
  <c r="U27" i="47"/>
  <c r="E43" i="47"/>
  <c r="U28" i="47"/>
  <c r="D43" i="47"/>
  <c r="U29" i="47"/>
  <c r="K43" i="47"/>
  <c r="U30" i="47"/>
  <c r="I43" i="47"/>
  <c r="U31" i="47"/>
  <c r="H43" i="47"/>
  <c r="U32" i="47"/>
  <c r="C43" i="47"/>
  <c r="U33" i="47"/>
  <c r="U34" i="47"/>
  <c r="N45" i="48"/>
  <c r="N42" i="48"/>
  <c r="C42" i="48"/>
  <c r="D42" i="48"/>
  <c r="E39" i="48"/>
  <c r="E42" i="48"/>
  <c r="F42" i="48"/>
  <c r="G39" i="48"/>
  <c r="G42" i="48"/>
  <c r="H42" i="48"/>
  <c r="I42" i="48"/>
  <c r="J42" i="48"/>
  <c r="K42" i="48"/>
  <c r="L42" i="48"/>
  <c r="M42" i="48"/>
  <c r="O42" i="48"/>
  <c r="N43" i="48"/>
  <c r="U24" i="48"/>
  <c r="G43" i="48"/>
  <c r="U25" i="48"/>
  <c r="J43" i="48"/>
  <c r="U26" i="48"/>
  <c r="F43" i="48"/>
  <c r="U27" i="48"/>
  <c r="E43" i="48"/>
  <c r="U28" i="48"/>
  <c r="D43" i="48"/>
  <c r="U29" i="48"/>
  <c r="K43" i="48"/>
  <c r="U30" i="48"/>
  <c r="I43" i="48"/>
  <c r="U31" i="48"/>
  <c r="H43" i="48"/>
  <c r="U32" i="48"/>
  <c r="C43" i="48"/>
  <c r="U33" i="48"/>
  <c r="U34" i="48"/>
  <c r="O36" i="49"/>
  <c r="O32" i="49"/>
  <c r="N32" i="49"/>
  <c r="N39" i="49"/>
  <c r="N45" i="49"/>
  <c r="N42" i="49"/>
  <c r="C23" i="49"/>
  <c r="C42" i="49"/>
  <c r="D23" i="49"/>
  <c r="D42" i="49"/>
  <c r="E23" i="49"/>
  <c r="E42" i="49"/>
  <c r="F23" i="49"/>
  <c r="F42" i="49"/>
  <c r="G39" i="49"/>
  <c r="G17" i="49"/>
  <c r="G23" i="49"/>
  <c r="G42" i="49"/>
  <c r="H23" i="49"/>
  <c r="H42" i="49"/>
  <c r="I42" i="49"/>
  <c r="J42" i="49"/>
  <c r="K17" i="49"/>
  <c r="K23" i="49"/>
  <c r="K42" i="49"/>
  <c r="L17" i="49"/>
  <c r="L23" i="49"/>
  <c r="L42" i="49"/>
  <c r="M42" i="49"/>
  <c r="O42" i="49"/>
  <c r="N43" i="49"/>
  <c r="U24" i="49"/>
  <c r="G43" i="49"/>
  <c r="U25" i="49"/>
  <c r="J43" i="49"/>
  <c r="U26" i="49"/>
  <c r="F43" i="49"/>
  <c r="U27" i="49"/>
  <c r="E43" i="49"/>
  <c r="U28" i="49"/>
  <c r="D43" i="49"/>
  <c r="U29" i="49"/>
  <c r="K43" i="49"/>
  <c r="U30" i="49"/>
  <c r="I43" i="49"/>
  <c r="U31" i="49"/>
  <c r="H43" i="49"/>
  <c r="U32" i="49"/>
  <c r="C43" i="49"/>
  <c r="U33" i="49"/>
  <c r="U34" i="49"/>
  <c r="N45" i="50"/>
  <c r="N42" i="50"/>
  <c r="C42" i="50"/>
  <c r="D42" i="50"/>
  <c r="E42" i="50"/>
  <c r="F42" i="50"/>
  <c r="G42" i="50"/>
  <c r="H42" i="50"/>
  <c r="I42" i="50"/>
  <c r="J42" i="50"/>
  <c r="K42" i="50"/>
  <c r="L42" i="50"/>
  <c r="M42" i="50"/>
  <c r="O42" i="50"/>
  <c r="N43" i="50"/>
  <c r="U24" i="50"/>
  <c r="G43" i="50"/>
  <c r="U25" i="50"/>
  <c r="J43" i="50"/>
  <c r="U26" i="50"/>
  <c r="F43" i="50"/>
  <c r="U27" i="50"/>
  <c r="E43" i="50"/>
  <c r="U28" i="50"/>
  <c r="D43" i="50"/>
  <c r="U29" i="50"/>
  <c r="K43" i="50"/>
  <c r="U30" i="50"/>
  <c r="I43" i="50"/>
  <c r="U31" i="50"/>
  <c r="H43" i="50"/>
  <c r="U32" i="50"/>
  <c r="C43" i="50"/>
  <c r="U33" i="50"/>
  <c r="U34" i="50"/>
  <c r="N39" i="2"/>
  <c r="N45" i="2"/>
  <c r="N42" i="2"/>
  <c r="C39" i="2"/>
  <c r="C23" i="2"/>
  <c r="C42" i="2"/>
  <c r="D23" i="2"/>
  <c r="D42" i="2"/>
  <c r="E32" i="2"/>
  <c r="E39" i="2"/>
  <c r="E23" i="2"/>
  <c r="E42" i="2"/>
  <c r="F23" i="2"/>
  <c r="F42" i="2"/>
  <c r="G23" i="2"/>
  <c r="G42" i="2"/>
  <c r="H23" i="2"/>
  <c r="H42" i="2"/>
  <c r="I42" i="2"/>
  <c r="J42" i="2"/>
  <c r="K42" i="2"/>
  <c r="L42" i="2"/>
  <c r="M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4" i="9"/>
  <c r="T25" i="9"/>
  <c r="T26" i="9"/>
  <c r="T27" i="9"/>
  <c r="T28" i="9"/>
  <c r="T29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T24" i="11"/>
  <c r="T25" i="11"/>
  <c r="T26" i="11"/>
  <c r="T27" i="11"/>
  <c r="T28" i="11"/>
  <c r="T29" i="11"/>
  <c r="T30" i="11"/>
  <c r="T31" i="11"/>
  <c r="T32" i="11"/>
  <c r="T33" i="11"/>
  <c r="T34" i="11"/>
  <c r="T24" i="12"/>
  <c r="T25" i="12"/>
  <c r="T26" i="12"/>
  <c r="T27" i="12"/>
  <c r="T28" i="12"/>
  <c r="T29" i="12"/>
  <c r="T30" i="12"/>
  <c r="T31" i="12"/>
  <c r="T32" i="12"/>
  <c r="T33" i="12"/>
  <c r="T34" i="12"/>
  <c r="T24" i="13"/>
  <c r="T25" i="13"/>
  <c r="T26" i="13"/>
  <c r="T27" i="13"/>
  <c r="T28" i="13"/>
  <c r="T29" i="13"/>
  <c r="T30" i="13"/>
  <c r="T31" i="13"/>
  <c r="T32" i="13"/>
  <c r="T33" i="13"/>
  <c r="T34" i="13"/>
  <c r="T24" i="14"/>
  <c r="T25" i="14"/>
  <c r="T26" i="14"/>
  <c r="T27" i="14"/>
  <c r="T28" i="14"/>
  <c r="T29" i="14"/>
  <c r="T30" i="14"/>
  <c r="T31" i="14"/>
  <c r="T32" i="14"/>
  <c r="T33" i="14"/>
  <c r="T34" i="14"/>
  <c r="T24" i="15"/>
  <c r="T25" i="15"/>
  <c r="T26" i="15"/>
  <c r="T27" i="15"/>
  <c r="T28" i="15"/>
  <c r="T29" i="15"/>
  <c r="T30" i="15"/>
  <c r="T31" i="15"/>
  <c r="T32" i="15"/>
  <c r="T33" i="15"/>
  <c r="T34" i="15"/>
  <c r="T24" i="16"/>
  <c r="T25" i="16"/>
  <c r="T26" i="16"/>
  <c r="T27" i="16"/>
  <c r="T28" i="16"/>
  <c r="T29" i="16"/>
  <c r="T30" i="16"/>
  <c r="T31" i="16"/>
  <c r="T32" i="16"/>
  <c r="T33" i="16"/>
  <c r="T34" i="16"/>
  <c r="T24" i="17"/>
  <c r="T25" i="17"/>
  <c r="T26" i="17"/>
  <c r="T27" i="17"/>
  <c r="T28" i="17"/>
  <c r="T29" i="17"/>
  <c r="T30" i="17"/>
  <c r="T31" i="17"/>
  <c r="T32" i="17"/>
  <c r="T33" i="17"/>
  <c r="T34" i="17"/>
  <c r="T24" i="18"/>
  <c r="T25" i="18"/>
  <c r="T26" i="18"/>
  <c r="T27" i="18"/>
  <c r="T28" i="18"/>
  <c r="T29" i="18"/>
  <c r="T30" i="18"/>
  <c r="T31" i="18"/>
  <c r="T32" i="18"/>
  <c r="T33" i="18"/>
  <c r="T34" i="18"/>
  <c r="T24" i="19"/>
  <c r="T25" i="19"/>
  <c r="T26" i="19"/>
  <c r="T27" i="19"/>
  <c r="T28" i="19"/>
  <c r="T29" i="19"/>
  <c r="T30" i="19"/>
  <c r="T31" i="19"/>
  <c r="T32" i="19"/>
  <c r="T33" i="19"/>
  <c r="T34" i="19"/>
  <c r="T24" i="20"/>
  <c r="T25" i="20"/>
  <c r="T26" i="20"/>
  <c r="T27" i="20"/>
  <c r="T28" i="20"/>
  <c r="T29" i="20"/>
  <c r="T30" i="20"/>
  <c r="T31" i="20"/>
  <c r="T32" i="20"/>
  <c r="T33" i="20"/>
  <c r="T34" i="20"/>
  <c r="T24" i="21"/>
  <c r="T25" i="21"/>
  <c r="T26" i="21"/>
  <c r="T27" i="21"/>
  <c r="T28" i="21"/>
  <c r="T29" i="21"/>
  <c r="T30" i="21"/>
  <c r="T31" i="21"/>
  <c r="T32" i="21"/>
  <c r="T33" i="21"/>
  <c r="T34" i="21"/>
  <c r="T24" i="22"/>
  <c r="T25" i="22"/>
  <c r="T26" i="22"/>
  <c r="T27" i="22"/>
  <c r="T28" i="22"/>
  <c r="T29" i="22"/>
  <c r="T30" i="22"/>
  <c r="T31" i="22"/>
  <c r="T32" i="22"/>
  <c r="T33" i="22"/>
  <c r="T34" i="22"/>
  <c r="T24" i="23"/>
  <c r="T25" i="23"/>
  <c r="T26" i="23"/>
  <c r="T27" i="23"/>
  <c r="T28" i="23"/>
  <c r="T29" i="23"/>
  <c r="T30" i="23"/>
  <c r="T31" i="23"/>
  <c r="T32" i="23"/>
  <c r="T33" i="23"/>
  <c r="T34" i="23"/>
  <c r="T24" i="24"/>
  <c r="T25" i="24"/>
  <c r="T26" i="24"/>
  <c r="T27" i="24"/>
  <c r="T28" i="24"/>
  <c r="T29" i="24"/>
  <c r="T30" i="24"/>
  <c r="T31" i="24"/>
  <c r="T32" i="24"/>
  <c r="T33" i="24"/>
  <c r="T34" i="24"/>
  <c r="T24" i="25"/>
  <c r="T25" i="25"/>
  <c r="T26" i="25"/>
  <c r="T27" i="25"/>
  <c r="T28" i="25"/>
  <c r="T29" i="25"/>
  <c r="T30" i="25"/>
  <c r="T31" i="25"/>
  <c r="T32" i="25"/>
  <c r="T33" i="25"/>
  <c r="T34" i="25"/>
  <c r="T24" i="26"/>
  <c r="T25" i="26"/>
  <c r="T26" i="26"/>
  <c r="T27" i="26"/>
  <c r="T28" i="26"/>
  <c r="T30" i="26"/>
  <c r="T31" i="26"/>
  <c r="T32" i="26"/>
  <c r="T33" i="26"/>
  <c r="T34" i="26"/>
  <c r="T24" i="27"/>
  <c r="T25" i="27"/>
  <c r="T26" i="27"/>
  <c r="T27" i="27"/>
  <c r="T28" i="27"/>
  <c r="T29" i="27"/>
  <c r="T30" i="27"/>
  <c r="T31" i="27"/>
  <c r="T32" i="27"/>
  <c r="T33" i="27"/>
  <c r="T34" i="27"/>
  <c r="T24" i="28"/>
  <c r="T25" i="28"/>
  <c r="T26" i="28"/>
  <c r="T27" i="28"/>
  <c r="T28" i="28"/>
  <c r="T29" i="28"/>
  <c r="T30" i="28"/>
  <c r="T31" i="28"/>
  <c r="T32" i="28"/>
  <c r="T33" i="28"/>
  <c r="T34" i="28"/>
  <c r="T24" i="29"/>
  <c r="T25" i="29"/>
  <c r="T26" i="29"/>
  <c r="T27" i="29"/>
  <c r="T28" i="29"/>
  <c r="T29" i="29"/>
  <c r="T30" i="29"/>
  <c r="T31" i="29"/>
  <c r="T32" i="29"/>
  <c r="T33" i="29"/>
  <c r="T34" i="29"/>
  <c r="T24" i="30"/>
  <c r="T25" i="30"/>
  <c r="T26" i="30"/>
  <c r="T27" i="30"/>
  <c r="T28" i="30"/>
  <c r="T29" i="30"/>
  <c r="T30" i="30"/>
  <c r="T31" i="30"/>
  <c r="T32" i="30"/>
  <c r="T33" i="30"/>
  <c r="T34" i="30"/>
  <c r="T24" i="31"/>
  <c r="T25" i="31"/>
  <c r="T26" i="31"/>
  <c r="T27" i="31"/>
  <c r="T28" i="31"/>
  <c r="T29" i="31"/>
  <c r="T30" i="31"/>
  <c r="T31" i="31"/>
  <c r="T32" i="31"/>
  <c r="T33" i="31"/>
  <c r="T34" i="31"/>
  <c r="T24" i="32"/>
  <c r="T25" i="32"/>
  <c r="T26" i="32"/>
  <c r="T27" i="32"/>
  <c r="T28" i="32"/>
  <c r="T29" i="32"/>
  <c r="T30" i="32"/>
  <c r="T31" i="32"/>
  <c r="T32" i="32"/>
  <c r="T33" i="32"/>
  <c r="T34" i="32"/>
  <c r="T24" i="33"/>
  <c r="T25" i="33"/>
  <c r="T26" i="33"/>
  <c r="T27" i="33"/>
  <c r="T28" i="33"/>
  <c r="T29" i="33"/>
  <c r="T30" i="33"/>
  <c r="T31" i="33"/>
  <c r="T32" i="33"/>
  <c r="T33" i="33"/>
  <c r="T34" i="33"/>
  <c r="T24" i="34"/>
  <c r="T25" i="34"/>
  <c r="T26" i="34"/>
  <c r="T27" i="34"/>
  <c r="T28" i="34"/>
  <c r="T29" i="34"/>
  <c r="T30" i="34"/>
  <c r="T31" i="34"/>
  <c r="T32" i="34"/>
  <c r="T33" i="34"/>
  <c r="T34" i="34"/>
  <c r="T24" i="35"/>
  <c r="T25" i="35"/>
  <c r="T26" i="35"/>
  <c r="T27" i="35"/>
  <c r="T28" i="35"/>
  <c r="T29" i="35"/>
  <c r="T30" i="35"/>
  <c r="T31" i="35"/>
  <c r="T32" i="35"/>
  <c r="T33" i="35"/>
  <c r="T34" i="35"/>
  <c r="T24" i="36"/>
  <c r="T25" i="36"/>
  <c r="T26" i="36"/>
  <c r="T27" i="36"/>
  <c r="T28" i="36"/>
  <c r="T29" i="36"/>
  <c r="T30" i="36"/>
  <c r="T31" i="36"/>
  <c r="T32" i="36"/>
  <c r="T33" i="36"/>
  <c r="T34" i="36"/>
  <c r="T24" i="37"/>
  <c r="T25" i="37"/>
  <c r="T26" i="37"/>
  <c r="T27" i="37"/>
  <c r="T28" i="37"/>
  <c r="T29" i="37"/>
  <c r="T30" i="37"/>
  <c r="T31" i="37"/>
  <c r="T32" i="37"/>
  <c r="T33" i="37"/>
  <c r="T34" i="37"/>
  <c r="T24" i="38"/>
  <c r="T25" i="38"/>
  <c r="T26" i="38"/>
  <c r="T27" i="38"/>
  <c r="T28" i="38"/>
  <c r="T29" i="38"/>
  <c r="T30" i="38"/>
  <c r="T31" i="38"/>
  <c r="T32" i="38"/>
  <c r="T33" i="38"/>
  <c r="T34" i="38"/>
  <c r="T24" i="39"/>
  <c r="T25" i="39"/>
  <c r="T26" i="39"/>
  <c r="T27" i="39"/>
  <c r="T28" i="39"/>
  <c r="T29" i="39"/>
  <c r="T30" i="39"/>
  <c r="T31" i="39"/>
  <c r="T32" i="39"/>
  <c r="T33" i="39"/>
  <c r="T34" i="39"/>
  <c r="T24" i="40"/>
  <c r="T25" i="40"/>
  <c r="T26" i="40"/>
  <c r="T27" i="40"/>
  <c r="T28" i="40"/>
  <c r="T29" i="40"/>
  <c r="T30" i="40"/>
  <c r="T31" i="40"/>
  <c r="T32" i="40"/>
  <c r="T33" i="40"/>
  <c r="T34" i="40"/>
  <c r="T24" i="41"/>
  <c r="T25" i="41"/>
  <c r="T26" i="41"/>
  <c r="T27" i="41"/>
  <c r="T28" i="41"/>
  <c r="T29" i="41"/>
  <c r="T30" i="41"/>
  <c r="T31" i="41"/>
  <c r="T32" i="41"/>
  <c r="T33" i="41"/>
  <c r="T34" i="41"/>
  <c r="T24" i="42"/>
  <c r="T25" i="42"/>
  <c r="T26" i="42"/>
  <c r="T27" i="42"/>
  <c r="T28" i="42"/>
  <c r="T29" i="42"/>
  <c r="T30" i="42"/>
  <c r="T31" i="42"/>
  <c r="T32" i="42"/>
  <c r="T33" i="42"/>
  <c r="T34" i="42"/>
  <c r="T24" i="43"/>
  <c r="T25" i="43"/>
  <c r="T26" i="43"/>
  <c r="T27" i="43"/>
  <c r="T28" i="43"/>
  <c r="T29" i="43"/>
  <c r="T30" i="43"/>
  <c r="T31" i="43"/>
  <c r="T32" i="43"/>
  <c r="T33" i="43"/>
  <c r="T34" i="43"/>
  <c r="T24" i="44"/>
  <c r="T25" i="44"/>
  <c r="T26" i="44"/>
  <c r="T27" i="44"/>
  <c r="T28" i="44"/>
  <c r="T29" i="44"/>
  <c r="T30" i="44"/>
  <c r="T31" i="44"/>
  <c r="T32" i="44"/>
  <c r="T33" i="44"/>
  <c r="T34" i="44"/>
  <c r="T24" i="45"/>
  <c r="T25" i="45"/>
  <c r="T26" i="45"/>
  <c r="T27" i="45"/>
  <c r="T28" i="45"/>
  <c r="T29" i="45"/>
  <c r="T30" i="45"/>
  <c r="T31" i="45"/>
  <c r="T32" i="45"/>
  <c r="T33" i="45"/>
  <c r="T34" i="45"/>
  <c r="T24" i="46"/>
  <c r="T25" i="46"/>
  <c r="T26" i="46"/>
  <c r="T27" i="46"/>
  <c r="T28" i="46"/>
  <c r="T29" i="46"/>
  <c r="T30" i="46"/>
  <c r="T31" i="46"/>
  <c r="T32" i="46"/>
  <c r="T33" i="46"/>
  <c r="T34" i="46"/>
  <c r="T24" i="47"/>
  <c r="T25" i="47"/>
  <c r="T26" i="47"/>
  <c r="T27" i="47"/>
  <c r="T28" i="47"/>
  <c r="T29" i="47"/>
  <c r="T30" i="47"/>
  <c r="T31" i="47"/>
  <c r="T32" i="47"/>
  <c r="T33" i="47"/>
  <c r="T34" i="47"/>
  <c r="T24" i="48"/>
  <c r="T25" i="48"/>
  <c r="T26" i="48"/>
  <c r="T27" i="48"/>
  <c r="T28" i="48"/>
  <c r="T29" i="48"/>
  <c r="T30" i="48"/>
  <c r="T31" i="48"/>
  <c r="T32" i="48"/>
  <c r="T33" i="48"/>
  <c r="T34" i="48"/>
  <c r="T24" i="49"/>
  <c r="T25" i="49"/>
  <c r="T26" i="49"/>
  <c r="T27" i="49"/>
  <c r="T28" i="49"/>
  <c r="T29" i="49"/>
  <c r="T30" i="49"/>
  <c r="T31" i="49"/>
  <c r="T32" i="49"/>
  <c r="T33" i="49"/>
  <c r="T34" i="49"/>
  <c r="T24" i="50"/>
  <c r="T25" i="50"/>
  <c r="T26" i="50"/>
  <c r="T27" i="50"/>
  <c r="T28" i="50"/>
  <c r="T29" i="50"/>
  <c r="T30" i="50"/>
  <c r="T31" i="50"/>
  <c r="T32" i="50"/>
  <c r="T33" i="50"/>
  <c r="T34" i="50"/>
  <c r="T24" i="2"/>
  <c r="T25" i="2"/>
  <c r="T26" i="2"/>
  <c r="T27" i="2"/>
  <c r="T28" i="2"/>
  <c r="T29" i="2"/>
  <c r="T30" i="2"/>
  <c r="T31" i="2"/>
  <c r="T32" i="2"/>
  <c r="T33" i="2"/>
  <c r="T34" i="2"/>
  <c r="L31" i="58"/>
  <c r="L32" i="58"/>
  <c r="L33" i="58"/>
  <c r="L34" i="58"/>
  <c r="L35" i="58"/>
  <c r="L36" i="58"/>
  <c r="L37" i="58"/>
  <c r="L38" i="58"/>
  <c r="L39" i="58"/>
  <c r="T30" i="58"/>
  <c r="G31" i="58"/>
  <c r="G32" i="14"/>
  <c r="G32" i="18"/>
  <c r="G32" i="20"/>
  <c r="G32" i="26"/>
  <c r="G32" i="28"/>
  <c r="G32" i="29"/>
  <c r="G32" i="30"/>
  <c r="G32" i="38"/>
  <c r="G32" i="40"/>
  <c r="G32" i="41"/>
  <c r="G32" i="58"/>
  <c r="G33" i="58"/>
  <c r="G34" i="58"/>
  <c r="G35" i="58"/>
  <c r="G36" i="58"/>
  <c r="G37" i="58"/>
  <c r="G38" i="58"/>
  <c r="G39" i="58"/>
  <c r="G17" i="58"/>
  <c r="G18" i="58"/>
  <c r="G23" i="58"/>
  <c r="G6" i="58"/>
  <c r="G7" i="58"/>
  <c r="G10" i="58"/>
  <c r="G42" i="58"/>
  <c r="L17" i="58"/>
  <c r="L18" i="58"/>
  <c r="L23" i="58"/>
  <c r="F31" i="5"/>
  <c r="C31" i="5"/>
  <c r="C37" i="7"/>
  <c r="C31" i="7"/>
  <c r="C31" i="58"/>
  <c r="C32" i="6"/>
  <c r="C34" i="14"/>
  <c r="C32" i="14"/>
  <c r="C32" i="17"/>
  <c r="C32" i="24"/>
  <c r="N36" i="28"/>
  <c r="N32" i="28"/>
  <c r="C32" i="28"/>
  <c r="C32" i="30"/>
  <c r="C36" i="33"/>
  <c r="C32" i="33"/>
  <c r="C32" i="37"/>
  <c r="C32" i="46"/>
  <c r="C32" i="47"/>
  <c r="C32" i="58"/>
  <c r="O36" i="5"/>
  <c r="O33" i="5"/>
  <c r="C33" i="5"/>
  <c r="C33" i="58"/>
  <c r="C34" i="5"/>
  <c r="C34" i="28"/>
  <c r="C34" i="58"/>
  <c r="C35" i="58"/>
  <c r="C36" i="58"/>
  <c r="C37" i="58"/>
  <c r="C38" i="58"/>
  <c r="C39" i="58"/>
  <c r="C17" i="58"/>
  <c r="C18" i="58"/>
  <c r="C23" i="58"/>
  <c r="C6" i="58"/>
  <c r="C7" i="58"/>
  <c r="C10" i="58"/>
  <c r="C42" i="58"/>
  <c r="D31" i="58"/>
  <c r="D32" i="58"/>
  <c r="D33" i="58"/>
  <c r="D34" i="58"/>
  <c r="D35" i="58"/>
  <c r="D36" i="58"/>
  <c r="D37" i="58"/>
  <c r="D38" i="58"/>
  <c r="D39" i="58"/>
  <c r="D17" i="58"/>
  <c r="D18" i="58"/>
  <c r="D23" i="58"/>
  <c r="D6" i="58"/>
  <c r="D7" i="58"/>
  <c r="D10" i="58"/>
  <c r="D42" i="58"/>
  <c r="E31" i="58"/>
  <c r="E32" i="6"/>
  <c r="E32" i="15"/>
  <c r="E32" i="18"/>
  <c r="E32" i="19"/>
  <c r="E32" i="45"/>
  <c r="E32" i="58"/>
  <c r="E33" i="58"/>
  <c r="E35" i="58"/>
  <c r="E36" i="58"/>
  <c r="E37" i="58"/>
  <c r="E38" i="58"/>
  <c r="E39" i="58"/>
  <c r="E17" i="58"/>
  <c r="E18" i="58"/>
  <c r="E23" i="58"/>
  <c r="E6" i="58"/>
  <c r="E7" i="58"/>
  <c r="E10" i="58"/>
  <c r="E42" i="58"/>
  <c r="F31" i="58"/>
  <c r="F33" i="58"/>
  <c r="F34" i="5"/>
  <c r="F34" i="58"/>
  <c r="F35" i="58"/>
  <c r="F36" i="58"/>
  <c r="F37" i="58"/>
  <c r="F38" i="58"/>
  <c r="F39" i="58"/>
  <c r="F17" i="58"/>
  <c r="F18" i="58"/>
  <c r="F23" i="58"/>
  <c r="F6" i="58"/>
  <c r="F7" i="58"/>
  <c r="F10" i="58"/>
  <c r="F42" i="58"/>
  <c r="H31" i="58"/>
  <c r="H32" i="58"/>
  <c r="H33" i="58"/>
  <c r="H35" i="58"/>
  <c r="H36" i="58"/>
  <c r="H37" i="58"/>
  <c r="H38" i="58"/>
  <c r="H39" i="58"/>
  <c r="H17" i="58"/>
  <c r="H18" i="58"/>
  <c r="H23" i="58"/>
  <c r="H6" i="58"/>
  <c r="H7" i="58"/>
  <c r="H10" i="58"/>
  <c r="H42" i="58"/>
  <c r="I31" i="58"/>
  <c r="I32" i="58"/>
  <c r="I33" i="58"/>
  <c r="I34" i="58"/>
  <c r="I35" i="58"/>
  <c r="I36" i="58"/>
  <c r="I37" i="58"/>
  <c r="I38" i="58"/>
  <c r="I39" i="58"/>
  <c r="I17" i="58"/>
  <c r="I18" i="58"/>
  <c r="I23" i="58"/>
  <c r="I6" i="58"/>
  <c r="I7" i="58"/>
  <c r="I10" i="58"/>
  <c r="I42" i="58"/>
  <c r="J31" i="58"/>
  <c r="J33" i="58"/>
  <c r="J34" i="58"/>
  <c r="J35" i="58"/>
  <c r="J36" i="58"/>
  <c r="J37" i="58"/>
  <c r="J38" i="58"/>
  <c r="J39" i="58"/>
  <c r="J17" i="58"/>
  <c r="J18" i="58"/>
  <c r="J23" i="58"/>
  <c r="J6" i="58"/>
  <c r="J7" i="58"/>
  <c r="J10" i="58"/>
  <c r="J42" i="58"/>
  <c r="K31" i="58"/>
  <c r="K32" i="58"/>
  <c r="K33" i="58"/>
  <c r="K34" i="58"/>
  <c r="K35" i="58"/>
  <c r="K36" i="58"/>
  <c r="K37" i="58"/>
  <c r="K38" i="58"/>
  <c r="K39" i="58"/>
  <c r="K17" i="58"/>
  <c r="K18" i="58"/>
  <c r="K23" i="58"/>
  <c r="K6" i="58"/>
  <c r="K7" i="58"/>
  <c r="K10" i="58"/>
  <c r="K42" i="58"/>
  <c r="L6" i="58"/>
  <c r="L7" i="58"/>
  <c r="L10" i="58"/>
  <c r="L42" i="58"/>
  <c r="M17" i="58"/>
  <c r="M18" i="58"/>
  <c r="M23" i="58"/>
  <c r="M42" i="58"/>
  <c r="O33" i="18"/>
  <c r="O38" i="18"/>
  <c r="O31" i="18"/>
  <c r="N31" i="18"/>
  <c r="O31" i="48"/>
  <c r="N31" i="48"/>
  <c r="N31" i="58"/>
  <c r="N32" i="18"/>
  <c r="N32" i="19"/>
  <c r="N32" i="24"/>
  <c r="O36" i="26"/>
  <c r="O38" i="26"/>
  <c r="N38" i="26"/>
  <c r="N32" i="26"/>
  <c r="N32" i="27"/>
  <c r="N32" i="30"/>
  <c r="O39" i="38"/>
  <c r="B33" i="38"/>
  <c r="O33" i="38"/>
  <c r="O36" i="38"/>
  <c r="O32" i="38"/>
  <c r="N32" i="38"/>
  <c r="N35" i="39"/>
  <c r="N32" i="39"/>
  <c r="N32" i="40"/>
  <c r="N36" i="41"/>
  <c r="N32" i="41"/>
  <c r="N32" i="47"/>
  <c r="N36" i="48"/>
  <c r="N32" i="48"/>
  <c r="N32" i="58"/>
  <c r="N33" i="24"/>
  <c r="N33" i="58"/>
  <c r="N37" i="40"/>
  <c r="N34" i="40"/>
  <c r="N34" i="58"/>
  <c r="N35" i="18"/>
  <c r="N35" i="24"/>
  <c r="N35" i="58"/>
  <c r="N36" i="18"/>
  <c r="N36" i="19"/>
  <c r="N36" i="24"/>
  <c r="N36" i="58"/>
  <c r="N37" i="18"/>
  <c r="N37" i="24"/>
  <c r="N37" i="58"/>
  <c r="N38" i="7"/>
  <c r="N38" i="30"/>
  <c r="N38" i="58"/>
  <c r="N39" i="58"/>
  <c r="N17" i="58"/>
  <c r="N18" i="58"/>
  <c r="N23" i="58"/>
  <c r="B6" i="58"/>
  <c r="N45" i="58"/>
  <c r="O42" i="58"/>
  <c r="U24" i="58"/>
  <c r="T24" i="58"/>
  <c r="U30" i="58"/>
  <c r="T23" i="58"/>
  <c r="T25" i="58"/>
  <c r="T26" i="58"/>
  <c r="T27" i="58"/>
  <c r="T28" i="58"/>
  <c r="T29" i="58"/>
  <c r="T31" i="58"/>
  <c r="T32" i="58"/>
  <c r="T33" i="58"/>
  <c r="T34" i="58"/>
  <c r="N43" i="58"/>
  <c r="U23" i="58"/>
  <c r="J43" i="58"/>
  <c r="U25" i="58"/>
  <c r="F43" i="58"/>
  <c r="U26" i="58"/>
  <c r="E43" i="58"/>
  <c r="U27" i="58"/>
  <c r="D43" i="58"/>
  <c r="U28" i="58"/>
  <c r="K43" i="58"/>
  <c r="U29" i="58"/>
  <c r="I43" i="58"/>
  <c r="U31" i="58"/>
  <c r="H43" i="58"/>
  <c r="U32" i="58"/>
  <c r="C43" i="58"/>
  <c r="U33" i="58"/>
  <c r="U34" i="58"/>
  <c r="B32" i="26"/>
  <c r="B32" i="44"/>
  <c r="B32" i="45"/>
  <c r="B32" i="58"/>
  <c r="L32" i="26"/>
  <c r="L32" i="44"/>
  <c r="M32" i="58"/>
  <c r="O32" i="58"/>
  <c r="B36" i="40"/>
  <c r="B33" i="40"/>
  <c r="B33" i="58"/>
  <c r="M33" i="58"/>
  <c r="O33" i="58"/>
  <c r="B34" i="58"/>
  <c r="M34" i="58"/>
  <c r="O34" i="58"/>
  <c r="B35" i="2"/>
  <c r="B35" i="58"/>
  <c r="M35" i="58"/>
  <c r="O35" i="58"/>
  <c r="B36" i="14"/>
  <c r="B36" i="58"/>
  <c r="M36" i="58"/>
  <c r="O36" i="58"/>
  <c r="B37" i="58"/>
  <c r="M37" i="58"/>
  <c r="O37" i="58"/>
  <c r="B38" i="58"/>
  <c r="M38" i="58"/>
  <c r="O38" i="58"/>
  <c r="B31" i="58"/>
  <c r="M31" i="58"/>
  <c r="O31" i="58"/>
  <c r="M39" i="58"/>
  <c r="O39" i="58"/>
  <c r="B39" i="58"/>
  <c r="M6" i="58"/>
  <c r="M7" i="58"/>
  <c r="M10" i="58"/>
  <c r="N6" i="58"/>
  <c r="N7" i="58"/>
  <c r="N10" i="58"/>
  <c r="O6" i="58"/>
  <c r="O7" i="58"/>
  <c r="O10" i="58"/>
  <c r="O18" i="58"/>
  <c r="O17" i="58"/>
  <c r="O23" i="58"/>
  <c r="B17" i="50"/>
  <c r="B17" i="58"/>
  <c r="B18" i="24"/>
  <c r="B18" i="26"/>
  <c r="B18" i="27"/>
  <c r="B18" i="28"/>
  <c r="B18" i="35"/>
  <c r="B18" i="46"/>
  <c r="B18" i="48"/>
  <c r="B18" i="58"/>
  <c r="B19" i="58"/>
  <c r="B20" i="58"/>
  <c r="B21" i="13"/>
  <c r="B21" i="58"/>
  <c r="B23" i="58"/>
  <c r="B4" i="58"/>
  <c r="B7" i="58"/>
  <c r="B8" i="58"/>
  <c r="B9" i="24"/>
  <c r="B9" i="39"/>
  <c r="B9" i="58"/>
  <c r="B10" i="58"/>
  <c r="O33" i="32"/>
  <c r="O36" i="32"/>
  <c r="O37" i="32"/>
  <c r="O39" i="32"/>
  <c r="O17" i="34"/>
  <c r="O18" i="34"/>
  <c r="O19" i="34"/>
  <c r="O20" i="34"/>
  <c r="O21" i="34"/>
  <c r="O22" i="34"/>
  <c r="O23" i="34"/>
  <c r="O32" i="47"/>
  <c r="O39" i="47"/>
  <c r="O38" i="47"/>
  <c r="O37" i="47"/>
  <c r="O36" i="47"/>
  <c r="O35" i="47"/>
  <c r="O34" i="47"/>
  <c r="O33" i="47"/>
  <c r="B39" i="26"/>
  <c r="L39" i="26"/>
  <c r="B45" i="26"/>
  <c r="O18" i="43"/>
  <c r="O23" i="43"/>
  <c r="O32" i="33"/>
  <c r="O32" i="31"/>
  <c r="O33" i="31"/>
  <c r="O34" i="31"/>
  <c r="O35" i="31"/>
  <c r="O36" i="31"/>
  <c r="O37" i="31"/>
  <c r="O38" i="31"/>
  <c r="O39" i="31"/>
  <c r="O31" i="31"/>
  <c r="O34" i="12"/>
  <c r="O18" i="32"/>
  <c r="O31" i="47"/>
  <c r="O32" i="44"/>
  <c r="O33" i="44"/>
  <c r="O34" i="44"/>
  <c r="O35" i="44"/>
  <c r="O36" i="44"/>
  <c r="O37" i="44"/>
  <c r="O38" i="44"/>
  <c r="L39" i="44"/>
  <c r="O39" i="44"/>
  <c r="O31" i="44"/>
  <c r="B44" i="33"/>
  <c r="B45" i="33"/>
  <c r="B45" i="15"/>
  <c r="O34" i="10"/>
  <c r="O32" i="10"/>
  <c r="B24" i="44"/>
  <c r="B10" i="3"/>
  <c r="B10" i="4"/>
  <c r="B10" i="5"/>
  <c r="B10" i="6"/>
  <c r="B10" i="7"/>
  <c r="B10" i="8"/>
  <c r="B10" i="9"/>
  <c r="B10" i="10"/>
  <c r="B10" i="11"/>
  <c r="B10" i="12"/>
  <c r="B10" i="13"/>
  <c r="B10" i="14"/>
  <c r="B10" i="16"/>
  <c r="B10" i="17"/>
  <c r="B10" i="18"/>
  <c r="B10" i="19"/>
  <c r="B10" i="20"/>
  <c r="B10" i="21"/>
  <c r="B10" i="22"/>
  <c r="B10" i="23"/>
  <c r="B10" i="25"/>
  <c r="B10" i="26"/>
  <c r="B10" i="27"/>
  <c r="B10" i="28"/>
  <c r="B10" i="29"/>
  <c r="B10" i="30"/>
  <c r="B10" i="31"/>
  <c r="B10" i="32"/>
  <c r="B10" i="33"/>
  <c r="B10" i="34"/>
  <c r="B10" i="35"/>
  <c r="B10" i="36"/>
  <c r="B10" i="37"/>
  <c r="B10" i="38"/>
  <c r="B10" i="41"/>
  <c r="B10" i="42"/>
  <c r="B10" i="43"/>
  <c r="B10" i="45"/>
  <c r="B10" i="46"/>
  <c r="B10" i="47"/>
  <c r="B10" i="48"/>
  <c r="B10" i="49"/>
  <c r="B10" i="50"/>
  <c r="B10" i="2"/>
  <c r="L39" i="45"/>
  <c r="B39" i="45"/>
  <c r="O33" i="40"/>
  <c r="O34" i="40"/>
  <c r="O35" i="40"/>
  <c r="O38" i="39"/>
  <c r="O31" i="39"/>
  <c r="O32" i="39"/>
  <c r="B45" i="34"/>
  <c r="B23" i="32"/>
  <c r="B45" i="32"/>
  <c r="B46" i="32"/>
  <c r="O36" i="23"/>
  <c r="L39" i="15"/>
  <c r="O32" i="12"/>
  <c r="O34" i="4"/>
  <c r="T44" i="58"/>
  <c r="O32" i="4"/>
  <c r="O18" i="39"/>
  <c r="O17" i="39"/>
  <c r="O23" i="39"/>
  <c r="O32" i="35"/>
  <c r="O38" i="35"/>
  <c r="O39" i="35"/>
  <c r="B25" i="3"/>
  <c r="B45" i="3"/>
  <c r="B46" i="3"/>
  <c r="O17" i="32"/>
  <c r="O20" i="32"/>
  <c r="O23" i="16"/>
  <c r="O18" i="16"/>
  <c r="O36" i="14"/>
  <c r="O37" i="14"/>
  <c r="O38" i="14"/>
  <c r="O35" i="14"/>
  <c r="O33" i="14"/>
  <c r="O17" i="36"/>
  <c r="O23" i="36"/>
  <c r="B23" i="36"/>
  <c r="O32" i="22"/>
  <c r="O39" i="22"/>
  <c r="O32" i="24"/>
  <c r="O17" i="44"/>
  <c r="O23" i="44"/>
  <c r="B23" i="44"/>
  <c r="B45" i="44"/>
  <c r="B23" i="2"/>
  <c r="O37" i="24"/>
  <c r="O35" i="24"/>
  <c r="O33" i="24"/>
  <c r="O23" i="21"/>
  <c r="O18" i="21"/>
  <c r="B23" i="21"/>
  <c r="B45" i="21"/>
  <c r="B46" i="21"/>
  <c r="O18" i="7"/>
  <c r="B23" i="41"/>
  <c r="B45" i="41"/>
  <c r="O17" i="41"/>
  <c r="O23" i="41"/>
  <c r="O17" i="45"/>
  <c r="O18" i="45"/>
  <c r="O19" i="45"/>
  <c r="O20" i="45"/>
  <c r="O21" i="45"/>
  <c r="O22" i="45"/>
  <c r="O23" i="45"/>
  <c r="O36" i="9"/>
  <c r="O32" i="9"/>
  <c r="O36" i="30"/>
  <c r="O38" i="30"/>
  <c r="O17" i="49"/>
  <c r="O23" i="49"/>
  <c r="O18" i="47"/>
  <c r="O17" i="47"/>
  <c r="O19" i="47"/>
  <c r="O20" i="47"/>
  <c r="O21" i="47"/>
  <c r="O22" i="47"/>
  <c r="O23" i="47"/>
  <c r="B23" i="47"/>
  <c r="B45" i="47"/>
  <c r="O18" i="40"/>
  <c r="O23" i="40"/>
  <c r="B23" i="40"/>
  <c r="O18" i="38"/>
  <c r="O23" i="38"/>
  <c r="B23" i="38"/>
  <c r="B45" i="38"/>
  <c r="O23" i="23"/>
  <c r="B23" i="23"/>
  <c r="O23" i="35"/>
  <c r="O18" i="35"/>
  <c r="O18" i="26"/>
  <c r="O23" i="26"/>
  <c r="O23" i="33"/>
  <c r="O18" i="31"/>
  <c r="O23" i="31"/>
  <c r="B23" i="31"/>
  <c r="O19" i="27"/>
  <c r="O20" i="27"/>
  <c r="O21" i="27"/>
  <c r="O22" i="27"/>
  <c r="O23" i="27"/>
  <c r="O18" i="27"/>
  <c r="O18" i="24"/>
  <c r="O23" i="24"/>
  <c r="B23" i="19"/>
  <c r="O23" i="19"/>
  <c r="O18" i="19"/>
  <c r="B23" i="13"/>
  <c r="B39" i="13"/>
  <c r="O18" i="13"/>
  <c r="O23" i="13"/>
  <c r="O31" i="27"/>
  <c r="O32" i="27"/>
  <c r="O31" i="20"/>
  <c r="O32" i="20"/>
  <c r="O32" i="37"/>
  <c r="P32" i="37"/>
  <c r="P31" i="37"/>
  <c r="P33" i="37"/>
  <c r="P34" i="37"/>
  <c r="P35" i="37"/>
  <c r="P38" i="37"/>
  <c r="O36" i="37"/>
  <c r="O23" i="25"/>
  <c r="O18" i="18"/>
  <c r="O23" i="18"/>
  <c r="P31" i="17"/>
  <c r="O32" i="17"/>
  <c r="P32" i="17"/>
  <c r="P33" i="17"/>
  <c r="P34" i="17"/>
  <c r="P35" i="17"/>
  <c r="P38" i="17"/>
  <c r="O36" i="17"/>
  <c r="O38" i="15"/>
  <c r="O19" i="14"/>
  <c r="O20" i="14"/>
  <c r="O21" i="14"/>
  <c r="O22" i="14"/>
  <c r="O23" i="14"/>
  <c r="O18" i="14"/>
  <c r="B23" i="14"/>
  <c r="O23" i="7"/>
  <c r="B23" i="7"/>
  <c r="O41" i="2"/>
  <c r="P41" i="2"/>
  <c r="U39" i="2"/>
  <c r="P35" i="2"/>
  <c r="U40" i="2"/>
  <c r="P33" i="2"/>
  <c r="U41" i="2"/>
  <c r="P31" i="2"/>
  <c r="U42" i="2"/>
  <c r="P32" i="2"/>
  <c r="U43" i="2"/>
  <c r="P34" i="2"/>
  <c r="U44" i="2"/>
  <c r="T40" i="2"/>
  <c r="T41" i="2"/>
  <c r="T42" i="2"/>
  <c r="T43" i="2"/>
  <c r="T44" i="2"/>
  <c r="B45" i="2"/>
  <c r="O45" i="2"/>
  <c r="T38" i="2"/>
  <c r="T21" i="2"/>
  <c r="O41" i="3"/>
  <c r="P41" i="3"/>
  <c r="U39" i="3"/>
  <c r="P35" i="3"/>
  <c r="U40" i="3"/>
  <c r="P33" i="3"/>
  <c r="U41" i="3"/>
  <c r="P31" i="3"/>
  <c r="U42" i="3"/>
  <c r="P32" i="3"/>
  <c r="U43" i="3"/>
  <c r="P34" i="3"/>
  <c r="U44" i="3"/>
  <c r="U45" i="3"/>
  <c r="T39" i="3"/>
  <c r="T40" i="3"/>
  <c r="T41" i="3"/>
  <c r="T42" i="3"/>
  <c r="T43" i="3"/>
  <c r="T44" i="3"/>
  <c r="T45" i="3"/>
  <c r="O45" i="3"/>
  <c r="T38" i="3"/>
  <c r="P38" i="3"/>
  <c r="T21" i="3"/>
  <c r="O41" i="4"/>
  <c r="P41" i="4"/>
  <c r="U39" i="4"/>
  <c r="P35" i="4"/>
  <c r="U40" i="4"/>
  <c r="P33" i="4"/>
  <c r="U41" i="4"/>
  <c r="P31" i="4"/>
  <c r="U42" i="4"/>
  <c r="P32" i="4"/>
  <c r="U43" i="4"/>
  <c r="P34" i="4"/>
  <c r="U44" i="4"/>
  <c r="U45" i="4"/>
  <c r="T39" i="4"/>
  <c r="T40" i="4"/>
  <c r="T41" i="4"/>
  <c r="T42" i="4"/>
  <c r="T43" i="4"/>
  <c r="T44" i="4"/>
  <c r="T45" i="4"/>
  <c r="B45" i="4"/>
  <c r="O45" i="4"/>
  <c r="T38" i="4"/>
  <c r="P38" i="4"/>
  <c r="T21" i="4"/>
  <c r="O41" i="5"/>
  <c r="P41" i="5"/>
  <c r="U39" i="5"/>
  <c r="T39" i="5"/>
  <c r="P34" i="5"/>
  <c r="U44" i="5"/>
  <c r="T44" i="5"/>
  <c r="P32" i="5"/>
  <c r="U43" i="5"/>
  <c r="T43" i="5"/>
  <c r="P31" i="5"/>
  <c r="U42" i="5"/>
  <c r="T42" i="5"/>
  <c r="P33" i="5"/>
  <c r="U41" i="5"/>
  <c r="T41" i="5"/>
  <c r="T40" i="5"/>
  <c r="T45" i="5"/>
  <c r="P35" i="5"/>
  <c r="U40" i="5"/>
  <c r="B45" i="5"/>
  <c r="O45" i="5"/>
  <c r="T38" i="5"/>
  <c r="P38" i="5"/>
  <c r="O41" i="6"/>
  <c r="P41" i="6"/>
  <c r="U39" i="6"/>
  <c r="P34" i="6"/>
  <c r="U44" i="6"/>
  <c r="P35" i="6"/>
  <c r="U40" i="6"/>
  <c r="P33" i="6"/>
  <c r="U41" i="6"/>
  <c r="P31" i="6"/>
  <c r="U42" i="6"/>
  <c r="P32" i="6"/>
  <c r="U43" i="6"/>
  <c r="U45" i="6"/>
  <c r="T39" i="6"/>
  <c r="T44" i="6"/>
  <c r="T40" i="6"/>
  <c r="T41" i="6"/>
  <c r="T42" i="6"/>
  <c r="T43" i="6"/>
  <c r="T45" i="6"/>
  <c r="B45" i="6"/>
  <c r="O45" i="6"/>
  <c r="T38" i="6"/>
  <c r="P38" i="6"/>
  <c r="T21" i="6"/>
  <c r="O41" i="7"/>
  <c r="P41" i="7"/>
  <c r="U39" i="7"/>
  <c r="P31" i="7"/>
  <c r="U42" i="7"/>
  <c r="P33" i="7"/>
  <c r="U41" i="7"/>
  <c r="P35" i="7"/>
  <c r="U40" i="7"/>
  <c r="P32" i="7"/>
  <c r="U43" i="7"/>
  <c r="P34" i="7"/>
  <c r="U44" i="7"/>
  <c r="U45" i="7"/>
  <c r="T39" i="7"/>
  <c r="T42" i="7"/>
  <c r="T41" i="7"/>
  <c r="T40" i="7"/>
  <c r="T43" i="7"/>
  <c r="T44" i="7"/>
  <c r="T45" i="7"/>
  <c r="B45" i="7"/>
  <c r="O45" i="7"/>
  <c r="T38" i="7"/>
  <c r="P38" i="7"/>
  <c r="O41" i="8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0" i="8"/>
  <c r="T41" i="8"/>
  <c r="T42" i="8"/>
  <c r="T43" i="8"/>
  <c r="T44" i="8"/>
  <c r="T45" i="8"/>
  <c r="B45" i="8"/>
  <c r="O45" i="8"/>
  <c r="T38" i="8"/>
  <c r="P38" i="8"/>
  <c r="O41" i="9"/>
  <c r="P41" i="9"/>
  <c r="U39" i="9"/>
  <c r="P32" i="9"/>
  <c r="U43" i="9"/>
  <c r="P35" i="9"/>
  <c r="U40" i="9"/>
  <c r="P33" i="9"/>
  <c r="U41" i="9"/>
  <c r="P31" i="9"/>
  <c r="U42" i="9"/>
  <c r="P34" i="9"/>
  <c r="U44" i="9"/>
  <c r="U45" i="9"/>
  <c r="T39" i="9"/>
  <c r="T43" i="9"/>
  <c r="T40" i="9"/>
  <c r="T41" i="9"/>
  <c r="T42" i="9"/>
  <c r="T44" i="9"/>
  <c r="T45" i="9"/>
  <c r="B45" i="9"/>
  <c r="O45" i="9"/>
  <c r="T38" i="9"/>
  <c r="P38" i="9"/>
  <c r="T21" i="9"/>
  <c r="O41" i="10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T39" i="10"/>
  <c r="T40" i="10"/>
  <c r="T41" i="10"/>
  <c r="T42" i="10"/>
  <c r="T43" i="10"/>
  <c r="T44" i="10"/>
  <c r="T45" i="10"/>
  <c r="B45" i="10"/>
  <c r="O45" i="10"/>
  <c r="T38" i="10"/>
  <c r="P38" i="10"/>
  <c r="O41" i="11"/>
  <c r="P41" i="11"/>
  <c r="U39" i="11"/>
  <c r="P32" i="11"/>
  <c r="U43" i="11"/>
  <c r="P35" i="11"/>
  <c r="U40" i="11"/>
  <c r="P33" i="11"/>
  <c r="U41" i="11"/>
  <c r="P31" i="11"/>
  <c r="U42" i="11"/>
  <c r="P34" i="11"/>
  <c r="U44" i="11"/>
  <c r="U45" i="11"/>
  <c r="T39" i="11"/>
  <c r="T43" i="11"/>
  <c r="T40" i="11"/>
  <c r="T41" i="11"/>
  <c r="T42" i="11"/>
  <c r="T44" i="11"/>
  <c r="T45" i="11"/>
  <c r="B45" i="11"/>
  <c r="O45" i="11"/>
  <c r="T38" i="11"/>
  <c r="P38" i="11"/>
  <c r="T21" i="11"/>
  <c r="O41" i="12"/>
  <c r="P41" i="12"/>
  <c r="U39" i="12"/>
  <c r="P35" i="12"/>
  <c r="U40" i="12"/>
  <c r="P33" i="12"/>
  <c r="U41" i="12"/>
  <c r="P31" i="12"/>
  <c r="U42" i="12"/>
  <c r="P32" i="12"/>
  <c r="U43" i="12"/>
  <c r="P34" i="12"/>
  <c r="U44" i="12"/>
  <c r="T40" i="12"/>
  <c r="T41" i="12"/>
  <c r="T42" i="12"/>
  <c r="T43" i="12"/>
  <c r="T44" i="12"/>
  <c r="B45" i="12"/>
  <c r="O41" i="13"/>
  <c r="P41" i="13"/>
  <c r="U39" i="13"/>
  <c r="P35" i="13"/>
  <c r="U40" i="13"/>
  <c r="P33" i="13"/>
  <c r="U41" i="13"/>
  <c r="P31" i="13"/>
  <c r="U42" i="13"/>
  <c r="P32" i="13"/>
  <c r="U43" i="13"/>
  <c r="P34" i="13"/>
  <c r="U44" i="13"/>
  <c r="T39" i="13"/>
  <c r="T40" i="13"/>
  <c r="T41" i="13"/>
  <c r="T42" i="13"/>
  <c r="T43" i="13"/>
  <c r="T44" i="13"/>
  <c r="T45" i="13"/>
  <c r="B45" i="13"/>
  <c r="O45" i="13"/>
  <c r="T38" i="13"/>
  <c r="P38" i="13"/>
  <c r="T21" i="13"/>
  <c r="O41" i="14"/>
  <c r="P41" i="14"/>
  <c r="U39" i="14"/>
  <c r="P34" i="14"/>
  <c r="U44" i="14"/>
  <c r="T44" i="14"/>
  <c r="P32" i="14"/>
  <c r="U43" i="14"/>
  <c r="T43" i="14"/>
  <c r="P31" i="14"/>
  <c r="U42" i="14"/>
  <c r="T42" i="14"/>
  <c r="P33" i="14"/>
  <c r="U41" i="14"/>
  <c r="T41" i="14"/>
  <c r="P35" i="14"/>
  <c r="U40" i="14"/>
  <c r="T40" i="14"/>
  <c r="B45" i="14"/>
  <c r="B46" i="14"/>
  <c r="O41" i="15"/>
  <c r="T43" i="15"/>
  <c r="T40" i="15"/>
  <c r="T41" i="15"/>
  <c r="T44" i="15"/>
  <c r="T42" i="15"/>
  <c r="B46" i="15"/>
  <c r="L43" i="15"/>
  <c r="O41" i="16"/>
  <c r="P41" i="16"/>
  <c r="U39" i="16"/>
  <c r="P35" i="16"/>
  <c r="U40" i="16"/>
  <c r="T40" i="16"/>
  <c r="P34" i="16"/>
  <c r="U44" i="16"/>
  <c r="T44" i="16"/>
  <c r="P32" i="16"/>
  <c r="U43" i="16"/>
  <c r="T43" i="16"/>
  <c r="P31" i="16"/>
  <c r="U42" i="16"/>
  <c r="T42" i="16"/>
  <c r="P33" i="16"/>
  <c r="U41" i="16"/>
  <c r="T41" i="16"/>
  <c r="B45" i="16"/>
  <c r="O45" i="16"/>
  <c r="T38" i="16"/>
  <c r="O41" i="17"/>
  <c r="P41" i="17"/>
  <c r="U39" i="17"/>
  <c r="U43" i="17"/>
  <c r="U40" i="17"/>
  <c r="U41" i="17"/>
  <c r="U42" i="17"/>
  <c r="U44" i="17"/>
  <c r="U45" i="17"/>
  <c r="T39" i="17"/>
  <c r="T43" i="17"/>
  <c r="T40" i="17"/>
  <c r="T41" i="17"/>
  <c r="T42" i="17"/>
  <c r="T44" i="17"/>
  <c r="T45" i="17"/>
  <c r="B45" i="17"/>
  <c r="O45" i="17"/>
  <c r="T38" i="17"/>
  <c r="T21" i="17"/>
  <c r="O41" i="18"/>
  <c r="P41" i="18"/>
  <c r="U39" i="18"/>
  <c r="T39" i="18"/>
  <c r="P34" i="18"/>
  <c r="U44" i="18"/>
  <c r="T44" i="18"/>
  <c r="P32" i="18"/>
  <c r="U43" i="18"/>
  <c r="T43" i="18"/>
  <c r="P35" i="18"/>
  <c r="U40" i="18"/>
  <c r="T40" i="18"/>
  <c r="O41" i="19"/>
  <c r="P41" i="19"/>
  <c r="U39" i="19"/>
  <c r="P35" i="19"/>
  <c r="U40" i="19"/>
  <c r="P33" i="19"/>
  <c r="U41" i="19"/>
  <c r="P31" i="19"/>
  <c r="U42" i="19"/>
  <c r="P32" i="19"/>
  <c r="U43" i="19"/>
  <c r="P34" i="19"/>
  <c r="U44" i="19"/>
  <c r="U45" i="19"/>
  <c r="T39" i="19"/>
  <c r="T40" i="19"/>
  <c r="T41" i="19"/>
  <c r="T42" i="19"/>
  <c r="T43" i="19"/>
  <c r="T44" i="19"/>
  <c r="T45" i="19"/>
  <c r="B45" i="19"/>
  <c r="O45" i="19"/>
  <c r="T38" i="19"/>
  <c r="P38" i="19"/>
  <c r="O41" i="20"/>
  <c r="P41" i="20"/>
  <c r="U39" i="20"/>
  <c r="P35" i="20"/>
  <c r="U40" i="20"/>
  <c r="P33" i="20"/>
  <c r="U41" i="20"/>
  <c r="P31" i="20"/>
  <c r="U42" i="20"/>
  <c r="P32" i="20"/>
  <c r="U43" i="20"/>
  <c r="P34" i="20"/>
  <c r="U44" i="20"/>
  <c r="U45" i="20"/>
  <c r="T39" i="20"/>
  <c r="T40" i="20"/>
  <c r="T41" i="20"/>
  <c r="T42" i="20"/>
  <c r="T43" i="20"/>
  <c r="T44" i="20"/>
  <c r="T45" i="20"/>
  <c r="B45" i="20"/>
  <c r="O45" i="20"/>
  <c r="T38" i="20"/>
  <c r="P38" i="20"/>
  <c r="T21" i="20"/>
  <c r="O41" i="21"/>
  <c r="P41" i="21"/>
  <c r="U39" i="21"/>
  <c r="P35" i="21"/>
  <c r="U40" i="21"/>
  <c r="P33" i="21"/>
  <c r="U41" i="21"/>
  <c r="P31" i="21"/>
  <c r="U42" i="21"/>
  <c r="P32" i="21"/>
  <c r="P34" i="21"/>
  <c r="P38" i="21"/>
  <c r="U43" i="21"/>
  <c r="U44" i="21"/>
  <c r="T40" i="21"/>
  <c r="T41" i="21"/>
  <c r="T42" i="21"/>
  <c r="T43" i="21"/>
  <c r="T44" i="21"/>
  <c r="O41" i="22"/>
  <c r="P41" i="22"/>
  <c r="U39" i="22"/>
  <c r="P35" i="22"/>
  <c r="U40" i="22"/>
  <c r="P33" i="22"/>
  <c r="U41" i="22"/>
  <c r="P31" i="22"/>
  <c r="U42" i="22"/>
  <c r="P32" i="22"/>
  <c r="U43" i="22"/>
  <c r="P34" i="22"/>
  <c r="U44" i="22"/>
  <c r="T39" i="22"/>
  <c r="T40" i="22"/>
  <c r="T41" i="22"/>
  <c r="T42" i="22"/>
  <c r="T43" i="22"/>
  <c r="T44" i="22"/>
  <c r="B45" i="22"/>
  <c r="O45" i="22"/>
  <c r="T38" i="22"/>
  <c r="O41" i="23"/>
  <c r="P41" i="23"/>
  <c r="U39" i="23"/>
  <c r="P32" i="23"/>
  <c r="U43" i="23"/>
  <c r="P35" i="23"/>
  <c r="U40" i="23"/>
  <c r="P33" i="23"/>
  <c r="U41" i="23"/>
  <c r="P34" i="23"/>
  <c r="U44" i="23"/>
  <c r="P31" i="23"/>
  <c r="U42" i="23"/>
  <c r="U45" i="23"/>
  <c r="T39" i="23"/>
  <c r="T43" i="23"/>
  <c r="T40" i="23"/>
  <c r="T41" i="23"/>
  <c r="T44" i="23"/>
  <c r="T42" i="23"/>
  <c r="T45" i="23"/>
  <c r="B45" i="23"/>
  <c r="O45" i="23"/>
  <c r="T38" i="23"/>
  <c r="P38" i="23"/>
  <c r="T21" i="23"/>
  <c r="O41" i="24"/>
  <c r="P41" i="24"/>
  <c r="U39" i="24"/>
  <c r="P34" i="24"/>
  <c r="U44" i="24"/>
  <c r="T44" i="24"/>
  <c r="P31" i="24"/>
  <c r="U42" i="24"/>
  <c r="T42" i="24"/>
  <c r="P33" i="24"/>
  <c r="U41" i="24"/>
  <c r="T41" i="24"/>
  <c r="P35" i="24"/>
  <c r="U40" i="24"/>
  <c r="T40" i="24"/>
  <c r="B45" i="24"/>
  <c r="O45" i="24"/>
  <c r="T38" i="24"/>
  <c r="O41" i="25"/>
  <c r="T39" i="25"/>
  <c r="P41" i="25"/>
  <c r="U39" i="25"/>
  <c r="P35" i="25"/>
  <c r="U40" i="25"/>
  <c r="P33" i="25"/>
  <c r="U41" i="25"/>
  <c r="P31" i="25"/>
  <c r="U42" i="25"/>
  <c r="P32" i="25"/>
  <c r="U43" i="25"/>
  <c r="P34" i="25"/>
  <c r="U44" i="25"/>
  <c r="T40" i="25"/>
  <c r="T41" i="25"/>
  <c r="T42" i="25"/>
  <c r="T43" i="25"/>
  <c r="T44" i="25"/>
  <c r="B45" i="25"/>
  <c r="O41" i="26"/>
  <c r="P41" i="26"/>
  <c r="U39" i="26"/>
  <c r="P35" i="26"/>
  <c r="U40" i="26"/>
  <c r="P33" i="26"/>
  <c r="U41" i="26"/>
  <c r="P31" i="26"/>
  <c r="U42" i="26"/>
  <c r="P32" i="26"/>
  <c r="U43" i="26"/>
  <c r="P34" i="26"/>
  <c r="U44" i="26"/>
  <c r="U45" i="26"/>
  <c r="T39" i="26"/>
  <c r="T40" i="26"/>
  <c r="T41" i="26"/>
  <c r="T42" i="26"/>
  <c r="T43" i="26"/>
  <c r="T44" i="26"/>
  <c r="T45" i="26"/>
  <c r="O45" i="26"/>
  <c r="T38" i="26"/>
  <c r="P38" i="26"/>
  <c r="O41" i="27"/>
  <c r="P41" i="27"/>
  <c r="U39" i="27"/>
  <c r="P35" i="27"/>
  <c r="U40" i="27"/>
  <c r="P33" i="27"/>
  <c r="U41" i="27"/>
  <c r="P31" i="27"/>
  <c r="U42" i="27"/>
  <c r="P32" i="27"/>
  <c r="U43" i="27"/>
  <c r="P34" i="27"/>
  <c r="U44" i="27"/>
  <c r="U45" i="27"/>
  <c r="T39" i="27"/>
  <c r="T40" i="27"/>
  <c r="T41" i="27"/>
  <c r="T42" i="27"/>
  <c r="T43" i="27"/>
  <c r="T44" i="27"/>
  <c r="T45" i="27"/>
  <c r="B45" i="27"/>
  <c r="O45" i="27"/>
  <c r="T38" i="27"/>
  <c r="P38" i="27"/>
  <c r="T21" i="27"/>
  <c r="O41" i="28"/>
  <c r="P41" i="28"/>
  <c r="U39" i="28"/>
  <c r="P35" i="28"/>
  <c r="U40" i="28"/>
  <c r="P33" i="28"/>
  <c r="U41" i="28"/>
  <c r="P31" i="28"/>
  <c r="U42" i="28"/>
  <c r="P32" i="28"/>
  <c r="U43" i="28"/>
  <c r="P34" i="28"/>
  <c r="U44" i="28"/>
  <c r="U45" i="28"/>
  <c r="T39" i="28"/>
  <c r="T40" i="28"/>
  <c r="T41" i="28"/>
  <c r="T42" i="28"/>
  <c r="T43" i="28"/>
  <c r="T44" i="28"/>
  <c r="T45" i="28"/>
  <c r="B45" i="28"/>
  <c r="O45" i="28"/>
  <c r="T38" i="28"/>
  <c r="P38" i="28"/>
  <c r="T21" i="28"/>
  <c r="O41" i="29"/>
  <c r="P41" i="29"/>
  <c r="U39" i="29"/>
  <c r="P35" i="29"/>
  <c r="U40" i="29"/>
  <c r="P33" i="29"/>
  <c r="U41" i="29"/>
  <c r="P31" i="29"/>
  <c r="U42" i="29"/>
  <c r="P32" i="29"/>
  <c r="U43" i="29"/>
  <c r="P34" i="29"/>
  <c r="U44" i="29"/>
  <c r="U45" i="29"/>
  <c r="T39" i="29"/>
  <c r="T40" i="29"/>
  <c r="T41" i="29"/>
  <c r="T42" i="29"/>
  <c r="T43" i="29"/>
  <c r="T44" i="29"/>
  <c r="T45" i="29"/>
  <c r="B45" i="29"/>
  <c r="O45" i="29"/>
  <c r="T38" i="29"/>
  <c r="P38" i="29"/>
  <c r="T21" i="29"/>
  <c r="O41" i="30"/>
  <c r="P41" i="30"/>
  <c r="U39" i="30"/>
  <c r="P35" i="30"/>
  <c r="U40" i="30"/>
  <c r="P33" i="30"/>
  <c r="U41" i="30"/>
  <c r="P31" i="30"/>
  <c r="U42" i="30"/>
  <c r="P32" i="30"/>
  <c r="U43" i="30"/>
  <c r="P34" i="30"/>
  <c r="U44" i="30"/>
  <c r="U45" i="30"/>
  <c r="T39" i="30"/>
  <c r="T40" i="30"/>
  <c r="T41" i="30"/>
  <c r="T42" i="30"/>
  <c r="T43" i="30"/>
  <c r="T44" i="30"/>
  <c r="T45" i="30"/>
  <c r="B45" i="30"/>
  <c r="O45" i="30"/>
  <c r="T38" i="30"/>
  <c r="P38" i="30"/>
  <c r="T21" i="30"/>
  <c r="O41" i="31"/>
  <c r="P41" i="31"/>
  <c r="U39" i="31"/>
  <c r="P35" i="31"/>
  <c r="U40" i="31"/>
  <c r="P33" i="31"/>
  <c r="U41" i="31"/>
  <c r="P31" i="31"/>
  <c r="U42" i="31"/>
  <c r="P32" i="31"/>
  <c r="U43" i="31"/>
  <c r="P34" i="31"/>
  <c r="U44" i="31"/>
  <c r="T39" i="31"/>
  <c r="T40" i="31"/>
  <c r="T41" i="31"/>
  <c r="T42" i="31"/>
  <c r="T43" i="31"/>
  <c r="T44" i="31"/>
  <c r="B45" i="31"/>
  <c r="O45" i="31"/>
  <c r="T38" i="31"/>
  <c r="O41" i="32"/>
  <c r="P41" i="32"/>
  <c r="U39" i="32"/>
  <c r="P35" i="32"/>
  <c r="U40" i="32"/>
  <c r="P33" i="32"/>
  <c r="U41" i="32"/>
  <c r="P31" i="32"/>
  <c r="U42" i="32"/>
  <c r="P32" i="32"/>
  <c r="U43" i="32"/>
  <c r="P34" i="32"/>
  <c r="U44" i="32"/>
  <c r="U45" i="32"/>
  <c r="T39" i="32"/>
  <c r="T40" i="32"/>
  <c r="T41" i="32"/>
  <c r="T42" i="32"/>
  <c r="T43" i="32"/>
  <c r="T44" i="32"/>
  <c r="T45" i="32"/>
  <c r="O45" i="32"/>
  <c r="T38" i="32"/>
  <c r="P38" i="32"/>
  <c r="O41" i="33"/>
  <c r="P41" i="33"/>
  <c r="U39" i="33"/>
  <c r="P35" i="33"/>
  <c r="U40" i="33"/>
  <c r="P33" i="33"/>
  <c r="U41" i="33"/>
  <c r="P31" i="33"/>
  <c r="U42" i="33"/>
  <c r="P32" i="33"/>
  <c r="U43" i="33"/>
  <c r="P34" i="33"/>
  <c r="U44" i="33"/>
  <c r="T39" i="33"/>
  <c r="T40" i="33"/>
  <c r="T41" i="33"/>
  <c r="T42" i="33"/>
  <c r="T43" i="33"/>
  <c r="T44" i="33"/>
  <c r="T45" i="33"/>
  <c r="O45" i="33"/>
  <c r="T38" i="33"/>
  <c r="O41" i="34"/>
  <c r="P41" i="34"/>
  <c r="U39" i="34"/>
  <c r="P35" i="34"/>
  <c r="U40" i="34"/>
  <c r="P33" i="34"/>
  <c r="U41" i="34"/>
  <c r="P31" i="34"/>
  <c r="U42" i="34"/>
  <c r="P32" i="34"/>
  <c r="U43" i="34"/>
  <c r="P34" i="34"/>
  <c r="U44" i="34"/>
  <c r="U45" i="34"/>
  <c r="T39" i="34"/>
  <c r="T40" i="34"/>
  <c r="T41" i="34"/>
  <c r="T42" i="34"/>
  <c r="T43" i="34"/>
  <c r="T44" i="34"/>
  <c r="T45" i="34"/>
  <c r="O45" i="34"/>
  <c r="T38" i="34"/>
  <c r="P38" i="34"/>
  <c r="O41" i="35"/>
  <c r="P41" i="35"/>
  <c r="U39" i="35"/>
  <c r="P35" i="35"/>
  <c r="U40" i="35"/>
  <c r="P33" i="35"/>
  <c r="U41" i="35"/>
  <c r="P31" i="35"/>
  <c r="U42" i="35"/>
  <c r="P32" i="35"/>
  <c r="U43" i="35"/>
  <c r="P34" i="35"/>
  <c r="U44" i="35"/>
  <c r="U45" i="35"/>
  <c r="T39" i="35"/>
  <c r="T40" i="35"/>
  <c r="T41" i="35"/>
  <c r="T42" i="35"/>
  <c r="T43" i="35"/>
  <c r="T44" i="35"/>
  <c r="T45" i="35"/>
  <c r="B45" i="35"/>
  <c r="O45" i="35"/>
  <c r="T38" i="35"/>
  <c r="P38" i="35"/>
  <c r="T21" i="35"/>
  <c r="O41" i="36"/>
  <c r="P41" i="36"/>
  <c r="U39" i="36"/>
  <c r="P35" i="36"/>
  <c r="U40" i="36"/>
  <c r="P33" i="36"/>
  <c r="U41" i="36"/>
  <c r="P31" i="36"/>
  <c r="U42" i="36"/>
  <c r="P32" i="36"/>
  <c r="U43" i="36"/>
  <c r="P34" i="36"/>
  <c r="U44" i="36"/>
  <c r="U45" i="36"/>
  <c r="T39" i="36"/>
  <c r="T40" i="36"/>
  <c r="T41" i="36"/>
  <c r="T42" i="36"/>
  <c r="T43" i="36"/>
  <c r="T44" i="36"/>
  <c r="T45" i="36"/>
  <c r="B45" i="36"/>
  <c r="O45" i="36"/>
  <c r="T38" i="36"/>
  <c r="O41" i="37"/>
  <c r="P41" i="37"/>
  <c r="U39" i="37"/>
  <c r="U43" i="37"/>
  <c r="U40" i="37"/>
  <c r="U41" i="37"/>
  <c r="U42" i="37"/>
  <c r="U44" i="37"/>
  <c r="U45" i="37"/>
  <c r="T39" i="37"/>
  <c r="T43" i="37"/>
  <c r="T40" i="37"/>
  <c r="T41" i="37"/>
  <c r="T42" i="37"/>
  <c r="T44" i="37"/>
  <c r="T45" i="37"/>
  <c r="B45" i="37"/>
  <c r="O45" i="37"/>
  <c r="T38" i="37"/>
  <c r="T21" i="37"/>
  <c r="O41" i="38"/>
  <c r="P41" i="38"/>
  <c r="U39" i="38"/>
  <c r="T39" i="38"/>
  <c r="P34" i="38"/>
  <c r="U44" i="38"/>
  <c r="T44" i="38"/>
  <c r="P32" i="38"/>
  <c r="P31" i="38"/>
  <c r="P33" i="38"/>
  <c r="P35" i="38"/>
  <c r="P38" i="38"/>
  <c r="T43" i="38"/>
  <c r="U42" i="38"/>
  <c r="T42" i="38"/>
  <c r="U41" i="38"/>
  <c r="T41" i="38"/>
  <c r="U40" i="38"/>
  <c r="T40" i="38"/>
  <c r="O41" i="39"/>
  <c r="P41" i="39"/>
  <c r="U39" i="39"/>
  <c r="P32" i="39"/>
  <c r="U43" i="39"/>
  <c r="P35" i="39"/>
  <c r="U40" i="39"/>
  <c r="P33" i="39"/>
  <c r="U41" i="39"/>
  <c r="P31" i="39"/>
  <c r="U42" i="39"/>
  <c r="P34" i="39"/>
  <c r="U44" i="39"/>
  <c r="U45" i="39"/>
  <c r="T39" i="39"/>
  <c r="T43" i="39"/>
  <c r="T40" i="39"/>
  <c r="T41" i="39"/>
  <c r="T42" i="39"/>
  <c r="T44" i="39"/>
  <c r="T45" i="39"/>
  <c r="B45" i="39"/>
  <c r="O45" i="39"/>
  <c r="T38" i="39"/>
  <c r="P38" i="39"/>
  <c r="O41" i="40"/>
  <c r="P41" i="40"/>
  <c r="U39" i="40"/>
  <c r="P35" i="40"/>
  <c r="U40" i="40"/>
  <c r="P33" i="40"/>
  <c r="U41" i="40"/>
  <c r="P34" i="40"/>
  <c r="U44" i="40"/>
  <c r="P31" i="40"/>
  <c r="U42" i="40"/>
  <c r="P32" i="40"/>
  <c r="U43" i="40"/>
  <c r="U45" i="40"/>
  <c r="T39" i="40"/>
  <c r="T40" i="40"/>
  <c r="T41" i="40"/>
  <c r="T44" i="40"/>
  <c r="T42" i="40"/>
  <c r="T43" i="40"/>
  <c r="T45" i="40"/>
  <c r="B45" i="40"/>
  <c r="O45" i="40"/>
  <c r="T38" i="40"/>
  <c r="P38" i="40"/>
  <c r="T21" i="40"/>
  <c r="O41" i="41"/>
  <c r="P41" i="41"/>
  <c r="U39" i="41"/>
  <c r="P35" i="41"/>
  <c r="U40" i="41"/>
  <c r="P33" i="41"/>
  <c r="U41" i="41"/>
  <c r="P31" i="41"/>
  <c r="U42" i="41"/>
  <c r="P32" i="41"/>
  <c r="U43" i="41"/>
  <c r="P34" i="41"/>
  <c r="U44" i="41"/>
  <c r="T40" i="41"/>
  <c r="T41" i="41"/>
  <c r="T42" i="41"/>
  <c r="T43" i="41"/>
  <c r="T44" i="41"/>
  <c r="O45" i="41"/>
  <c r="T38" i="41"/>
  <c r="O41" i="42"/>
  <c r="P41" i="42"/>
  <c r="U39" i="42"/>
  <c r="P35" i="42"/>
  <c r="U40" i="42"/>
  <c r="P33" i="42"/>
  <c r="U41" i="42"/>
  <c r="P31" i="42"/>
  <c r="U42" i="42"/>
  <c r="P32" i="42"/>
  <c r="U43" i="42"/>
  <c r="P34" i="42"/>
  <c r="U44" i="42"/>
  <c r="U45" i="42"/>
  <c r="T39" i="42"/>
  <c r="T40" i="42"/>
  <c r="T41" i="42"/>
  <c r="T42" i="42"/>
  <c r="T43" i="42"/>
  <c r="T44" i="42"/>
  <c r="T45" i="42"/>
  <c r="B45" i="42"/>
  <c r="O45" i="42"/>
  <c r="T38" i="42"/>
  <c r="P38" i="42"/>
  <c r="T21" i="42"/>
  <c r="O41" i="43"/>
  <c r="P41" i="43"/>
  <c r="U39" i="43"/>
  <c r="T39" i="43"/>
  <c r="P34" i="43"/>
  <c r="U44" i="43"/>
  <c r="T44" i="43"/>
  <c r="P31" i="43"/>
  <c r="U42" i="43"/>
  <c r="T42" i="43"/>
  <c r="P33" i="43"/>
  <c r="U41" i="43"/>
  <c r="P35" i="43"/>
  <c r="U40" i="43"/>
  <c r="T40" i="43"/>
  <c r="B45" i="43"/>
  <c r="O45" i="43"/>
  <c r="T38" i="43"/>
  <c r="O41" i="44"/>
  <c r="P41" i="44"/>
  <c r="U39" i="44"/>
  <c r="P35" i="44"/>
  <c r="U40" i="44"/>
  <c r="P33" i="44"/>
  <c r="U41" i="44"/>
  <c r="P31" i="44"/>
  <c r="U42" i="44"/>
  <c r="P32" i="44"/>
  <c r="U43" i="44"/>
  <c r="P34" i="44"/>
  <c r="U44" i="44"/>
  <c r="T39" i="44"/>
  <c r="T40" i="44"/>
  <c r="T41" i="44"/>
  <c r="T42" i="44"/>
  <c r="T43" i="44"/>
  <c r="T44" i="44"/>
  <c r="T45" i="44"/>
  <c r="B46" i="44"/>
  <c r="T21" i="44"/>
  <c r="O41" i="45"/>
  <c r="P41" i="45"/>
  <c r="U39" i="45"/>
  <c r="P35" i="45"/>
  <c r="U40" i="45"/>
  <c r="P33" i="45"/>
  <c r="U41" i="45"/>
  <c r="P31" i="45"/>
  <c r="U42" i="45"/>
  <c r="P32" i="45"/>
  <c r="U43" i="45"/>
  <c r="P34" i="45"/>
  <c r="U44" i="45"/>
  <c r="U45" i="45"/>
  <c r="T39" i="45"/>
  <c r="T40" i="45"/>
  <c r="T41" i="45"/>
  <c r="T42" i="45"/>
  <c r="T43" i="45"/>
  <c r="T44" i="45"/>
  <c r="T45" i="45"/>
  <c r="P38" i="45"/>
  <c r="O41" i="46"/>
  <c r="P41" i="46"/>
  <c r="U39" i="46"/>
  <c r="P35" i="46"/>
  <c r="U40" i="46"/>
  <c r="P33" i="46"/>
  <c r="U41" i="46"/>
  <c r="P31" i="46"/>
  <c r="U42" i="46"/>
  <c r="P32" i="46"/>
  <c r="U43" i="46"/>
  <c r="P34" i="46"/>
  <c r="U44" i="46"/>
  <c r="U45" i="46"/>
  <c r="T39" i="46"/>
  <c r="T40" i="46"/>
  <c r="T41" i="46"/>
  <c r="T42" i="46"/>
  <c r="T43" i="46"/>
  <c r="T44" i="46"/>
  <c r="T45" i="46"/>
  <c r="B45" i="46"/>
  <c r="O45" i="46"/>
  <c r="T38" i="46"/>
  <c r="P38" i="46"/>
  <c r="P35" i="47"/>
  <c r="U40" i="47"/>
  <c r="P33" i="47"/>
  <c r="U41" i="47"/>
  <c r="P31" i="47"/>
  <c r="U42" i="47"/>
  <c r="P34" i="47"/>
  <c r="U44" i="47"/>
  <c r="T40" i="47"/>
  <c r="T41" i="47"/>
  <c r="T42" i="47"/>
  <c r="T44" i="47"/>
  <c r="O41" i="48"/>
  <c r="P41" i="48"/>
  <c r="U39" i="48"/>
  <c r="P31" i="48"/>
  <c r="U42" i="48"/>
  <c r="P35" i="48"/>
  <c r="U40" i="48"/>
  <c r="P33" i="48"/>
  <c r="U41" i="48"/>
  <c r="P32" i="48"/>
  <c r="U43" i="48"/>
  <c r="P34" i="48"/>
  <c r="U44" i="48"/>
  <c r="U45" i="48"/>
  <c r="T39" i="48"/>
  <c r="T42" i="48"/>
  <c r="T40" i="48"/>
  <c r="T41" i="48"/>
  <c r="T43" i="48"/>
  <c r="T44" i="48"/>
  <c r="T45" i="48"/>
  <c r="B45" i="48"/>
  <c r="O45" i="48"/>
  <c r="T38" i="48"/>
  <c r="P38" i="48"/>
  <c r="O41" i="49"/>
  <c r="P41" i="49"/>
  <c r="U39" i="49"/>
  <c r="P32" i="49"/>
  <c r="U43" i="49"/>
  <c r="P35" i="49"/>
  <c r="U40" i="49"/>
  <c r="P33" i="49"/>
  <c r="U41" i="49"/>
  <c r="P31" i="49"/>
  <c r="U42" i="49"/>
  <c r="P34" i="49"/>
  <c r="U44" i="49"/>
  <c r="U45" i="49"/>
  <c r="T39" i="49"/>
  <c r="T43" i="49"/>
  <c r="T40" i="49"/>
  <c r="T41" i="49"/>
  <c r="T42" i="49"/>
  <c r="T44" i="49"/>
  <c r="T45" i="49"/>
  <c r="B45" i="49"/>
  <c r="O45" i="49"/>
  <c r="T38" i="49"/>
  <c r="P38" i="49"/>
  <c r="T21" i="49"/>
  <c r="O41" i="50"/>
  <c r="P41" i="50"/>
  <c r="U39" i="50"/>
  <c r="P35" i="50"/>
  <c r="U40" i="50"/>
  <c r="P33" i="50"/>
  <c r="U41" i="50"/>
  <c r="P31" i="50"/>
  <c r="U42" i="50"/>
  <c r="P32" i="50"/>
  <c r="U43" i="50"/>
  <c r="P34" i="50"/>
  <c r="U44" i="50"/>
  <c r="U45" i="50"/>
  <c r="T39" i="50"/>
  <c r="T40" i="50"/>
  <c r="T41" i="50"/>
  <c r="T42" i="50"/>
  <c r="T43" i="50"/>
  <c r="T44" i="50"/>
  <c r="T45" i="50"/>
  <c r="B45" i="50"/>
  <c r="O45" i="50"/>
  <c r="T38" i="50"/>
  <c r="P38" i="50"/>
  <c r="B46" i="2"/>
  <c r="B46" i="4"/>
  <c r="B46" i="5"/>
  <c r="B46" i="6"/>
  <c r="B46" i="7"/>
  <c r="B46" i="9"/>
  <c r="B46" i="10"/>
  <c r="B46" i="11"/>
  <c r="B46" i="17"/>
  <c r="B46" i="19"/>
  <c r="B46" i="20"/>
  <c r="B46" i="22"/>
  <c r="B46" i="23"/>
  <c r="B46" i="24"/>
  <c r="B46" i="25"/>
  <c r="B46" i="26"/>
  <c r="B46" i="27"/>
  <c r="B46" i="28"/>
  <c r="B46" i="29"/>
  <c r="B46" i="30"/>
  <c r="B46" i="33"/>
  <c r="B46" i="34"/>
  <c r="B46" i="35"/>
  <c r="B46" i="37"/>
  <c r="B46" i="39"/>
  <c r="B46" i="40"/>
  <c r="B46" i="41"/>
  <c r="B46" i="42"/>
  <c r="B46" i="43"/>
  <c r="B46" i="46"/>
  <c r="B46" i="48"/>
  <c r="B46" i="49"/>
  <c r="B46" i="50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L43" i="3"/>
  <c r="M43" i="3"/>
  <c r="O43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L43" i="4"/>
  <c r="M43" i="4"/>
  <c r="O43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L43" i="6"/>
  <c r="M43" i="6"/>
  <c r="O43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L43" i="9"/>
  <c r="M43" i="9"/>
  <c r="O43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L43" i="11"/>
  <c r="M43" i="11"/>
  <c r="O43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L43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L43" i="17"/>
  <c r="M43" i="17"/>
  <c r="O43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41" i="18"/>
  <c r="L41" i="18"/>
  <c r="K41" i="18"/>
  <c r="J41" i="18"/>
  <c r="I41" i="18"/>
  <c r="H41" i="18"/>
  <c r="G41" i="18"/>
  <c r="F41" i="18"/>
  <c r="E41" i="18"/>
  <c r="D41" i="18"/>
  <c r="C41" i="18"/>
  <c r="M41" i="19"/>
  <c r="L41" i="19"/>
  <c r="K41" i="19"/>
  <c r="J41" i="19"/>
  <c r="I41" i="19"/>
  <c r="H41" i="19"/>
  <c r="G41" i="19"/>
  <c r="F41" i="19"/>
  <c r="E41" i="19"/>
  <c r="D41" i="19"/>
  <c r="B41" i="19"/>
  <c r="L43" i="20"/>
  <c r="M43" i="20"/>
  <c r="O43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L43" i="23"/>
  <c r="M43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L43" i="27"/>
  <c r="M43" i="27"/>
  <c r="O43" i="27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L43" i="28"/>
  <c r="M43" i="28"/>
  <c r="O43" i="28"/>
  <c r="N41" i="28"/>
  <c r="M41" i="28"/>
  <c r="L41" i="28"/>
  <c r="K41" i="28"/>
  <c r="J41" i="28"/>
  <c r="I41" i="28"/>
  <c r="H41" i="28"/>
  <c r="G41" i="28"/>
  <c r="F41" i="28"/>
  <c r="E41" i="28"/>
  <c r="D41" i="28"/>
  <c r="C41" i="28"/>
  <c r="B41" i="28"/>
  <c r="L43" i="29"/>
  <c r="M43" i="29"/>
  <c r="O43" i="29"/>
  <c r="N41" i="29"/>
  <c r="M41" i="29"/>
  <c r="L41" i="29"/>
  <c r="K41" i="29"/>
  <c r="J41" i="29"/>
  <c r="I41" i="29"/>
  <c r="H41" i="29"/>
  <c r="G41" i="29"/>
  <c r="F41" i="29"/>
  <c r="E41" i="29"/>
  <c r="D41" i="29"/>
  <c r="C41" i="29"/>
  <c r="B41" i="29"/>
  <c r="L43" i="30"/>
  <c r="M43" i="30"/>
  <c r="O43" i="30"/>
  <c r="N41" i="30"/>
  <c r="M41" i="30"/>
  <c r="L41" i="30"/>
  <c r="K41" i="30"/>
  <c r="J41" i="30"/>
  <c r="I41" i="30"/>
  <c r="H41" i="30"/>
  <c r="G41" i="30"/>
  <c r="F41" i="30"/>
  <c r="E41" i="30"/>
  <c r="D41" i="30"/>
  <c r="C41" i="30"/>
  <c r="B41" i="30"/>
  <c r="N41" i="31"/>
  <c r="M41" i="31"/>
  <c r="L41" i="31"/>
  <c r="K41" i="31"/>
  <c r="J41" i="31"/>
  <c r="I41" i="31"/>
  <c r="H41" i="31"/>
  <c r="G41" i="31"/>
  <c r="F41" i="31"/>
  <c r="E41" i="31"/>
  <c r="D41" i="31"/>
  <c r="C41" i="31"/>
  <c r="B41" i="31"/>
  <c r="N41" i="32"/>
  <c r="M41" i="32"/>
  <c r="L41" i="32"/>
  <c r="K41" i="32"/>
  <c r="J41" i="32"/>
  <c r="I41" i="32"/>
  <c r="H41" i="32"/>
  <c r="G41" i="32"/>
  <c r="F41" i="32"/>
  <c r="E41" i="32"/>
  <c r="D41" i="32"/>
  <c r="C41" i="32"/>
  <c r="B41" i="32"/>
  <c r="N41" i="33"/>
  <c r="M41" i="33"/>
  <c r="L41" i="33"/>
  <c r="K41" i="33"/>
  <c r="J41" i="33"/>
  <c r="I41" i="33"/>
  <c r="H41" i="33"/>
  <c r="G41" i="33"/>
  <c r="F41" i="33"/>
  <c r="E41" i="33"/>
  <c r="D41" i="33"/>
  <c r="C41" i="33"/>
  <c r="B41" i="33"/>
  <c r="N41" i="34"/>
  <c r="M41" i="34"/>
  <c r="L41" i="34"/>
  <c r="K41" i="34"/>
  <c r="J41" i="34"/>
  <c r="I41" i="34"/>
  <c r="H41" i="34"/>
  <c r="G41" i="34"/>
  <c r="F41" i="34"/>
  <c r="E41" i="34"/>
  <c r="D41" i="34"/>
  <c r="C41" i="34"/>
  <c r="B41" i="34"/>
  <c r="L43" i="35"/>
  <c r="M43" i="35"/>
  <c r="O43" i="35"/>
  <c r="N41" i="35"/>
  <c r="M41" i="35"/>
  <c r="L41" i="35"/>
  <c r="K41" i="35"/>
  <c r="J41" i="35"/>
  <c r="I41" i="35"/>
  <c r="H41" i="35"/>
  <c r="G41" i="35"/>
  <c r="F41" i="35"/>
  <c r="E41" i="35"/>
  <c r="D41" i="35"/>
  <c r="C41" i="35"/>
  <c r="B41" i="35"/>
  <c r="N41" i="36"/>
  <c r="M41" i="36"/>
  <c r="L41" i="36"/>
  <c r="K41" i="36"/>
  <c r="J41" i="36"/>
  <c r="I41" i="36"/>
  <c r="H41" i="36"/>
  <c r="G41" i="36"/>
  <c r="F41" i="36"/>
  <c r="E41" i="36"/>
  <c r="D41" i="36"/>
  <c r="C41" i="36"/>
  <c r="B41" i="36"/>
  <c r="L43" i="37"/>
  <c r="M43" i="37"/>
  <c r="O43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B41" i="37"/>
  <c r="N41" i="38"/>
  <c r="M41" i="38"/>
  <c r="L41" i="38"/>
  <c r="K41" i="38"/>
  <c r="J41" i="38"/>
  <c r="I41" i="38"/>
  <c r="H41" i="38"/>
  <c r="G41" i="38"/>
  <c r="F41" i="38"/>
  <c r="E41" i="38"/>
  <c r="D41" i="38"/>
  <c r="C41" i="38"/>
  <c r="B41" i="38"/>
  <c r="N41" i="39"/>
  <c r="M41" i="39"/>
  <c r="L41" i="39"/>
  <c r="K41" i="39"/>
  <c r="J41" i="39"/>
  <c r="I41" i="39"/>
  <c r="H41" i="39"/>
  <c r="G41" i="39"/>
  <c r="F41" i="39"/>
  <c r="E41" i="39"/>
  <c r="D41" i="39"/>
  <c r="C41" i="39"/>
  <c r="B41" i="39"/>
  <c r="L43" i="40"/>
  <c r="M43" i="40"/>
  <c r="O43" i="40"/>
  <c r="N41" i="40"/>
  <c r="M41" i="40"/>
  <c r="L41" i="40"/>
  <c r="K41" i="40"/>
  <c r="J41" i="40"/>
  <c r="I41" i="40"/>
  <c r="H41" i="40"/>
  <c r="G41" i="40"/>
  <c r="F41" i="40"/>
  <c r="E41" i="40"/>
  <c r="D41" i="40"/>
  <c r="C41" i="40"/>
  <c r="B41" i="40"/>
  <c r="N41" i="41"/>
  <c r="M41" i="41"/>
  <c r="L41" i="41"/>
  <c r="K41" i="41"/>
  <c r="J41" i="41"/>
  <c r="I41" i="41"/>
  <c r="H41" i="41"/>
  <c r="G41" i="41"/>
  <c r="F41" i="41"/>
  <c r="E41" i="41"/>
  <c r="D41" i="41"/>
  <c r="C41" i="41"/>
  <c r="B41" i="41"/>
  <c r="L43" i="42"/>
  <c r="M43" i="42"/>
  <c r="O43" i="42"/>
  <c r="N41" i="42"/>
  <c r="M41" i="42"/>
  <c r="L41" i="42"/>
  <c r="K41" i="42"/>
  <c r="J41" i="42"/>
  <c r="I41" i="42"/>
  <c r="H41" i="42"/>
  <c r="G41" i="42"/>
  <c r="F41" i="42"/>
  <c r="E41" i="42"/>
  <c r="D41" i="42"/>
  <c r="C41" i="42"/>
  <c r="B41" i="42"/>
  <c r="N41" i="43"/>
  <c r="M41" i="43"/>
  <c r="L41" i="43"/>
  <c r="K41" i="43"/>
  <c r="J41" i="43"/>
  <c r="I41" i="43"/>
  <c r="H41" i="43"/>
  <c r="G41" i="43"/>
  <c r="F41" i="43"/>
  <c r="E41" i="43"/>
  <c r="D41" i="43"/>
  <c r="C41" i="43"/>
  <c r="B41" i="43"/>
  <c r="N41" i="44"/>
  <c r="M41" i="44"/>
  <c r="L41" i="44"/>
  <c r="K41" i="44"/>
  <c r="J41" i="44"/>
  <c r="I41" i="44"/>
  <c r="H41" i="44"/>
  <c r="G41" i="44"/>
  <c r="F41" i="44"/>
  <c r="E41" i="44"/>
  <c r="D41" i="44"/>
  <c r="C41" i="44"/>
  <c r="B41" i="44"/>
  <c r="N41" i="45"/>
  <c r="M41" i="45"/>
  <c r="L41" i="45"/>
  <c r="K41" i="45"/>
  <c r="J41" i="45"/>
  <c r="I41" i="45"/>
  <c r="H41" i="45"/>
  <c r="G41" i="45"/>
  <c r="F41" i="45"/>
  <c r="E41" i="45"/>
  <c r="D41" i="45"/>
  <c r="C41" i="45"/>
  <c r="B41" i="45"/>
  <c r="N41" i="46"/>
  <c r="M41" i="46"/>
  <c r="L41" i="46"/>
  <c r="K41" i="46"/>
  <c r="J41" i="46"/>
  <c r="I41" i="46"/>
  <c r="H41" i="46"/>
  <c r="G41" i="46"/>
  <c r="F41" i="46"/>
  <c r="E41" i="46"/>
  <c r="D41" i="46"/>
  <c r="C41" i="46"/>
  <c r="B41" i="46"/>
  <c r="M41" i="47"/>
  <c r="L41" i="47"/>
  <c r="K41" i="47"/>
  <c r="J41" i="47"/>
  <c r="I41" i="47"/>
  <c r="H41" i="47"/>
  <c r="G41" i="47"/>
  <c r="F41" i="47"/>
  <c r="E41" i="47"/>
  <c r="D41" i="47"/>
  <c r="C41" i="47"/>
  <c r="B41" i="47"/>
  <c r="N41" i="48"/>
  <c r="M41" i="48"/>
  <c r="L41" i="48"/>
  <c r="K41" i="48"/>
  <c r="J41" i="48"/>
  <c r="I41" i="48"/>
  <c r="H41" i="48"/>
  <c r="G41" i="48"/>
  <c r="F41" i="48"/>
  <c r="E41" i="48"/>
  <c r="D41" i="48"/>
  <c r="C41" i="48"/>
  <c r="B41" i="48"/>
  <c r="L43" i="49"/>
  <c r="M43" i="49"/>
  <c r="O43" i="49"/>
  <c r="N41" i="49"/>
  <c r="M41" i="49"/>
  <c r="L41" i="49"/>
  <c r="K41" i="49"/>
  <c r="J41" i="49"/>
  <c r="I41" i="49"/>
  <c r="H41" i="49"/>
  <c r="G41" i="49"/>
  <c r="F41" i="49"/>
  <c r="E41" i="49"/>
  <c r="D41" i="49"/>
  <c r="C41" i="49"/>
  <c r="B41" i="49"/>
  <c r="L43" i="50"/>
  <c r="N41" i="50"/>
  <c r="M41" i="50"/>
  <c r="L41" i="50"/>
  <c r="K41" i="50"/>
  <c r="J41" i="50"/>
  <c r="I41" i="50"/>
  <c r="H41" i="50"/>
  <c r="G41" i="50"/>
  <c r="F41" i="50"/>
  <c r="E41" i="50"/>
  <c r="D41" i="50"/>
  <c r="C41" i="50"/>
  <c r="B41" i="50"/>
  <c r="C41" i="19"/>
  <c r="N41" i="19"/>
  <c r="L43" i="19"/>
  <c r="M43" i="19"/>
  <c r="O43" i="19"/>
  <c r="T21" i="19"/>
  <c r="N41" i="18"/>
  <c r="B41" i="18"/>
  <c r="B46" i="16"/>
  <c r="O45" i="15"/>
  <c r="T38" i="15"/>
  <c r="P38" i="14"/>
  <c r="U45" i="14"/>
  <c r="T39" i="14"/>
  <c r="T45" i="14"/>
  <c r="T21" i="38"/>
  <c r="L43" i="38"/>
  <c r="U43" i="38"/>
  <c r="U45" i="38"/>
  <c r="T45" i="38"/>
  <c r="M43" i="38"/>
  <c r="P38" i="36"/>
  <c r="B46" i="36"/>
  <c r="M43" i="36"/>
  <c r="L43" i="36"/>
  <c r="T21" i="36"/>
  <c r="P38" i="22"/>
  <c r="T45" i="22"/>
  <c r="U45" i="22"/>
  <c r="L43" i="22"/>
  <c r="U45" i="5"/>
  <c r="M43" i="44"/>
  <c r="L43" i="44"/>
  <c r="O43" i="44"/>
  <c r="L43" i="2"/>
  <c r="M43" i="2"/>
  <c r="O43" i="2"/>
  <c r="T39" i="41"/>
  <c r="T45" i="41"/>
  <c r="U45" i="41"/>
  <c r="L43" i="41"/>
  <c r="P38" i="41"/>
  <c r="M43" i="13"/>
  <c r="O43" i="13"/>
  <c r="T39" i="24"/>
  <c r="M43" i="7"/>
  <c r="L43" i="7"/>
  <c r="T21" i="7"/>
  <c r="M43" i="45"/>
  <c r="T21" i="45"/>
  <c r="L43" i="45"/>
  <c r="B45" i="18"/>
  <c r="M43" i="26"/>
  <c r="T21" i="26"/>
  <c r="O43" i="38"/>
  <c r="O43" i="36"/>
  <c r="M43" i="22"/>
  <c r="T21" i="22"/>
  <c r="L43" i="5"/>
  <c r="T21" i="41"/>
  <c r="M43" i="41"/>
  <c r="O43" i="7"/>
  <c r="O43" i="45"/>
  <c r="O45" i="18"/>
  <c r="T38" i="18"/>
  <c r="B46" i="18"/>
  <c r="O43" i="26"/>
  <c r="T21" i="5"/>
  <c r="M43" i="5"/>
  <c r="O43" i="22"/>
  <c r="O43" i="41"/>
  <c r="O43" i="5"/>
  <c r="T21" i="18"/>
  <c r="L43" i="18"/>
  <c r="M43" i="18"/>
  <c r="B23" i="45"/>
  <c r="B45" i="45"/>
  <c r="O43" i="18"/>
  <c r="T43" i="24"/>
  <c r="T45" i="24"/>
  <c r="P32" i="24"/>
  <c r="U43" i="24"/>
  <c r="U45" i="24"/>
  <c r="P38" i="24"/>
  <c r="P31" i="18"/>
  <c r="U42" i="18"/>
  <c r="T42" i="18"/>
  <c r="P33" i="18"/>
  <c r="U41" i="18"/>
  <c r="U45" i="18"/>
  <c r="T41" i="18"/>
  <c r="T45" i="18"/>
  <c r="P38" i="18"/>
  <c r="L43" i="14"/>
  <c r="M43" i="14"/>
  <c r="O43" i="14"/>
  <c r="T21" i="14"/>
  <c r="O45" i="14"/>
  <c r="T38" i="14"/>
  <c r="L43" i="24"/>
  <c r="M43" i="24"/>
  <c r="O43" i="24"/>
  <c r="T21" i="24"/>
  <c r="B10" i="24"/>
  <c r="B10" i="15"/>
  <c r="B10" i="44"/>
  <c r="B10" i="40"/>
  <c r="T41" i="43"/>
  <c r="U45" i="33"/>
  <c r="P38" i="33"/>
  <c r="M43" i="33"/>
  <c r="T21" i="33"/>
  <c r="L43" i="33"/>
  <c r="B46" i="31"/>
  <c r="T45" i="31"/>
  <c r="U45" i="31"/>
  <c r="P38" i="31"/>
  <c r="U45" i="25"/>
  <c r="T45" i="25"/>
  <c r="O45" i="25"/>
  <c r="T38" i="25"/>
  <c r="P38" i="25"/>
  <c r="T39" i="16"/>
  <c r="T45" i="16"/>
  <c r="C41" i="58"/>
  <c r="U45" i="16"/>
  <c r="P38" i="16"/>
  <c r="U45" i="13"/>
  <c r="U45" i="12"/>
  <c r="T39" i="12"/>
  <c r="T45" i="12"/>
  <c r="P38" i="12"/>
  <c r="U45" i="2"/>
  <c r="T39" i="2"/>
  <c r="T45" i="2"/>
  <c r="P38" i="2"/>
  <c r="B46" i="13"/>
  <c r="O23" i="32"/>
  <c r="M43" i="50"/>
  <c r="T21" i="50"/>
  <c r="T21" i="34"/>
  <c r="M43" i="34"/>
  <c r="L43" i="34"/>
  <c r="M41" i="58"/>
  <c r="D41" i="58"/>
  <c r="F41" i="58"/>
  <c r="O45" i="12"/>
  <c r="T38" i="12"/>
  <c r="B46" i="12"/>
  <c r="L43" i="12"/>
  <c r="T21" i="12"/>
  <c r="B46" i="38"/>
  <c r="O45" i="38"/>
  <c r="T38" i="38"/>
  <c r="O45" i="47"/>
  <c r="T38" i="47"/>
  <c r="B46" i="47"/>
  <c r="B46" i="45"/>
  <c r="O45" i="45"/>
  <c r="T38" i="45"/>
  <c r="O45" i="21"/>
  <c r="T38" i="21"/>
  <c r="O45" i="44"/>
  <c r="T38" i="44"/>
  <c r="L43" i="48"/>
  <c r="M43" i="48"/>
  <c r="T21" i="48"/>
  <c r="T21" i="46"/>
  <c r="M43" i="46"/>
  <c r="L43" i="46"/>
  <c r="P38" i="44"/>
  <c r="U45" i="44"/>
  <c r="T42" i="58"/>
  <c r="T39" i="21"/>
  <c r="T45" i="21"/>
  <c r="U45" i="21"/>
  <c r="H41" i="58"/>
  <c r="G41" i="58"/>
  <c r="B41" i="58"/>
  <c r="K41" i="58"/>
  <c r="L41" i="58"/>
  <c r="T21" i="15"/>
  <c r="M43" i="15"/>
  <c r="O39" i="15"/>
  <c r="P41" i="15"/>
  <c r="U39" i="15"/>
  <c r="T40" i="58"/>
  <c r="T39" i="15"/>
  <c r="T45" i="15"/>
  <c r="J41" i="58"/>
  <c r="I41" i="58"/>
  <c r="E41" i="58"/>
  <c r="T41" i="58"/>
  <c r="T21" i="10"/>
  <c r="L43" i="8"/>
  <c r="T21" i="8"/>
  <c r="M43" i="8"/>
  <c r="P32" i="43"/>
  <c r="T43" i="43"/>
  <c r="T45" i="43"/>
  <c r="O43" i="33"/>
  <c r="T21" i="31"/>
  <c r="L43" i="31"/>
  <c r="M43" i="31"/>
  <c r="O43" i="50"/>
  <c r="T21" i="47"/>
  <c r="M43" i="47"/>
  <c r="L43" i="47"/>
  <c r="L43" i="39"/>
  <c r="M43" i="39"/>
  <c r="T21" i="39"/>
  <c r="O43" i="34"/>
  <c r="O43" i="23"/>
  <c r="M43" i="12"/>
  <c r="O43" i="12"/>
  <c r="B45" i="58"/>
  <c r="O45" i="58"/>
  <c r="T38" i="58"/>
  <c r="O43" i="48"/>
  <c r="O43" i="46"/>
  <c r="T21" i="21"/>
  <c r="M43" i="21"/>
  <c r="L43" i="21"/>
  <c r="P35" i="15"/>
  <c r="U40" i="15"/>
  <c r="P31" i="15"/>
  <c r="P39" i="15"/>
  <c r="P32" i="15"/>
  <c r="U43" i="15"/>
  <c r="P33" i="15"/>
  <c r="U41" i="15"/>
  <c r="P34" i="15"/>
  <c r="U44" i="15"/>
  <c r="O43" i="15"/>
  <c r="M43" i="10"/>
  <c r="L43" i="10"/>
  <c r="O43" i="8"/>
  <c r="U43" i="43"/>
  <c r="U45" i="43"/>
  <c r="P38" i="43"/>
  <c r="O43" i="31"/>
  <c r="M43" i="32"/>
  <c r="T21" i="32"/>
  <c r="L43" i="32"/>
  <c r="O43" i="47"/>
  <c r="O43" i="39"/>
  <c r="L43" i="25"/>
  <c r="T21" i="25"/>
  <c r="M43" i="25"/>
  <c r="O43" i="21"/>
  <c r="U42" i="15"/>
  <c r="U45" i="15"/>
  <c r="P38" i="15"/>
  <c r="P34" i="58"/>
  <c r="U44" i="58"/>
  <c r="P31" i="58"/>
  <c r="P35" i="58"/>
  <c r="U40" i="58"/>
  <c r="P33" i="58"/>
  <c r="U41" i="58"/>
  <c r="O43" i="10"/>
  <c r="O43" i="32"/>
  <c r="T21" i="43"/>
  <c r="M43" i="43"/>
  <c r="L43" i="43"/>
  <c r="O43" i="25"/>
  <c r="U42" i="58"/>
  <c r="O43" i="43"/>
  <c r="M43" i="16"/>
  <c r="T21" i="16"/>
  <c r="L43" i="16"/>
  <c r="T43" i="47"/>
  <c r="P32" i="47"/>
  <c r="P38" i="47"/>
  <c r="P32" i="58"/>
  <c r="O41" i="58"/>
  <c r="N41" i="47"/>
  <c r="O41" i="47"/>
  <c r="P41" i="47"/>
  <c r="U39" i="47"/>
  <c r="U43" i="47"/>
  <c r="U45" i="47"/>
  <c r="M43" i="58"/>
  <c r="T20" i="58"/>
  <c r="L43" i="58"/>
  <c r="O43" i="16"/>
  <c r="G43" i="58"/>
  <c r="T39" i="58"/>
  <c r="P41" i="58"/>
  <c r="U39" i="58"/>
  <c r="T43" i="58"/>
  <c r="P38" i="58"/>
  <c r="U43" i="58"/>
  <c r="T39" i="47"/>
  <c r="T45" i="47"/>
  <c r="T45" i="58"/>
  <c r="O43" i="58"/>
  <c r="U45" i="58"/>
  <c r="N41" i="58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Sofia Andersson</author>
    <author>www.statistikdatabasen.scb.se</author>
  </authors>
  <commentList>
    <comment ref="C18" authorId="0">
      <text>
        <r>
          <rPr>
            <b/>
            <sz val="9"/>
            <color indexed="81"/>
            <rFont val="Tahoma"/>
            <family val="2"/>
          </rPr>
          <t>Sofia Andersson:</t>
        </r>
        <r>
          <rPr>
            <sz val="9"/>
            <color indexed="81"/>
            <rFont val="Tahoma"/>
            <family val="2"/>
          </rPr>
          <t xml:space="preserve">
37 m3 lätt eldningsolja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Sofia Andersson:</t>
        </r>
        <r>
          <rPr>
            <sz val="9"/>
            <color indexed="81"/>
            <rFont val="Tahoma"/>
            <family val="2"/>
          </rPr>
          <t xml:space="preserve">
1086 ton pellets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2.xml><?xml version="1.0" encoding="utf-8"?>
<comments xmlns="http://schemas.openxmlformats.org/spreadsheetml/2006/main">
  <authors>
    <author>www.statistikdatabasen.scb.se</author>
    <author>Thomas Andersson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A45" authorId="1">
      <text>
        <r>
          <rPr>
            <b/>
            <sz val="9"/>
            <color indexed="81"/>
            <rFont val="Tahoma"/>
            <family val="2"/>
          </rPr>
          <t>Thomas Andersson:</t>
        </r>
        <r>
          <rPr>
            <sz val="9"/>
            <color indexed="81"/>
            <rFont val="Tahoma"/>
            <family val="2"/>
          </rPr>
          <t xml:space="preserve">
Värme förbrukas även i Partille och Ale</t>
        </r>
      </text>
    </comment>
  </commentList>
</comments>
</file>

<file path=xl/comments3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<sst xmlns="http://schemas.openxmlformats.org/spreadsheetml/2006/main" count="4918" uniqueCount="128">
  <si>
    <t>Elproduktion och bränsleanvändning (MWh) efter tid, region, produktionssätt och bränsletyp</t>
  </si>
  <si>
    <t>1401 Härryda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</si>
  <si>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</si>
  <si>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</si>
  <si>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</si>
  <si>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</si>
  <si>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</si>
  <si>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</si>
  <si>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</si>
  <si>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</si>
  <si>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</si>
  <si>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</si>
  <si>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</si>
  <si>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</si>
  <si>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</si>
  <si>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</si>
  <si>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</si>
  <si>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</si>
  <si>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</si>
  <si>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</si>
  <si>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</si>
  <si>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</si>
  <si>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</si>
  <si>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</si>
  <si>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</si>
  <si>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</si>
  <si>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</si>
  <si>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</si>
  <si>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</si>
  <si>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</si>
  <si>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</si>
  <si>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</si>
  <si>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</si>
  <si>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</si>
  <si>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</si>
  <si>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</si>
  <si>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</si>
  <si>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</si>
  <si>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</si>
  <si>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</si>
  <si>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</si>
  <si>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</si>
  <si>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</si>
  <si>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</si>
  <si>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</si>
  <si>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</si>
  <si>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</si>
  <si>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</si>
  <si>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</si>
  <si>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</si>
  <si>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</si>
  <si>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</si>
  <si>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</si>
  <si>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</si>
  <si>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</si>
  <si>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</si>
  <si>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</si>
  <si>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</si>
  <si>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</si>
  <si>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</si>
  <si>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</si>
  <si>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</si>
  <si>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</si>
  <si>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</si>
  <si>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</si>
  <si>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</si>
  <si>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</si>
  <si>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</si>
  <si>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</si>
  <si>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</si>
  <si>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</si>
  <si>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1442 Vårgårda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</si>
  <si>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</si>
  <si>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</si>
  <si>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</si>
  <si>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</si>
  <si>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</si>
  <si>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</si>
  <si>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</si>
  <si>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</si>
  <si>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</si>
  <si>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</si>
  <si>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</si>
  <si>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</si>
  <si>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</si>
  <si>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</si>
  <si>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</si>
  <si>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</si>
  <si>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</si>
  <si>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</si>
  <si>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</si>
  <si>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</si>
  <si>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</si>
  <si>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</si>
  <si>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</si>
  <si>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</si>
  <si>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</si>
  <si>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</si>
  <si>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</si>
  <si>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</si>
  <si>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</si>
  <si>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</si>
  <si>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</si>
  <si>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</si>
  <si>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</si>
  <si>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</si>
  <si>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</si>
  <si>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Köpt</t>
  </si>
  <si>
    <t>Såld</t>
  </si>
  <si>
    <t>Bränngas</t>
  </si>
  <si>
    <t>Västra Götalands län</t>
  </si>
  <si>
    <t>Biobränslen</t>
  </si>
  <si>
    <t>IMPORT</t>
  </si>
  <si>
    <t>RT-flis</t>
  </si>
  <si>
    <t>Ånga</t>
  </si>
  <si>
    <t>Solvärme</t>
  </si>
  <si>
    <t>varav ånga</t>
  </si>
  <si>
    <t>Export</t>
  </si>
  <si>
    <t>ånga</t>
  </si>
  <si>
    <t>Bildäck</t>
  </si>
  <si>
    <t>Industriavfall</t>
  </si>
  <si>
    <t>Flytande alternativa bränslen</t>
  </si>
  <si>
    <t>Övriga gaser</t>
  </si>
  <si>
    <t>från Mölndal</t>
  </si>
  <si>
    <t>solceller</t>
  </si>
  <si>
    <t>Bränngas+övrig gas</t>
  </si>
  <si>
    <t>Industriavfall+bildäck+flytande avfall</t>
  </si>
  <si>
    <t>Fossila gaser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</si>
</sst>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#,##0.000"/>
    <numFmt numFmtId="169" formatCode="#,##0.0000"/>
    <numFmt numFmtId="170" formatCode="#,##0.00000"/>
    <numFmt numFmtId="171" formatCode="_(* #,##0_);_(* \(#,##0\);_(* &quot;-&quot;??_);_(@_)"/>
  </numFmts>
  <fonts count="6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61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0061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color rgb="FF000000"/>
      <name val="Tahoma"/>
      <family val="2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2"/>
      <color rgb="FF000000"/>
      <name val="Calibri"/>
      <family val="2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u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rgb="FF000000"/>
      <name val="Calibri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  <scheme val="minor"/>
    </font>
    <font>
      <u val="singleAccounting"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8"/>
      <color rgb="FF333333"/>
      <name val="Arial"/>
      <family val="2"/>
    </font>
    <font>
      <i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9" fontId="22" fillId="0" borderId="0" applyFont="0" applyFill="0" applyBorder="0" applyAlignment="0" applyProtection="0"/>
    <xf numFmtId="0" fontId="19" fillId="3" borderId="0" applyNumberFormat="0" applyBorder="0" applyAlignment="0" applyProtection="0"/>
    <xf numFmtId="0" fontId="22" fillId="0" borderId="0"/>
    <xf numFmtId="0" fontId="4" fillId="0" borderId="0"/>
    <xf numFmtId="0" fontId="23" fillId="0" borderId="0" applyNumberFormat="0" applyBorder="0" applyAlignment="0"/>
    <xf numFmtId="9" fontId="23" fillId="0" borderId="0" applyFont="0" applyFill="0" applyBorder="0" applyAlignment="0" applyProtection="0"/>
    <xf numFmtId="0" fontId="31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 applyNumberFormat="0" applyBorder="0" applyAlignment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9" fillId="0" borderId="0" xfId="0" applyFont="1" applyFill="1" applyProtection="1"/>
    <xf numFmtId="0" fontId="0" fillId="0" borderId="0" xfId="0" applyFill="1" applyProtection="1"/>
    <xf numFmtId="0" fontId="10" fillId="0" borderId="0" xfId="0" applyFont="1"/>
    <xf numFmtId="0" fontId="11" fillId="0" borderId="0" xfId="0" applyFont="1"/>
    <xf numFmtId="0" fontId="12" fillId="0" borderId="0" xfId="0" applyFont="1" applyFill="1" applyProtection="1"/>
    <xf numFmtId="3" fontId="0" fillId="0" borderId="0" xfId="0" applyNumberFormat="1"/>
    <xf numFmtId="0" fontId="0" fillId="0" borderId="0" xfId="0"/>
    <xf numFmtId="0" fontId="12" fillId="0" borderId="0" xfId="0" applyFont="1" applyFill="1" applyProtection="1"/>
    <xf numFmtId="3" fontId="13" fillId="0" borderId="0" xfId="0" applyNumberFormat="1" applyFont="1"/>
    <xf numFmtId="3" fontId="0" fillId="0" borderId="0" xfId="0" applyNumberFormat="1" applyFill="1" applyProtection="1"/>
    <xf numFmtId="3" fontId="14" fillId="0" borderId="0" xfId="0" applyNumberFormat="1" applyFont="1" applyFill="1" applyProtection="1"/>
    <xf numFmtId="166" fontId="0" fillId="0" borderId="0" xfId="0" applyNumberFormat="1"/>
    <xf numFmtId="3" fontId="13" fillId="0" borderId="0" xfId="0" applyNumberFormat="1" applyFont="1" applyAlignment="1">
      <alignment horizontal="right"/>
    </xf>
    <xf numFmtId="0" fontId="16" fillId="0" borderId="0" xfId="0" applyFont="1"/>
    <xf numFmtId="3" fontId="15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1" fontId="0" fillId="0" borderId="0" xfId="0" applyNumberFormat="1"/>
    <xf numFmtId="166" fontId="15" fillId="0" borderId="0" xfId="0" applyNumberFormat="1" applyFont="1"/>
    <xf numFmtId="166" fontId="8" fillId="0" borderId="0" xfId="0" applyNumberFormat="1" applyFont="1"/>
    <xf numFmtId="3" fontId="17" fillId="0" borderId="0" xfId="0" applyNumberFormat="1" applyFont="1"/>
    <xf numFmtId="0" fontId="17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9" fontId="17" fillId="0" borderId="0" xfId="0" applyNumberFormat="1" applyFont="1"/>
    <xf numFmtId="0" fontId="8" fillId="0" borderId="0" xfId="0" applyFont="1"/>
    <xf numFmtId="166" fontId="7" fillId="0" borderId="0" xfId="0" applyNumberFormat="1" applyFont="1"/>
    <xf numFmtId="0" fontId="7" fillId="0" borderId="0" xfId="0" applyFont="1"/>
    <xf numFmtId="3" fontId="0" fillId="0" borderId="0" xfId="0" applyNumberFormat="1"/>
    <xf numFmtId="0" fontId="6" fillId="0" borderId="0" xfId="0" applyFont="1" applyFill="1" applyProtection="1"/>
    <xf numFmtId="0" fontId="23" fillId="0" borderId="0" xfId="0" applyFont="1"/>
    <xf numFmtId="3" fontId="6" fillId="0" borderId="0" xfId="0" applyNumberFormat="1" applyFont="1"/>
    <xf numFmtId="0" fontId="6" fillId="0" borderId="0" xfId="0" applyFont="1"/>
    <xf numFmtId="3" fontId="6" fillId="0" borderId="0" xfId="0" applyNumberFormat="1" applyFont="1" applyFill="1" applyProtection="1"/>
    <xf numFmtId="3" fontId="23" fillId="0" borderId="0" xfId="0" applyNumberFormat="1" applyFont="1" applyFill="1" applyProtection="1"/>
    <xf numFmtId="166" fontId="6" fillId="0" borderId="0" xfId="0" applyNumberFormat="1" applyFont="1"/>
    <xf numFmtId="166" fontId="24" fillId="0" borderId="0" xfId="0" applyNumberFormat="1" applyFont="1"/>
    <xf numFmtId="0" fontId="25" fillId="0" borderId="0" xfId="0" applyFont="1"/>
    <xf numFmtId="3" fontId="24" fillId="0" borderId="0" xfId="0" applyNumberFormat="1" applyFont="1"/>
    <xf numFmtId="3" fontId="26" fillId="0" borderId="0" xfId="0" applyNumberFormat="1" applyFont="1"/>
    <xf numFmtId="9" fontId="26" fillId="0" borderId="0" xfId="0" applyNumberFormat="1" applyFont="1"/>
    <xf numFmtId="168" fontId="6" fillId="0" borderId="0" xfId="0" applyNumberFormat="1" applyFont="1" applyFill="1" applyProtection="1"/>
    <xf numFmtId="0" fontId="27" fillId="0" borderId="0" xfId="0" applyFont="1" applyFill="1" applyProtection="1"/>
    <xf numFmtId="3" fontId="5" fillId="0" borderId="0" xfId="0" applyNumberFormat="1" applyFont="1" applyFill="1" applyProtection="1"/>
    <xf numFmtId="0" fontId="28" fillId="0" borderId="0" xfId="0" applyFont="1"/>
    <xf numFmtId="169" fontId="0" fillId="0" borderId="0" xfId="0" applyNumberFormat="1" applyFill="1" applyProtection="1"/>
    <xf numFmtId="170" fontId="0" fillId="0" borderId="0" xfId="0" applyNumberFormat="1" applyFill="1" applyProtection="1"/>
    <xf numFmtId="0" fontId="3" fillId="0" borderId="0" xfId="4" applyFont="1"/>
    <xf numFmtId="3" fontId="3" fillId="0" borderId="0" xfId="0" applyNumberFormat="1" applyFont="1" applyFill="1" applyProtection="1"/>
    <xf numFmtId="0" fontId="29" fillId="0" borderId="0" xfId="0" applyFont="1" applyFill="1" applyProtection="1"/>
    <xf numFmtId="3" fontId="30" fillId="0" borderId="0" xfId="0" applyNumberFormat="1" applyFont="1"/>
    <xf numFmtId="170" fontId="0" fillId="0" borderId="0" xfId="0" applyNumberFormat="1"/>
    <xf numFmtId="3" fontId="2" fillId="0" borderId="0" xfId="0" applyNumberFormat="1" applyFont="1" applyFill="1" applyProtection="1"/>
    <xf numFmtId="0" fontId="32" fillId="0" borderId="0" xfId="0" applyFont="1" applyFill="1" applyProtection="1"/>
    <xf numFmtId="0" fontId="0" fillId="0" borderId="0" xfId="0" applyFont="1" applyFill="1" applyProtection="1"/>
    <xf numFmtId="0" fontId="33" fillId="0" borderId="0" xfId="0" applyFont="1"/>
    <xf numFmtId="3" fontId="0" fillId="0" borderId="0" xfId="0" applyNumberFormat="1" applyFont="1"/>
    <xf numFmtId="0" fontId="0" fillId="0" borderId="0" xfId="0" applyFont="1"/>
    <xf numFmtId="3" fontId="0" fillId="0" borderId="0" xfId="0" applyNumberFormat="1" applyFont="1" applyFill="1" applyProtection="1"/>
    <xf numFmtId="3" fontId="34" fillId="0" borderId="0" xfId="0" applyNumberFormat="1" applyFont="1" applyFill="1" applyProtection="1"/>
    <xf numFmtId="166" fontId="0" fillId="0" borderId="0" xfId="0" applyNumberFormat="1" applyFont="1"/>
    <xf numFmtId="166" fontId="35" fillId="0" borderId="0" xfId="0" applyNumberFormat="1" applyFont="1"/>
    <xf numFmtId="0" fontId="36" fillId="0" borderId="0" xfId="0" applyFont="1"/>
    <xf numFmtId="3" fontId="35" fillId="0" borderId="0" xfId="0" applyNumberFormat="1" applyFont="1"/>
    <xf numFmtId="1" fontId="0" fillId="0" borderId="0" xfId="0" applyNumberFormat="1" applyFont="1"/>
    <xf numFmtId="3" fontId="37" fillId="0" borderId="0" xfId="0" applyNumberFormat="1" applyFont="1"/>
    <xf numFmtId="0" fontId="37" fillId="0" borderId="0" xfId="0" applyFont="1"/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9" fontId="37" fillId="0" borderId="0" xfId="0" applyNumberFormat="1" applyFont="1"/>
    <xf numFmtId="0" fontId="10" fillId="0" borderId="0" xfId="0" applyFont="1" applyBorder="1"/>
    <xf numFmtId="0" fontId="0" fillId="0" borderId="0" xfId="0" applyFill="1" applyBorder="1" applyProtection="1"/>
    <xf numFmtId="0" fontId="0" fillId="0" borderId="0" xfId="0" applyBorder="1"/>
    <xf numFmtId="168" fontId="0" fillId="0" borderId="0" xfId="0" applyNumberFormat="1" applyFill="1" applyProtection="1"/>
    <xf numFmtId="0" fontId="10" fillId="0" borderId="0" xfId="14" applyFont="1"/>
    <xf numFmtId="165" fontId="23" fillId="0" borderId="0" xfId="14" applyNumberFormat="1"/>
    <xf numFmtId="4" fontId="23" fillId="0" borderId="0" xfId="14" applyNumberFormat="1"/>
    <xf numFmtId="166" fontId="23" fillId="0" borderId="0" xfId="14" applyNumberFormat="1"/>
    <xf numFmtId="10" fontId="23" fillId="0" borderId="0" xfId="14" applyNumberFormat="1"/>
    <xf numFmtId="166" fontId="15" fillId="0" borderId="0" xfId="14" applyNumberFormat="1" applyFont="1"/>
    <xf numFmtId="166" fontId="10" fillId="0" borderId="0" xfId="14" applyNumberFormat="1" applyFont="1"/>
    <xf numFmtId="0" fontId="23" fillId="0" borderId="0" xfId="14" applyFill="1" applyProtection="1"/>
    <xf numFmtId="0" fontId="23" fillId="0" borderId="0" xfId="14"/>
    <xf numFmtId="0" fontId="16" fillId="0" borderId="0" xfId="14" applyFont="1"/>
    <xf numFmtId="3" fontId="16" fillId="0" borderId="0" xfId="14" applyNumberFormat="1" applyFont="1"/>
    <xf numFmtId="167" fontId="23" fillId="0" borderId="0" xfId="14" applyNumberFormat="1"/>
    <xf numFmtId="3" fontId="15" fillId="0" borderId="0" xfId="14" applyNumberFormat="1" applyFont="1"/>
    <xf numFmtId="3" fontId="15" fillId="2" borderId="0" xfId="14" applyNumberFormat="1" applyFont="1" applyFill="1"/>
    <xf numFmtId="3" fontId="17" fillId="2" borderId="0" xfId="14" applyNumberFormat="1" applyFont="1" applyFill="1"/>
    <xf numFmtId="2" fontId="23" fillId="0" borderId="0" xfId="14" applyNumberFormat="1"/>
    <xf numFmtId="3" fontId="23" fillId="0" borderId="0" xfId="14" applyNumberFormat="1"/>
    <xf numFmtId="3" fontId="23" fillId="2" borderId="0" xfId="14" applyNumberFormat="1" applyFill="1"/>
    <xf numFmtId="9" fontId="0" fillId="0" borderId="0" xfId="15" applyFont="1"/>
    <xf numFmtId="9" fontId="6" fillId="0" borderId="0" xfId="15" applyFont="1"/>
    <xf numFmtId="3" fontId="0" fillId="0" borderId="0" xfId="0" applyNumberFormat="1" applyFill="1" applyAlignment="1" applyProtection="1">
      <alignment horizontal="right"/>
    </xf>
    <xf numFmtId="166" fontId="23" fillId="0" borderId="0" xfId="14" applyNumberFormat="1" applyFill="1" applyProtection="1"/>
    <xf numFmtId="3" fontId="23" fillId="0" borderId="0" xfId="14" applyNumberFormat="1" applyFill="1" applyProtection="1"/>
    <xf numFmtId="0" fontId="12" fillId="0" borderId="0" xfId="14" applyFont="1" applyFill="1" applyProtection="1"/>
    <xf numFmtId="0" fontId="9" fillId="0" borderId="0" xfId="14" applyFont="1" applyFill="1" applyProtection="1"/>
    <xf numFmtId="0" fontId="41" fillId="0" borderId="0" xfId="0" applyFont="1"/>
    <xf numFmtId="3" fontId="42" fillId="0" borderId="0" xfId="14" applyNumberFormat="1" applyFont="1"/>
    <xf numFmtId="3" fontId="43" fillId="0" borderId="0" xfId="14" applyNumberFormat="1" applyFont="1" applyFill="1" applyProtection="1"/>
    <xf numFmtId="0" fontId="43" fillId="0" borderId="0" xfId="14" applyFont="1" applyFill="1" applyProtection="1"/>
    <xf numFmtId="3" fontId="14" fillId="0" borderId="0" xfId="14" applyNumberFormat="1" applyFont="1" applyFill="1" applyProtection="1"/>
    <xf numFmtId="3" fontId="41" fillId="0" borderId="0" xfId="0" applyNumberFormat="1" applyFont="1"/>
    <xf numFmtId="1" fontId="23" fillId="0" borderId="0" xfId="14" applyNumberFormat="1"/>
    <xf numFmtId="166" fontId="15" fillId="0" borderId="0" xfId="16" applyNumberFormat="1" applyFont="1"/>
    <xf numFmtId="166" fontId="1" fillId="0" borderId="0" xfId="16" applyNumberFormat="1" applyFont="1"/>
    <xf numFmtId="3" fontId="17" fillId="0" borderId="0" xfId="14" applyNumberFormat="1" applyFont="1"/>
    <xf numFmtId="9" fontId="17" fillId="0" borderId="0" xfId="16" applyFont="1"/>
    <xf numFmtId="0" fontId="23" fillId="0" borderId="0" xfId="14" applyAlignment="1">
      <alignment horizontal="right"/>
    </xf>
    <xf numFmtId="3" fontId="23" fillId="0" borderId="0" xfId="14" applyNumberFormat="1" applyAlignment="1">
      <alignment horizontal="right"/>
    </xf>
    <xf numFmtId="3" fontId="0" fillId="0" borderId="0" xfId="14" applyNumberFormat="1" applyFont="1"/>
    <xf numFmtId="0" fontId="13" fillId="0" borderId="0" xfId="17" applyFont="1"/>
    <xf numFmtId="9" fontId="17" fillId="0" borderId="0" xfId="16" applyNumberFormat="1" applyFont="1"/>
    <xf numFmtId="9" fontId="1" fillId="0" borderId="0" xfId="16" applyFont="1"/>
    <xf numFmtId="0" fontId="23" fillId="0" borderId="0" xfId="14" applyFont="1" applyFill="1" applyProtection="1"/>
    <xf numFmtId="4" fontId="0" fillId="0" borderId="0" xfId="0" applyNumberFormat="1" applyFill="1" applyProtection="1"/>
    <xf numFmtId="3" fontId="47" fillId="0" borderId="0" xfId="0" applyNumberFormat="1" applyFont="1" applyFill="1" applyProtection="1"/>
    <xf numFmtId="3" fontId="47" fillId="0" borderId="0" xfId="0" applyNumberFormat="1" applyFont="1" applyFill="1" applyAlignment="1" applyProtection="1">
      <alignment horizontal="right"/>
    </xf>
    <xf numFmtId="3" fontId="48" fillId="0" borderId="0" xfId="0" applyNumberFormat="1" applyFont="1" applyFill="1" applyAlignment="1" applyProtection="1">
      <alignment horizontal="right"/>
    </xf>
    <xf numFmtId="3" fontId="10" fillId="0" borderId="0" xfId="14" applyNumberFormat="1" applyFont="1"/>
    <xf numFmtId="3" fontId="48" fillId="0" borderId="0" xfId="0" applyNumberFormat="1" applyFont="1" applyFill="1" applyProtection="1"/>
    <xf numFmtId="3" fontId="49" fillId="0" borderId="0" xfId="0" applyNumberFormat="1" applyFont="1" applyFill="1" applyProtection="1"/>
    <xf numFmtId="3" fontId="49" fillId="0" borderId="0" xfId="0" applyNumberFormat="1" applyFont="1" applyFill="1" applyAlignment="1" applyProtection="1">
      <alignment horizontal="right"/>
    </xf>
    <xf numFmtId="3" fontId="0" fillId="0" borderId="0" xfId="0" applyNumberFormat="1" applyFont="1" applyFill="1" applyAlignment="1" applyProtection="1">
      <alignment horizontal="right"/>
    </xf>
    <xf numFmtId="1" fontId="13" fillId="0" borderId="0" xfId="0" applyNumberFormat="1" applyFont="1"/>
    <xf numFmtId="3" fontId="51" fillId="0" borderId="0" xfId="0" applyNumberFormat="1" applyFont="1" applyFill="1" applyProtection="1"/>
    <xf numFmtId="3" fontId="27" fillId="0" borderId="0" xfId="0" applyNumberFormat="1" applyFont="1" applyFill="1" applyProtection="1"/>
    <xf numFmtId="3" fontId="52" fillId="0" borderId="0" xfId="0" applyNumberFormat="1" applyFont="1" applyFill="1" applyProtection="1"/>
    <xf numFmtId="3" fontId="27" fillId="0" borderId="0" xfId="0" applyNumberFormat="1" applyFont="1"/>
    <xf numFmtId="3" fontId="54" fillId="0" borderId="0" xfId="14" applyNumberFormat="1" applyFont="1"/>
    <xf numFmtId="0" fontId="55" fillId="0" borderId="0" xfId="0" applyFont="1"/>
    <xf numFmtId="3" fontId="53" fillId="0" borderId="0" xfId="0" applyNumberFormat="1" applyFont="1"/>
    <xf numFmtId="0" fontId="10" fillId="0" borderId="0" xfId="0" applyFont="1" applyFill="1"/>
    <xf numFmtId="0" fontId="10" fillId="0" borderId="0" xfId="0" applyFont="1" applyFill="1" applyProtection="1"/>
    <xf numFmtId="0" fontId="46" fillId="0" borderId="0" xfId="0" applyFont="1" applyFill="1"/>
    <xf numFmtId="0" fontId="13" fillId="0" borderId="0" xfId="0" applyFont="1" applyFill="1"/>
    <xf numFmtId="0" fontId="11" fillId="0" borderId="0" xfId="0" applyFont="1" applyFill="1"/>
    <xf numFmtId="3" fontId="0" fillId="0" borderId="0" xfId="0" applyNumberFormat="1" applyFill="1"/>
    <xf numFmtId="3" fontId="13" fillId="0" borderId="0" xfId="0" applyNumberFormat="1" applyFont="1" applyFill="1"/>
    <xf numFmtId="3" fontId="19" fillId="0" borderId="0" xfId="2" applyNumberFormat="1" applyFill="1"/>
    <xf numFmtId="1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right"/>
    </xf>
    <xf numFmtId="3" fontId="50" fillId="0" borderId="0" xfId="0" applyNumberFormat="1" applyFont="1" applyFill="1" applyProtection="1"/>
    <xf numFmtId="3" fontId="57" fillId="0" borderId="0" xfId="0" applyNumberFormat="1" applyFont="1" applyFill="1" applyAlignment="1" applyProtection="1">
      <alignment horizontal="right"/>
    </xf>
    <xf numFmtId="3" fontId="58" fillId="0" borderId="0" xfId="0" applyNumberFormat="1" applyFont="1" applyFill="1" applyAlignment="1" applyProtection="1">
      <alignment horizontal="right"/>
    </xf>
    <xf numFmtId="3" fontId="57" fillId="0" borderId="0" xfId="0" applyNumberFormat="1" applyFont="1" applyFill="1" applyProtection="1"/>
    <xf numFmtId="3" fontId="59" fillId="0" borderId="0" xfId="0" applyNumberFormat="1" applyFont="1" applyFill="1" applyAlignment="1" applyProtection="1">
      <alignment horizontal="right"/>
    </xf>
    <xf numFmtId="165" fontId="0" fillId="0" borderId="0" xfId="0" applyNumberFormat="1" applyFill="1" applyProtection="1"/>
    <xf numFmtId="3" fontId="50" fillId="0" borderId="0" xfId="0" applyNumberFormat="1" applyFont="1" applyFill="1" applyAlignment="1" applyProtection="1">
      <alignment horizontal="right"/>
    </xf>
    <xf numFmtId="3" fontId="0" fillId="0" borderId="0" xfId="0" quotePrefix="1" applyNumberFormat="1" applyFill="1" applyProtection="1"/>
    <xf numFmtId="3" fontId="58" fillId="0" borderId="0" xfId="0" applyNumberFormat="1" applyFont="1" applyFill="1" applyProtection="1"/>
    <xf numFmtId="3" fontId="51" fillId="0" borderId="0" xfId="0" applyNumberFormat="1" applyFont="1" applyFill="1" applyAlignment="1" applyProtection="1">
      <alignment horizontal="right"/>
    </xf>
    <xf numFmtId="0" fontId="43" fillId="0" borderId="0" xfId="0" applyFont="1" applyFill="1" applyProtection="1"/>
    <xf numFmtId="3" fontId="19" fillId="0" borderId="0" xfId="2" applyNumberFormat="1" applyFill="1" applyProtection="1"/>
    <xf numFmtId="171" fontId="56" fillId="0" borderId="0" xfId="18" applyNumberFormat="1" applyFont="1" applyFill="1" applyProtection="1"/>
    <xf numFmtId="3" fontId="56" fillId="0" borderId="0" xfId="0" applyNumberFormat="1" applyFont="1" applyFill="1" applyProtection="1"/>
    <xf numFmtId="3" fontId="60" fillId="0" borderId="0" xfId="0" applyNumberFormat="1" applyFont="1" applyFill="1" applyAlignment="1" applyProtection="1">
      <alignment horizontal="right"/>
    </xf>
    <xf numFmtId="1" fontId="0" fillId="0" borderId="0" xfId="0" applyNumberFormat="1" applyAlignment="1">
      <alignment horizontal="right"/>
    </xf>
    <xf numFmtId="3" fontId="61" fillId="0" borderId="0" xfId="0" applyNumberFormat="1" applyFont="1" applyAlignment="1">
      <alignment horizontal="right"/>
    </xf>
    <xf numFmtId="3" fontId="61" fillId="0" borderId="0" xfId="0" applyNumberFormat="1" applyFont="1" applyFill="1" applyProtection="1"/>
    <xf numFmtId="3" fontId="61" fillId="0" borderId="0" xfId="0" applyNumberFormat="1" applyFont="1" applyFill="1" applyAlignment="1" applyProtection="1">
      <alignment horizontal="right"/>
    </xf>
    <xf numFmtId="0" fontId="23" fillId="0" borderId="0" xfId="0" applyFont="1" applyFill="1" applyProtection="1"/>
    <xf numFmtId="0" fontId="62" fillId="0" borderId="0" xfId="0" applyFont="1"/>
    <xf numFmtId="3" fontId="63" fillId="0" borderId="0" xfId="0" applyNumberFormat="1" applyFont="1" applyFill="1" applyProtection="1"/>
    <xf numFmtId="3" fontId="10" fillId="0" borderId="0" xfId="0" applyNumberFormat="1" applyFont="1"/>
    <xf numFmtId="3" fontId="23" fillId="0" borderId="0" xfId="0" applyNumberFormat="1" applyFont="1"/>
    <xf numFmtId="3" fontId="33" fillId="0" borderId="0" xfId="0" applyNumberFormat="1" applyFont="1"/>
    <xf numFmtId="171" fontId="13" fillId="0" borderId="0" xfId="18" applyNumberFormat="1" applyFont="1"/>
    <xf numFmtId="171" fontId="13" fillId="0" borderId="0" xfId="0" applyNumberFormat="1" applyFont="1"/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3" fontId="23" fillId="0" borderId="0" xfId="14" applyNumberFormat="1" applyFill="1"/>
    <xf numFmtId="1" fontId="23" fillId="0" borderId="0" xfId="14" applyNumberFormat="1" applyFill="1"/>
    <xf numFmtId="0" fontId="23" fillId="0" borderId="0" xfId="14" applyFill="1"/>
    <xf numFmtId="0" fontId="23" fillId="0" borderId="0" xfId="14" applyFill="1" applyAlignment="1">
      <alignment horizontal="right"/>
    </xf>
    <xf numFmtId="3" fontId="23" fillId="0" borderId="0" xfId="14" applyNumberFormat="1" applyFill="1" applyAlignment="1">
      <alignment horizontal="right"/>
    </xf>
    <xf numFmtId="165" fontId="23" fillId="0" borderId="0" xfId="14" applyNumberFormat="1" applyFill="1" applyProtection="1"/>
    <xf numFmtId="166" fontId="23" fillId="0" borderId="0" xfId="15" applyNumberFormat="1" applyFont="1" applyFill="1" applyProtection="1"/>
  </cellXfs>
  <cellStyles count="19">
    <cellStyle name="Bra" xfId="2" builtinId="26" customBuiltin="1"/>
    <cellStyle name="Bra 2" xfId="7"/>
    <cellStyle name="Följd hyperlänk" xfId="9" builtinId="9" hidden="1"/>
    <cellStyle name="Följd hyperlänk" xfId="11" builtinId="9" hidden="1"/>
    <cellStyle name="Följd hyperlänk" xfId="13" builtinId="9" hidden="1"/>
    <cellStyle name="Hyperlänk" xfId="8" builtinId="8" hidden="1"/>
    <cellStyle name="Hyperlänk" xfId="10" builtinId="8" hidden="1"/>
    <cellStyle name="Hyperlänk" xfId="12" builtinId="8" hidden="1"/>
    <cellStyle name="Komma" xfId="18" builtinId="3"/>
    <cellStyle name="Normal" xfId="0" builtinId="0"/>
    <cellStyle name="Normal 2" xfId="3"/>
    <cellStyle name="Normal 2 2" xfId="14"/>
    <cellStyle name="Normal 3" xfId="4"/>
    <cellStyle name="Normal 3 2" xfId="17"/>
    <cellStyle name="Normal 4" xfId="5"/>
    <cellStyle name="Percent 2" xfId="16"/>
    <cellStyle name="Procent" xfId="15" builtinId="5"/>
    <cellStyle name="Procent 2" xfId="1"/>
    <cellStyle name="Procent 3" xfId="6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26" Type="http://schemas.openxmlformats.org/officeDocument/2006/relationships/worksheet" Target="worksheets/sheet26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34" Type="http://schemas.openxmlformats.org/officeDocument/2006/relationships/worksheet" Target="worksheets/sheet34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24" Type="http://schemas.openxmlformats.org/officeDocument/2006/relationships/worksheet" Target="worksheets/sheet24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3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56" Type="http://schemas.openxmlformats.org/officeDocument/2006/relationships/styles" Target="styles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51" Type="http://schemas.openxmlformats.org/officeDocument/2006/relationships/worksheet" Target="worksheets/sheet5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7" Type="http://schemas.openxmlformats.org/officeDocument/2006/relationships/worksheet" Target="worksheets/sheet17.xml"/><Relationship Id="rId46" Type="http://schemas.openxmlformats.org/officeDocument/2006/relationships/worksheet" Target="worksheets/sheet46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5" Type="http://schemas.openxmlformats.org/officeDocument/2006/relationships/worksheet" Target="worksheets/sheet25.xml"/><Relationship Id="rId12" Type="http://schemas.openxmlformats.org/officeDocument/2006/relationships/worksheet" Target="worksheets/sheet12.xml"/><Relationship Id="rId59" Type="http://schemas.openxmlformats.org/officeDocument/2006/relationships/customXml" Target="../customXml/item1.xml"/><Relationship Id="rId54" Type="http://schemas.openxmlformats.org/officeDocument/2006/relationships/worksheet" Target="worksheets/sheet54.xml"/><Relationship Id="rId41" Type="http://schemas.openxmlformats.org/officeDocument/2006/relationships/worksheet" Target="worksheets/sheet41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7" Type="http://schemas.openxmlformats.org/officeDocument/2006/relationships/sharedStrings" Target="sharedStrings.xml"/><Relationship Id="rId49" Type="http://schemas.openxmlformats.org/officeDocument/2006/relationships/worksheet" Target="worksheets/sheet49.xml"/><Relationship Id="rId36" Type="http://schemas.openxmlformats.org/officeDocument/2006/relationships/worksheet" Target="worksheets/sheet3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52" Type="http://schemas.openxmlformats.org/officeDocument/2006/relationships/worksheet" Target="worksheets/sheet52.xml"/><Relationship Id="rId44" Type="http://schemas.openxmlformats.org/officeDocument/2006/relationships/worksheet" Target="worksheets/sheet44.xml"/><Relationship Id="rId31" Type="http://schemas.openxmlformats.org/officeDocument/2006/relationships/worksheet" Target="worksheets/sheet31.xml"/><Relationship Id="rId10" Type="http://schemas.openxmlformats.org/officeDocument/2006/relationships/worksheet" Target="worksheets/sheet10.xml"/><Relationship Id="rId6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12.vml"/><Relationship Id="rId3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13.vml"/><Relationship Id="rId3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14.vml"/><Relationship Id="rId3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Relationship Id="rId2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9.vml"/><Relationship Id="rId2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0.vml"/><Relationship Id="rId2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1.vml"/><Relationship Id="rId2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22.vml"/><Relationship Id="rId3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3.vml"/><Relationship Id="rId2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vmlDrawing" Target="../drawings/vmlDrawing24.vml"/><Relationship Id="rId3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vmlDrawing" Target="../drawings/vmlDrawing25.vml"/><Relationship Id="rId3" Type="http://schemas.openxmlformats.org/officeDocument/2006/relationships/comments" Target="../comments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vmlDrawing" Target="../drawings/vmlDrawing26.vml"/><Relationship Id="rId3" Type="http://schemas.openxmlformats.org/officeDocument/2006/relationships/comments" Target="../comments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7.vml"/><Relationship Id="rId2" Type="http://schemas.openxmlformats.org/officeDocument/2006/relationships/comments" Target="../comments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8.vml"/><Relationship Id="rId2" Type="http://schemas.openxmlformats.org/officeDocument/2006/relationships/comments" Target="../comments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9.vml"/><Relationship Id="rId2" Type="http://schemas.openxmlformats.org/officeDocument/2006/relationships/comments" Target="../comments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0.vml"/><Relationship Id="rId2" Type="http://schemas.openxmlformats.org/officeDocument/2006/relationships/comments" Target="../comments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1.vml"/><Relationship Id="rId2" Type="http://schemas.openxmlformats.org/officeDocument/2006/relationships/comments" Target="../comments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vmlDrawing" Target="../drawings/vmlDrawing32.vml"/><Relationship Id="rId3" Type="http://schemas.openxmlformats.org/officeDocument/2006/relationships/comments" Target="../comments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vmlDrawing" Target="../drawings/vmlDrawing33.vml"/><Relationship Id="rId3" Type="http://schemas.openxmlformats.org/officeDocument/2006/relationships/comments" Target="../comments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vmlDrawing" Target="../drawings/vmlDrawing34.vml"/><Relationship Id="rId3" Type="http://schemas.openxmlformats.org/officeDocument/2006/relationships/comments" Target="../comments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vmlDrawing" Target="../drawings/vmlDrawing35.vml"/><Relationship Id="rId3" Type="http://schemas.openxmlformats.org/officeDocument/2006/relationships/comments" Target="../comments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Relationship Id="rId2" Type="http://schemas.openxmlformats.org/officeDocument/2006/relationships/vmlDrawing" Target="../drawings/vmlDrawing36.vml"/><Relationship Id="rId3" Type="http://schemas.openxmlformats.org/officeDocument/2006/relationships/comments" Target="../comments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7.vml"/><Relationship Id="rId2" Type="http://schemas.openxmlformats.org/officeDocument/2006/relationships/comments" Target="../comments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Relationship Id="rId2" Type="http://schemas.openxmlformats.org/officeDocument/2006/relationships/vmlDrawing" Target="../drawings/vmlDrawing38.vml"/><Relationship Id="rId3" Type="http://schemas.openxmlformats.org/officeDocument/2006/relationships/comments" Target="../comments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Relationship Id="rId2" Type="http://schemas.openxmlformats.org/officeDocument/2006/relationships/vmlDrawing" Target="../drawings/vmlDrawing39.vml"/><Relationship Id="rId3" Type="http://schemas.openxmlformats.org/officeDocument/2006/relationships/comments" Target="../comments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0.vml"/><Relationship Id="rId2" Type="http://schemas.openxmlformats.org/officeDocument/2006/relationships/comments" Target="../comments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Relationship Id="rId2" Type="http://schemas.openxmlformats.org/officeDocument/2006/relationships/vmlDrawing" Target="../drawings/vmlDrawing41.vml"/><Relationship Id="rId3" Type="http://schemas.openxmlformats.org/officeDocument/2006/relationships/comments" Target="../comments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2.vml"/><Relationship Id="rId2" Type="http://schemas.openxmlformats.org/officeDocument/2006/relationships/comments" Target="../comments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Relationship Id="rId2" Type="http://schemas.openxmlformats.org/officeDocument/2006/relationships/vmlDrawing" Target="../drawings/vmlDrawing43.vml"/><Relationship Id="rId3" Type="http://schemas.openxmlformats.org/officeDocument/2006/relationships/comments" Target="../comments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Relationship Id="rId2" Type="http://schemas.openxmlformats.org/officeDocument/2006/relationships/vmlDrawing" Target="../drawings/vmlDrawing44.vml"/><Relationship Id="rId3" Type="http://schemas.openxmlformats.org/officeDocument/2006/relationships/comments" Target="../comments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Relationship Id="rId2" Type="http://schemas.openxmlformats.org/officeDocument/2006/relationships/vmlDrawing" Target="../drawings/vmlDrawing45.vml"/><Relationship Id="rId3" Type="http://schemas.openxmlformats.org/officeDocument/2006/relationships/comments" Target="../comments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6.vml"/><Relationship Id="rId2" Type="http://schemas.openxmlformats.org/officeDocument/2006/relationships/comments" Target="../comments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Relationship Id="rId2" Type="http://schemas.openxmlformats.org/officeDocument/2006/relationships/vmlDrawing" Target="../drawings/vmlDrawing47.vml"/><Relationship Id="rId3" Type="http://schemas.openxmlformats.org/officeDocument/2006/relationships/comments" Target="../comments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8.vml"/><Relationship Id="rId2" Type="http://schemas.openxmlformats.org/officeDocument/2006/relationships/comments" Target="../comments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9.vml"/><Relationship Id="rId2" Type="http://schemas.openxmlformats.org/officeDocument/2006/relationships/comments" Target="../comments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0.vml"/><Relationship Id="rId2" Type="http://schemas.openxmlformats.org/officeDocument/2006/relationships/comments" Target="../comments5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topLeftCell="A13" workbookViewId="0">
      <selection activeCell="T42" sqref="T42"/>
    </sheetView>
  </sheetViews>
  <sheetFormatPr baseColWidth="10" defaultColWidth="8.83203125" defaultRowHeight="15" x14ac:dyDescent="0.2"/>
  <cols>
    <col min="1" max="1" width="22.5" style="82" customWidth="1"/>
    <col min="2" max="2" width="12" style="82" customWidth="1"/>
    <col min="3" max="3" width="10.83203125" style="82" customWidth="1"/>
    <col min="4" max="5" width="10.1640625" style="82" customWidth="1"/>
    <col min="6" max="6" width="9.6640625" style="82" customWidth="1"/>
    <col min="7" max="7" width="10.1640625" style="82" customWidth="1"/>
    <col min="8" max="11" width="8.83203125" style="82"/>
    <col min="12" max="12" width="10.83203125" style="82" customWidth="1"/>
    <col min="13" max="13" width="8.5" style="82" customWidth="1"/>
    <col min="14" max="15" width="10.5" style="82" customWidth="1"/>
    <col min="16" max="16" width="10.1640625" style="82" customWidth="1"/>
    <col min="17" max="17" width="14.6640625" style="82" customWidth="1"/>
    <col min="18" max="18" width="12.5" style="82" customWidth="1"/>
    <col min="19" max="20" width="8.83203125" style="82"/>
    <col min="21" max="21" width="10.1640625" style="82" bestFit="1" customWidth="1"/>
    <col min="22" max="16384" width="8.83203125" style="82"/>
  </cols>
  <sheetData>
    <row r="1" spans="1:21" ht="19" x14ac:dyDescent="0.25">
      <c r="A1" s="99" t="s">
        <v>0</v>
      </c>
      <c r="P1" s="75"/>
      <c r="Q1" s="75"/>
      <c r="R1" s="75"/>
      <c r="S1" s="75"/>
      <c r="T1" s="75"/>
      <c r="U1" s="75"/>
    </row>
    <row r="2" spans="1:21" ht="16" x14ac:dyDescent="0.2">
      <c r="A2" s="4" t="s">
        <v>110</v>
      </c>
      <c r="P2" s="75"/>
      <c r="Q2" s="75"/>
      <c r="R2" s="75"/>
      <c r="S2" s="75"/>
      <c r="T2" s="75"/>
      <c r="U2" s="75"/>
    </row>
    <row r="3" spans="1:21" ht="16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 t="s">
        <v>9</v>
      </c>
      <c r="M3" s="91" t="s">
        <v>9</v>
      </c>
      <c r="N3" s="91"/>
      <c r="O3" s="83" t="s">
        <v>11</v>
      </c>
      <c r="P3" s="75"/>
      <c r="Q3" s="75"/>
      <c r="R3" s="75"/>
      <c r="S3" s="75"/>
      <c r="T3" s="75"/>
      <c r="U3" s="75"/>
    </row>
    <row r="4" spans="1:21" ht="16" x14ac:dyDescent="0.2">
      <c r="A4" s="8" t="s">
        <v>124</v>
      </c>
      <c r="B4" s="13">
        <f>SUM(Härryda:Falköping!B4)</f>
        <v>16819</v>
      </c>
      <c r="C4" s="9"/>
      <c r="D4" s="97"/>
      <c r="P4" s="75"/>
      <c r="Q4" s="75"/>
      <c r="R4" s="75"/>
      <c r="S4" s="75"/>
      <c r="T4" s="75"/>
      <c r="U4" s="75"/>
    </row>
    <row r="5" spans="1:21" ht="16" x14ac:dyDescent="0.2">
      <c r="A5" s="98"/>
      <c r="B5" s="13"/>
      <c r="C5" s="2"/>
      <c r="D5" s="2"/>
      <c r="E5" s="2"/>
      <c r="F5" s="2"/>
      <c r="G5" s="2"/>
      <c r="P5" s="75"/>
      <c r="Q5" s="100"/>
      <c r="R5" s="75"/>
      <c r="S5" s="75"/>
      <c r="T5" s="75"/>
      <c r="U5" s="75"/>
    </row>
    <row r="6" spans="1:21" ht="16" x14ac:dyDescent="0.2">
      <c r="A6" s="8" t="s">
        <v>12</v>
      </c>
      <c r="B6" s="13">
        <f>SUM(Härryda:Falköping!B6)</f>
        <v>954834</v>
      </c>
      <c r="C6" s="13">
        <f>SUM(Härryda:Falköping!C6)</f>
        <v>0</v>
      </c>
      <c r="D6" s="13">
        <f>SUM(Härryda:Falköping!D6)</f>
        <v>0</v>
      </c>
      <c r="E6" s="13">
        <f>SUM(Härryda:Falköping!E6)</f>
        <v>0</v>
      </c>
      <c r="F6" s="13">
        <f>SUM(Härryda:Falköping!F6)</f>
        <v>0</v>
      </c>
      <c r="G6" s="13">
        <f>SUM(Härryda:Falköping!G6)</f>
        <v>0</v>
      </c>
      <c r="H6" s="13">
        <f>SUM(Härryda:Falköping!H6)</f>
        <v>0</v>
      </c>
      <c r="I6" s="13">
        <f>SUM(Härryda:Falköping!I6)</f>
        <v>0</v>
      </c>
      <c r="J6" s="13">
        <f>SUM(Härryda:Falköping!J6)</f>
        <v>0</v>
      </c>
      <c r="K6" s="13">
        <f>SUM(Härryda:Falköping!K6)</f>
        <v>0</v>
      </c>
      <c r="L6" s="13">
        <f>SUM(Härryda:Falköping!L6)</f>
        <v>0</v>
      </c>
      <c r="M6" s="13">
        <f>SUM(Härryda:Falköping!M6)</f>
        <v>0</v>
      </c>
      <c r="N6" s="13">
        <f>SUM(Härryda:Falköping!N6)</f>
        <v>0</v>
      </c>
      <c r="O6" s="13">
        <f>SUM(C6:N6)</f>
        <v>0</v>
      </c>
      <c r="P6" s="75"/>
      <c r="Q6" s="101"/>
      <c r="R6" s="102"/>
      <c r="S6" s="75"/>
      <c r="T6" s="75"/>
      <c r="U6" s="75"/>
    </row>
    <row r="7" spans="1:21" ht="16" x14ac:dyDescent="0.2">
      <c r="A7" s="8" t="s">
        <v>13</v>
      </c>
      <c r="B7" s="13">
        <f>SUM(Härryda:Falköping!B7)</f>
        <v>10085</v>
      </c>
      <c r="C7" s="13">
        <f>SUM(Härryda:Falköping!C7)</f>
        <v>32571</v>
      </c>
      <c r="D7" s="13">
        <f>SUM(Härryda:Falköping!D7)</f>
        <v>0</v>
      </c>
      <c r="E7" s="13">
        <f>SUM(Härryda:Falköping!E7)</f>
        <v>0</v>
      </c>
      <c r="F7" s="13">
        <f>SUM(Härryda:Falköping!F7)</f>
        <v>0</v>
      </c>
      <c r="G7" s="13">
        <f>SUM(Härryda:Falköping!G7)</f>
        <v>0</v>
      </c>
      <c r="H7" s="13">
        <f>SUM(Härryda:Falköping!H7)</f>
        <v>0</v>
      </c>
      <c r="I7" s="13">
        <f>SUM(Härryda:Falköping!I7)</f>
        <v>0</v>
      </c>
      <c r="J7" s="13">
        <f>SUM(Härryda:Falköping!J7)</f>
        <v>0</v>
      </c>
      <c r="K7" s="13">
        <f>SUM(Härryda:Falköping!K7)</f>
        <v>0</v>
      </c>
      <c r="L7" s="13">
        <f>SUM(Härryda:Falköping!L7)</f>
        <v>0</v>
      </c>
      <c r="M7" s="13">
        <f>SUM(Härryda:Falköping!M7)</f>
        <v>0</v>
      </c>
      <c r="N7" s="13">
        <f>SUM(Härryda:Falköping!N7)</f>
        <v>0</v>
      </c>
      <c r="O7" s="13">
        <f>SUM(C7:N7)</f>
        <v>32571</v>
      </c>
      <c r="P7" s="75"/>
      <c r="Q7" s="101"/>
      <c r="R7" s="102"/>
      <c r="S7" s="75"/>
      <c r="T7" s="75"/>
      <c r="U7" s="75"/>
    </row>
    <row r="8" spans="1:21" ht="16" x14ac:dyDescent="0.2">
      <c r="A8" s="8" t="s">
        <v>14</v>
      </c>
      <c r="B8" s="13">
        <f>SUM(Härryda:Falköping!B8)+330148</f>
        <v>2757849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3"/>
      <c r="P8" s="75"/>
      <c r="Q8" s="75"/>
      <c r="R8" s="75"/>
      <c r="S8" s="75"/>
      <c r="T8" s="75"/>
      <c r="U8" s="75"/>
    </row>
    <row r="9" spans="1:21" ht="16" x14ac:dyDescent="0.2">
      <c r="A9" s="8" t="s">
        <v>15</v>
      </c>
      <c r="B9" s="13">
        <f>SUM(Härryda:Falköping!B9)</f>
        <v>2264859.2876404496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3"/>
      <c r="P9" s="75"/>
      <c r="Q9" s="75"/>
      <c r="R9" s="75"/>
      <c r="S9" s="75"/>
      <c r="T9" s="75"/>
      <c r="U9" s="75"/>
    </row>
    <row r="10" spans="1:21" ht="16" x14ac:dyDescent="0.2">
      <c r="A10" s="8" t="s">
        <v>16</v>
      </c>
      <c r="B10" s="13">
        <f>SUM(B4:B9)</f>
        <v>6004446.2876404496</v>
      </c>
      <c r="C10" s="13">
        <f t="shared" ref="C10:N10" si="0">SUM(C6:C7)</f>
        <v>32571</v>
      </c>
      <c r="D10" s="13">
        <f t="shared" si="0"/>
        <v>0</v>
      </c>
      <c r="E10" s="13">
        <f t="shared" si="0"/>
        <v>0</v>
      </c>
      <c r="F10" s="13">
        <f t="shared" si="0"/>
        <v>0</v>
      </c>
      <c r="G10" s="13">
        <f t="shared" si="0"/>
        <v>0</v>
      </c>
      <c r="H10" s="13">
        <f t="shared" si="0"/>
        <v>0</v>
      </c>
      <c r="I10" s="13">
        <f t="shared" si="0"/>
        <v>0</v>
      </c>
      <c r="J10" s="13">
        <f t="shared" si="0"/>
        <v>0</v>
      </c>
      <c r="K10" s="13">
        <f t="shared" si="0"/>
        <v>0</v>
      </c>
      <c r="L10" s="13">
        <f t="shared" si="0"/>
        <v>0</v>
      </c>
      <c r="M10" s="13">
        <f t="shared" si="0"/>
        <v>0</v>
      </c>
      <c r="N10" s="13">
        <f t="shared" si="0"/>
        <v>0</v>
      </c>
      <c r="O10" s="13">
        <f>SUM(O6:O7)</f>
        <v>32571</v>
      </c>
      <c r="P10" s="75"/>
      <c r="Q10" s="75"/>
      <c r="R10" s="75"/>
      <c r="S10" s="75"/>
      <c r="T10" s="75"/>
      <c r="U10" s="75"/>
    </row>
    <row r="11" spans="1:21" ht="16" x14ac:dyDescent="0.2">
      <c r="A11" s="103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75"/>
      <c r="Q11" s="75"/>
      <c r="R11" s="75"/>
      <c r="S11" s="75"/>
      <c r="T11" s="75"/>
      <c r="U11" s="75"/>
    </row>
    <row r="12" spans="1:21" ht="16" x14ac:dyDescent="0.2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75"/>
      <c r="Q12" s="75"/>
      <c r="R12" s="75"/>
      <c r="S12" s="75"/>
      <c r="T12" s="75"/>
      <c r="U12" s="75"/>
    </row>
    <row r="13" spans="1:21" ht="19" x14ac:dyDescent="0.25">
      <c r="A13" s="99" t="s">
        <v>17</v>
      </c>
      <c r="B13" s="104"/>
      <c r="C13" s="104"/>
      <c r="D13" s="104"/>
      <c r="E13" s="104"/>
      <c r="F13" s="104"/>
      <c r="G13" s="104"/>
      <c r="H13" s="104"/>
      <c r="I13" s="97"/>
      <c r="J13" s="97"/>
      <c r="K13" s="97"/>
      <c r="L13" s="97"/>
      <c r="M13" s="97"/>
      <c r="N13" s="97"/>
      <c r="O13" s="104"/>
      <c r="P13" s="75"/>
      <c r="Q13" s="75"/>
      <c r="R13" s="75"/>
      <c r="S13" s="75"/>
      <c r="T13" s="75"/>
      <c r="U13" s="75"/>
    </row>
    <row r="14" spans="1:21" ht="16" x14ac:dyDescent="0.2">
      <c r="A14" s="4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75"/>
      <c r="Q14" s="75"/>
      <c r="R14" s="75"/>
      <c r="S14" s="75"/>
      <c r="T14" s="75"/>
      <c r="U14" s="75"/>
    </row>
    <row r="15" spans="1:21" ht="16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 t="s">
        <v>113</v>
      </c>
      <c r="M15" s="91" t="s">
        <v>115</v>
      </c>
      <c r="N15" s="91" t="s">
        <v>10</v>
      </c>
      <c r="O15" s="97" t="s">
        <v>11</v>
      </c>
      <c r="P15" s="75"/>
      <c r="Q15" s="75"/>
      <c r="R15" s="75"/>
      <c r="S15" s="75"/>
      <c r="T15" s="75"/>
      <c r="U15" s="75"/>
    </row>
    <row r="16" spans="1:21" ht="16" x14ac:dyDescent="0.2">
      <c r="B16" s="97"/>
      <c r="C16" s="2"/>
      <c r="D16" s="2"/>
      <c r="E16" s="2"/>
      <c r="F16" s="2"/>
      <c r="G16" s="2"/>
      <c r="H16" s="97"/>
      <c r="I16" s="97"/>
      <c r="J16" s="97"/>
      <c r="K16" s="97"/>
      <c r="L16" s="97"/>
      <c r="M16" s="97"/>
      <c r="N16" s="97"/>
      <c r="O16" s="97"/>
      <c r="P16" s="75"/>
      <c r="Q16" s="100"/>
      <c r="R16" s="75"/>
      <c r="S16" s="75"/>
      <c r="T16" s="75"/>
      <c r="U16" s="75"/>
    </row>
    <row r="17" spans="1:24" ht="16" x14ac:dyDescent="0.2">
      <c r="A17" s="8" t="s">
        <v>20</v>
      </c>
      <c r="B17" s="13">
        <f>SUM(Härryda:Falköping!B17)</f>
        <v>4731995</v>
      </c>
      <c r="C17" s="13">
        <f>SUM(Härryda:Falköping!C17)</f>
        <v>31512</v>
      </c>
      <c r="D17" s="13">
        <f>SUM(Härryda:Falköping!D17)</f>
        <v>0</v>
      </c>
      <c r="E17" s="13">
        <f>SUM(Härryda:Falköping!E17)</f>
        <v>646023</v>
      </c>
      <c r="F17" s="13">
        <f>SUM(Härryda:Falköping!F17)</f>
        <v>17404</v>
      </c>
      <c r="G17" s="13">
        <f>SUM(Härryda:Falköping!G17)</f>
        <v>1909519</v>
      </c>
      <c r="H17" s="13">
        <f>SUM(Härryda:Falköping!H17)</f>
        <v>0</v>
      </c>
      <c r="I17" s="13">
        <f>SUM(Härryda:Falköping!I17)</f>
        <v>0</v>
      </c>
      <c r="J17" s="13">
        <f>SUM(Härryda:Falköping!J17)</f>
        <v>25419</v>
      </c>
      <c r="K17" s="13">
        <f>SUM(Härryda:Falköping!K17)</f>
        <v>2978930</v>
      </c>
      <c r="L17" s="13">
        <f>SUM(Härryda:Falköping!L17)</f>
        <v>116908</v>
      </c>
      <c r="M17" s="13">
        <f>SUM(Härryda:Falköping!M17)</f>
        <v>1500</v>
      </c>
      <c r="N17" s="13">
        <f>SUM(Härryda:Falköping!N17)</f>
        <v>29423</v>
      </c>
      <c r="O17" s="13">
        <f>SUM(C17:N17)</f>
        <v>5756638</v>
      </c>
      <c r="P17" s="75"/>
      <c r="Q17" s="101"/>
      <c r="R17" s="102"/>
      <c r="S17" s="75"/>
      <c r="T17" s="75"/>
      <c r="U17" s="75"/>
    </row>
    <row r="18" spans="1:24" ht="16" x14ac:dyDescent="0.2">
      <c r="A18" s="8" t="s">
        <v>21</v>
      </c>
      <c r="B18" s="13">
        <f>SUM(Härryda:Falköping!B18)</f>
        <v>2237573</v>
      </c>
      <c r="C18" s="13">
        <f>SUM(Härryda:Falköping!C18)</f>
        <v>23364.37222222222</v>
      </c>
      <c r="D18" s="13">
        <f>SUM(Härryda:Falköping!D18)</f>
        <v>0</v>
      </c>
      <c r="E18" s="13">
        <f>SUM(Härryda:Falköping!E18)</f>
        <v>33953</v>
      </c>
      <c r="F18" s="13">
        <f>SUM(Härryda:Falköping!F18)</f>
        <v>51541</v>
      </c>
      <c r="G18" s="13">
        <f>SUM(Härryda:Falköping!G18)</f>
        <v>1757539.3555555556</v>
      </c>
      <c r="H18" s="13">
        <f>SUM(Härryda:Falköping!H18)</f>
        <v>3492</v>
      </c>
      <c r="I18" s="13">
        <f>SUM(Härryda:Falköping!I18)</f>
        <v>0</v>
      </c>
      <c r="J18" s="13">
        <f>SUM(Härryda:Falköping!J18)</f>
        <v>0</v>
      </c>
      <c r="K18" s="13">
        <f>SUM(Härryda:Falköping!K18)</f>
        <v>0</v>
      </c>
      <c r="L18" s="13">
        <f>SUM(Härryda:Falköping!L18)</f>
        <v>40878</v>
      </c>
      <c r="M18" s="13">
        <f>SUM(Härryda:Falköping!M18)</f>
        <v>200</v>
      </c>
      <c r="N18" s="13">
        <f>SUM(Härryda:Falköping!N18)</f>
        <v>142684.005</v>
      </c>
      <c r="O18" s="13">
        <f>SUM(C18:N18)</f>
        <v>2053651.7327777776</v>
      </c>
      <c r="P18" s="75"/>
      <c r="Q18" s="101"/>
      <c r="R18" s="102"/>
      <c r="S18" s="75"/>
      <c r="T18" s="75"/>
      <c r="U18" s="75"/>
    </row>
    <row r="19" spans="1:24" ht="16" x14ac:dyDescent="0.2">
      <c r="A19" s="8" t="s">
        <v>22</v>
      </c>
      <c r="B19" s="13">
        <f>SUM(Härryda:Falköping!B19)</f>
        <v>55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3"/>
      <c r="O19" s="13"/>
      <c r="P19" s="75"/>
      <c r="Q19" s="75"/>
      <c r="R19" s="75"/>
    </row>
    <row r="20" spans="1:24" ht="16" x14ac:dyDescent="0.2">
      <c r="A20" s="8" t="s">
        <v>23</v>
      </c>
      <c r="B20" s="13">
        <f>SUM(Härryda:Falköping!B20)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3"/>
      <c r="O20" s="13"/>
      <c r="P20" s="75"/>
      <c r="Q20" s="75"/>
      <c r="R20" s="75"/>
      <c r="S20" s="75" t="s">
        <v>26</v>
      </c>
      <c r="T20" s="76">
        <f>O42/1000</f>
        <v>62607.689736868087</v>
      </c>
      <c r="U20" s="75"/>
    </row>
    <row r="21" spans="1:24" ht="16" x14ac:dyDescent="0.2">
      <c r="A21" s="8" t="s">
        <v>24</v>
      </c>
      <c r="B21" s="13">
        <f>SUM(Härryda:Falköping!B21)</f>
        <v>897417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3"/>
      <c r="P21" s="75"/>
      <c r="Q21" s="75"/>
      <c r="R21" s="75"/>
      <c r="S21" s="75"/>
      <c r="T21" s="75"/>
      <c r="U21" s="75"/>
    </row>
    <row r="22" spans="1:24" ht="16" x14ac:dyDescent="0.2">
      <c r="A22" s="8" t="s">
        <v>25</v>
      </c>
      <c r="B22" s="13"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3"/>
      <c r="P22" s="75"/>
      <c r="Q22" s="75"/>
      <c r="R22" s="75"/>
      <c r="S22" s="75"/>
      <c r="T22" s="75" t="s">
        <v>27</v>
      </c>
      <c r="U22" s="75" t="s">
        <v>28</v>
      </c>
    </row>
    <row r="23" spans="1:24" ht="16" x14ac:dyDescent="0.2">
      <c r="A23" s="8" t="s">
        <v>16</v>
      </c>
      <c r="B23" s="13">
        <f>SUM(B17:B22)</f>
        <v>7867040</v>
      </c>
      <c r="C23" s="13">
        <f t="shared" ref="C23:O23" si="1">SUM(C17:C22)</f>
        <v>54876.37222222222</v>
      </c>
      <c r="D23" s="13">
        <f t="shared" si="1"/>
        <v>0</v>
      </c>
      <c r="E23" s="13">
        <f t="shared" si="1"/>
        <v>679976</v>
      </c>
      <c r="F23" s="13">
        <f t="shared" si="1"/>
        <v>68945</v>
      </c>
      <c r="G23" s="13">
        <f t="shared" si="1"/>
        <v>3667058.3555555558</v>
      </c>
      <c r="H23" s="13">
        <f t="shared" si="1"/>
        <v>3492</v>
      </c>
      <c r="I23" s="13">
        <f t="shared" si="1"/>
        <v>0</v>
      </c>
      <c r="J23" s="13">
        <f t="shared" si="1"/>
        <v>25419</v>
      </c>
      <c r="K23" s="13">
        <f t="shared" si="1"/>
        <v>2978930</v>
      </c>
      <c r="L23" s="13">
        <f t="shared" si="1"/>
        <v>157786</v>
      </c>
      <c r="M23" s="13">
        <f t="shared" si="1"/>
        <v>1700</v>
      </c>
      <c r="N23" s="13">
        <f t="shared" si="1"/>
        <v>172107.005</v>
      </c>
      <c r="O23" s="13">
        <f t="shared" si="1"/>
        <v>7810289.7327777781</v>
      </c>
      <c r="P23" s="75"/>
      <c r="Q23" s="75"/>
      <c r="R23" s="75"/>
      <c r="S23" s="75" t="s">
        <v>10</v>
      </c>
      <c r="T23" s="77">
        <f>N42/1000</f>
        <v>18521.595884999999</v>
      </c>
      <c r="U23" s="78">
        <f>N43</f>
        <v>0.29583579849126901</v>
      </c>
    </row>
    <row r="24" spans="1:24" ht="16" x14ac:dyDescent="0.2">
      <c r="A24" s="103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75"/>
      <c r="Q24" s="75"/>
      <c r="R24" s="75"/>
      <c r="S24" s="75" t="s">
        <v>111</v>
      </c>
      <c r="T24" s="77">
        <f>(G42+L23)/1000</f>
        <v>6093.0663555555557</v>
      </c>
      <c r="U24" s="79">
        <f>(G42+L23)/O42</f>
        <v>9.7321373479262924E-2</v>
      </c>
    </row>
    <row r="25" spans="1:24" ht="16" x14ac:dyDescent="0.2"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75"/>
      <c r="Q25" s="75"/>
      <c r="R25" s="75"/>
      <c r="S25" s="75" t="s">
        <v>7</v>
      </c>
      <c r="T25" s="77">
        <f>J42/1000</f>
        <v>25.419</v>
      </c>
      <c r="U25" s="78">
        <f>J43</f>
        <v>4.0600443981933727E-4</v>
      </c>
    </row>
    <row r="26" spans="1:24" ht="16" x14ac:dyDescent="0.2"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75"/>
      <c r="Q26" s="75"/>
      <c r="R26" s="75"/>
      <c r="S26" s="75" t="s">
        <v>31</v>
      </c>
      <c r="T26" s="77">
        <f>F42/1000</f>
        <v>1220.3171240903182</v>
      </c>
      <c r="U26" s="78">
        <f>F43</f>
        <v>1.9491489451521866E-2</v>
      </c>
    </row>
    <row r="27" spans="1:24" ht="19" x14ac:dyDescent="0.25">
      <c r="A27" s="99" t="s">
        <v>29</v>
      </c>
      <c r="B27" s="104"/>
      <c r="C27" s="104"/>
      <c r="D27" s="104"/>
      <c r="E27" s="104"/>
      <c r="F27" s="104"/>
      <c r="G27" s="104"/>
      <c r="H27" s="97"/>
      <c r="I27" s="97"/>
      <c r="J27" s="97"/>
      <c r="K27" s="97"/>
      <c r="L27" s="97"/>
      <c r="M27" s="97"/>
      <c r="N27" s="97"/>
      <c r="O27" s="97"/>
      <c r="P27" s="75"/>
      <c r="Q27" s="75"/>
      <c r="R27" s="75"/>
      <c r="S27" s="75" t="s">
        <v>4</v>
      </c>
      <c r="T27" s="76">
        <f>E42/1000</f>
        <v>2894.4009999999998</v>
      </c>
      <c r="U27" s="78">
        <f>E43</f>
        <v>4.6230758748083307E-2</v>
      </c>
    </row>
    <row r="28" spans="1:24" ht="16" x14ac:dyDescent="0.2">
      <c r="A28" s="4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75"/>
      <c r="Q28" s="75"/>
      <c r="R28" s="75"/>
      <c r="S28" s="82" t="s">
        <v>3</v>
      </c>
      <c r="T28" s="82">
        <f>D42/1000</f>
        <v>1070.625</v>
      </c>
      <c r="U28" s="96">
        <f>D43</f>
        <v>1.7100535165882922E-2</v>
      </c>
    </row>
    <row r="29" spans="1:24" ht="16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19</v>
      </c>
      <c r="K29" s="91" t="s">
        <v>126</v>
      </c>
      <c r="L29" s="91" t="s">
        <v>125</v>
      </c>
      <c r="M29" s="91" t="s">
        <v>114</v>
      </c>
      <c r="N29" s="91" t="s">
        <v>10</v>
      </c>
      <c r="O29" s="91" t="s">
        <v>32</v>
      </c>
      <c r="P29" s="75"/>
      <c r="Q29" s="75"/>
      <c r="R29" s="75"/>
      <c r="S29" s="82" t="s">
        <v>8</v>
      </c>
      <c r="T29" s="82">
        <f>K42/1000</f>
        <v>3112.1640000000002</v>
      </c>
      <c r="U29" s="96">
        <f>K43</f>
        <v>4.9708973659306342E-2</v>
      </c>
    </row>
    <row r="30" spans="1:24" ht="16" x14ac:dyDescent="0.2"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75"/>
      <c r="Q30" s="75"/>
      <c r="R30" s="75"/>
      <c r="S30" s="82" t="s">
        <v>125</v>
      </c>
      <c r="T30" s="82">
        <f>L39/1000</f>
        <v>13950.654</v>
      </c>
      <c r="U30" s="96">
        <f>L39/O42</f>
        <v>0.22282652592090155</v>
      </c>
      <c r="W30" s="100"/>
    </row>
    <row r="31" spans="1:24" ht="16" x14ac:dyDescent="0.2">
      <c r="A31" s="98" t="s">
        <v>33</v>
      </c>
      <c r="B31" s="13">
        <f>SUM(Härryda:Falköping!B31)</f>
        <v>0</v>
      </c>
      <c r="C31" s="13">
        <f>SUM(Härryda:Falköping!C31)</f>
        <v>428401.2</v>
      </c>
      <c r="D31" s="13">
        <f>SUM(Härryda:Falköping!D31)</f>
        <v>0</v>
      </c>
      <c r="E31" s="13">
        <f>SUM(Härryda:Falköping!E31)</f>
        <v>0</v>
      </c>
      <c r="F31" s="13">
        <f>SUM(Härryda:Falköping!F31)</f>
        <v>42296.800000000003</v>
      </c>
      <c r="G31" s="13">
        <f>SUM(Härryda:Falköping!G31)</f>
        <v>0</v>
      </c>
      <c r="H31" s="13">
        <f>SUM(Härryda:Falköping!H31)</f>
        <v>0</v>
      </c>
      <c r="I31" s="13">
        <f>SUM(Härryda:Falköping!I31)</f>
        <v>0</v>
      </c>
      <c r="J31" s="13">
        <f>SUM(Härryda:Falköping!J31)</f>
        <v>0</v>
      </c>
      <c r="K31" s="13">
        <f>SUM(Härryda:Falköping!K31)</f>
        <v>0</v>
      </c>
      <c r="L31" s="13">
        <f>SUM(Härryda:Falköping!L31)</f>
        <v>0</v>
      </c>
      <c r="M31" s="13">
        <f>SUM(Härryda:Falköping!M31)</f>
        <v>0</v>
      </c>
      <c r="N31" s="13">
        <f>SUM(Härryda:Falköping!N31)</f>
        <v>505598</v>
      </c>
      <c r="O31" s="13">
        <f>SUM(B31:N31)</f>
        <v>976296</v>
      </c>
      <c r="P31" s="80">
        <f>O31/O$39</f>
        <v>1.5950240392356863E-2</v>
      </c>
      <c r="Q31" s="81" t="s">
        <v>34</v>
      </c>
      <c r="R31" s="75"/>
      <c r="S31" s="75" t="s">
        <v>5</v>
      </c>
      <c r="T31" s="77">
        <f>I42/1000</f>
        <v>320.96699999999998</v>
      </c>
      <c r="U31" s="78">
        <f>I43</f>
        <v>5.1266386181790481E-3</v>
      </c>
      <c r="W31" s="102"/>
      <c r="X31" s="102"/>
    </row>
    <row r="32" spans="1:24" ht="16" x14ac:dyDescent="0.2">
      <c r="A32" s="98" t="s">
        <v>36</v>
      </c>
      <c r="B32" s="13">
        <f>SUM(Härryda:Falköping!B32)</f>
        <v>729226.5</v>
      </c>
      <c r="C32" s="13">
        <f>SUM(Härryda:Falköping!C32)</f>
        <v>620114</v>
      </c>
      <c r="D32" s="13">
        <f>SUM(Härryda:Falköping!D32)</f>
        <v>1070625</v>
      </c>
      <c r="E32" s="13">
        <f>SUM(Härryda:Falköping!E32)</f>
        <v>2066984</v>
      </c>
      <c r="F32" s="13">
        <f>SUM(Härryda:Falköping!F32)+Mölndal!L32+Mark!L32+Bengtsfors!L32+Skövde!J32</f>
        <v>65262.400000000001</v>
      </c>
      <c r="G32" s="13">
        <f>SUM(Härryda:Falköping!G32)</f>
        <v>636058</v>
      </c>
      <c r="H32" s="13">
        <f>SUM(Härryda:Falköping!H32)</f>
        <v>23970</v>
      </c>
      <c r="I32" s="13">
        <f>Bengtsfors!I32</f>
        <v>320967</v>
      </c>
      <c r="J32" s="13">
        <v>0</v>
      </c>
      <c r="K32" s="13">
        <f>Skövde!L32+Skövde!M32+Skövde!I32</f>
        <v>133234</v>
      </c>
      <c r="L32" s="13">
        <f>Stenungsund!L32+Göteborg!L32+Lysekil!L32+Stenungsund!M32</f>
        <v>13950654</v>
      </c>
      <c r="M32" s="13">
        <f>Vårgårda!L32+Svenljunga!L32+Mariestad!L32+Lidköping!L32</f>
        <v>165149</v>
      </c>
      <c r="N32" s="13">
        <f>SUM(Härryda:Falköping!N32)</f>
        <v>5838290</v>
      </c>
      <c r="O32" s="13">
        <f t="shared" ref="O32:O38" si="2">SUM(B32:N32)</f>
        <v>25620533.899999999</v>
      </c>
      <c r="P32" s="80">
        <f>O32/O$39</f>
        <v>0.41857559048232124</v>
      </c>
      <c r="Q32" s="81" t="s">
        <v>37</v>
      </c>
      <c r="R32" s="75"/>
      <c r="S32" s="75" t="s">
        <v>6</v>
      </c>
      <c r="T32" s="77">
        <f>H42/1000</f>
        <v>225.614</v>
      </c>
      <c r="U32" s="78">
        <f>H43</f>
        <v>3.6036148426531319E-3</v>
      </c>
      <c r="W32" s="102"/>
      <c r="X32" s="102"/>
    </row>
    <row r="33" spans="1:48" ht="16" x14ac:dyDescent="0.2">
      <c r="A33" s="98" t="s">
        <v>38</v>
      </c>
      <c r="B33" s="13">
        <f>SUM(Härryda:Falköping!B33)</f>
        <v>944093.98783717584</v>
      </c>
      <c r="C33" s="13">
        <f>SUM(Härryda:Falköping!C33)</f>
        <v>72389</v>
      </c>
      <c r="D33" s="13">
        <f>SUM(Härryda:Falköping!D33)</f>
        <v>0</v>
      </c>
      <c r="E33" s="13">
        <f>SUM(Härryda:Falköping!E33)</f>
        <v>22300</v>
      </c>
      <c r="F33" s="13">
        <f>SUM(Härryda:Falköping!F33)</f>
        <v>0</v>
      </c>
      <c r="G33" s="13">
        <f>SUM(Härryda:Falköping!G33)</f>
        <v>0</v>
      </c>
      <c r="H33" s="13">
        <f>SUM(Härryda:Falköping!H33)</f>
        <v>0</v>
      </c>
      <c r="I33" s="13">
        <f>SUM(Härryda:Falköping!I33)</f>
        <v>0</v>
      </c>
      <c r="J33" s="13">
        <f>SUM(Härryda:Falköping!J33)</f>
        <v>0</v>
      </c>
      <c r="K33" s="13">
        <f>SUM(Härryda:Falköping!K33)</f>
        <v>0</v>
      </c>
      <c r="L33" s="13">
        <f>SUM(Härryda:Falköping!L33)</f>
        <v>0</v>
      </c>
      <c r="M33" s="13">
        <f>SUM(Härryda:Falköping!M33)</f>
        <v>0</v>
      </c>
      <c r="N33" s="13">
        <f>SUM(Härryda:Falköping!N33)</f>
        <v>1489636.4</v>
      </c>
      <c r="O33" s="13">
        <f t="shared" si="2"/>
        <v>2528419.3878371757</v>
      </c>
      <c r="P33" s="80">
        <f>O33/O$39</f>
        <v>4.1308063383132504E-2</v>
      </c>
      <c r="Q33" s="81" t="s">
        <v>39</v>
      </c>
      <c r="R33" s="75"/>
      <c r="S33" s="75" t="s">
        <v>35</v>
      </c>
      <c r="T33" s="77">
        <f>C42/1000</f>
        <v>15171.166372222222</v>
      </c>
      <c r="U33" s="79">
        <f>C43</f>
        <v>0.24232113396908023</v>
      </c>
      <c r="W33" s="102"/>
      <c r="X33" s="102"/>
    </row>
    <row r="34" spans="1:48" ht="16" x14ac:dyDescent="0.2">
      <c r="A34" s="98" t="s">
        <v>40</v>
      </c>
      <c r="B34" s="13">
        <f>SUM(Härryda:Falköping!B34)</f>
        <v>0</v>
      </c>
      <c r="C34" s="13">
        <f>SUM(Härryda:Falköping!C34)</f>
        <v>12749630.800000001</v>
      </c>
      <c r="D34" s="13">
        <f>SUM(Härryda:Falköping!D34)</f>
        <v>0</v>
      </c>
      <c r="E34" s="162">
        <v>58341</v>
      </c>
      <c r="F34" s="13">
        <f>SUM(Härryda:Falköping!F34)</f>
        <v>1043812.924090318</v>
      </c>
      <c r="G34" s="13">
        <f>SUM(Härryda:Falköping!G34)</f>
        <v>0</v>
      </c>
      <c r="H34" s="162">
        <v>198152</v>
      </c>
      <c r="I34" s="13">
        <f>SUM(Härryda:Falköping!I34)</f>
        <v>0</v>
      </c>
      <c r="J34" s="13">
        <f>SUM(Härryda:Falköping!J34)</f>
        <v>0</v>
      </c>
      <c r="K34" s="13">
        <f>SUM(Härryda:Falköping!K34)</f>
        <v>0</v>
      </c>
      <c r="L34" s="13">
        <f>SUM(Härryda:Falköping!L34)</f>
        <v>0</v>
      </c>
      <c r="M34" s="13">
        <f>SUM(Härryda:Falköping!M34)</f>
        <v>0</v>
      </c>
      <c r="N34" s="13">
        <f>SUM(Härryda:Falköping!N34)</f>
        <v>404710</v>
      </c>
      <c r="O34" s="13">
        <f t="shared" si="2"/>
        <v>14454646.724090319</v>
      </c>
      <c r="P34" s="80">
        <f>O34/O$39</f>
        <v>0.2361528573668582</v>
      </c>
      <c r="Q34" s="81" t="s">
        <v>41</v>
      </c>
      <c r="R34" s="75"/>
      <c r="S34" s="75"/>
      <c r="T34" s="77">
        <f>SUM(T23:T33)</f>
        <v>62605.98973686809</v>
      </c>
      <c r="U34" s="78">
        <f>SUM(U23:U33)</f>
        <v>0.99997284678595966</v>
      </c>
      <c r="W34" s="102"/>
      <c r="X34" s="102"/>
    </row>
    <row r="35" spans="1:48" ht="16" x14ac:dyDescent="0.2">
      <c r="A35" s="98" t="s">
        <v>42</v>
      </c>
      <c r="B35" s="13">
        <f>SUM(Härryda:Falköping!B35)</f>
        <v>942512.78992219013</v>
      </c>
      <c r="C35" s="13">
        <f>SUM(Härryda:Falköping!C35)</f>
        <v>1179236</v>
      </c>
      <c r="D35" s="13">
        <f>SUM(Härryda:Falköping!D35)</f>
        <v>0</v>
      </c>
      <c r="E35" s="13">
        <f>SUM(Härryda:Falköping!E35)</f>
        <v>0</v>
      </c>
      <c r="F35" s="13">
        <f>SUM(Härryda:Falköping!F35)</f>
        <v>0</v>
      </c>
      <c r="G35" s="13">
        <f>SUM(Härryda:Falköping!G35)</f>
        <v>0</v>
      </c>
      <c r="H35" s="13">
        <f>SUM(Härryda:Falköping!H35)</f>
        <v>0</v>
      </c>
      <c r="I35" s="13">
        <f>SUM(Härryda:Falköping!I35)</f>
        <v>0</v>
      </c>
      <c r="J35" s="13">
        <f>SUM(Härryda:Falköping!J35)</f>
        <v>0</v>
      </c>
      <c r="K35" s="13">
        <f>SUM(Härryda:Falköping!K35)</f>
        <v>0</v>
      </c>
      <c r="L35" s="13">
        <f>SUM(Härryda:Falköping!L35)</f>
        <v>0</v>
      </c>
      <c r="M35" s="13">
        <f>SUM(Härryda:Falköping!M35)</f>
        <v>0</v>
      </c>
      <c r="N35" s="13">
        <f>SUM(Härryda:Falköping!N35)</f>
        <v>4411601.8</v>
      </c>
      <c r="O35" s="13">
        <f t="shared" si="2"/>
        <v>6533350.5899221897</v>
      </c>
      <c r="P35" s="80">
        <f>O35/O$39</f>
        <v>0.10673864532560355</v>
      </c>
      <c r="Q35" s="81" t="s">
        <v>43</v>
      </c>
      <c r="R35" s="81"/>
      <c r="S35" s="82" t="s">
        <v>127</v>
      </c>
      <c r="T35" s="180">
        <f>T27+T30</f>
        <v>16845.055</v>
      </c>
      <c r="U35" s="181">
        <f>U27+U30</f>
        <v>0.26905728466898488</v>
      </c>
      <c r="W35" s="102"/>
      <c r="X35" s="102"/>
    </row>
    <row r="36" spans="1:48" ht="16" x14ac:dyDescent="0.2">
      <c r="A36" s="98" t="s">
        <v>44</v>
      </c>
      <c r="B36" s="13">
        <f>SUM(Härryda:Falköping!B36)</f>
        <v>629044</v>
      </c>
      <c r="C36" s="13">
        <f>SUM(Härryda:Falköping!C36)</f>
        <v>28341</v>
      </c>
      <c r="D36" s="13">
        <f>SUM(Härryda:Falköping!D36)</f>
        <v>0</v>
      </c>
      <c r="E36" s="13">
        <f>SUM(Härryda:Falköping!E36)</f>
        <v>39600</v>
      </c>
      <c r="F36" s="13">
        <f>SUM(Härryda:Falköping!F36)</f>
        <v>0</v>
      </c>
      <c r="G36" s="13">
        <f>SUM(Härryda:Falköping!G36)</f>
        <v>1632164</v>
      </c>
      <c r="H36" s="13">
        <f>SUM(Härryda:Falköping!H36)</f>
        <v>0</v>
      </c>
      <c r="I36" s="13">
        <f>SUM(Härryda:Falköping!I36)</f>
        <v>0</v>
      </c>
      <c r="J36" s="13">
        <f>SUM(Härryda:Falköping!J36)</f>
        <v>0</v>
      </c>
      <c r="K36" s="13">
        <f>SUM(Härryda:Falköping!K36)</f>
        <v>0</v>
      </c>
      <c r="L36" s="13">
        <f>SUM(Härryda:Falköping!L36)</f>
        <v>0</v>
      </c>
      <c r="M36" s="13">
        <f>SUM(Härryda:Falköping!M36)</f>
        <v>0</v>
      </c>
      <c r="N36" s="13">
        <f>SUM(Härryda:Falköping!N36)</f>
        <v>3876936</v>
      </c>
      <c r="O36" s="13">
        <f t="shared" si="2"/>
        <v>6206085</v>
      </c>
      <c r="P36" s="81"/>
      <c r="Q36" s="81"/>
      <c r="R36" s="75"/>
      <c r="S36" s="83"/>
      <c r="T36" s="83"/>
      <c r="U36" s="83"/>
      <c r="W36" s="102"/>
      <c r="X36" s="102"/>
    </row>
    <row r="37" spans="1:48" ht="16" x14ac:dyDescent="0.2">
      <c r="A37" s="98" t="s">
        <v>45</v>
      </c>
      <c r="B37" s="13">
        <f>SUM(Härryda:Falköping!B37)</f>
        <v>3499780.6456959653</v>
      </c>
      <c r="C37" s="13">
        <f>SUM(Härryda:Falköping!C37)</f>
        <v>5607</v>
      </c>
      <c r="D37" s="13">
        <f>SUM(Härryda:Falköping!D37)</f>
        <v>0</v>
      </c>
      <c r="E37" s="13">
        <f>SUM(Härryda:Falköping!E37)</f>
        <v>27200</v>
      </c>
      <c r="F37" s="13">
        <f>SUM(Härryda:Falköping!F37)</f>
        <v>0</v>
      </c>
      <c r="G37" s="13">
        <f>SUM(Härryda:Falköping!G37)</f>
        <v>0</v>
      </c>
      <c r="H37" s="13">
        <f>SUM(Härryda:Falköping!H37)</f>
        <v>0</v>
      </c>
      <c r="I37" s="13">
        <f>SUM(Härryda:Falköping!I37)</f>
        <v>0</v>
      </c>
      <c r="J37" s="13">
        <f>SUM(Härryda:Falköping!J37)</f>
        <v>0</v>
      </c>
      <c r="K37" s="13">
        <f>SUM(Härryda:Falköping!K37)</f>
        <v>0</v>
      </c>
      <c r="L37" s="13">
        <f>SUM(Härryda:Falköping!L37)</f>
        <v>0</v>
      </c>
      <c r="M37" s="13">
        <f>SUM(Härryda:Falköping!M37)</f>
        <v>0</v>
      </c>
      <c r="N37" s="13">
        <f>SUM(Härryda:Falköping!N37)</f>
        <v>988993.8</v>
      </c>
      <c r="O37" s="13">
        <f t="shared" si="2"/>
        <v>4521581.4456959656</v>
      </c>
      <c r="P37" s="81"/>
      <c r="Q37" s="81"/>
      <c r="R37" s="75"/>
      <c r="S37" s="83"/>
      <c r="T37" s="83" t="s">
        <v>27</v>
      </c>
      <c r="U37" s="83" t="s">
        <v>28</v>
      </c>
      <c r="W37" s="102"/>
      <c r="X37" s="102"/>
    </row>
    <row r="38" spans="1:48" ht="16" x14ac:dyDescent="0.2">
      <c r="A38" s="98" t="s">
        <v>46</v>
      </c>
      <c r="B38" s="13">
        <f>SUM(Härryda:Falköping!B38)</f>
        <v>0</v>
      </c>
      <c r="C38" s="13">
        <f>SUM(Härryda:Falköping!C38)</f>
        <v>0</v>
      </c>
      <c r="D38" s="13">
        <f>SUM(Härryda:Falköping!D38)</f>
        <v>0</v>
      </c>
      <c r="E38" s="13">
        <f>SUM(Härryda:Falköping!E38)</f>
        <v>0</v>
      </c>
      <c r="F38" s="13">
        <f>SUM(Härryda:Falköping!F38)</f>
        <v>0</v>
      </c>
      <c r="G38" s="13">
        <f>SUM(Härryda:Falköping!G38)</f>
        <v>0</v>
      </c>
      <c r="H38" s="13">
        <f>SUM(Härryda:Falköping!H38)</f>
        <v>0</v>
      </c>
      <c r="I38" s="13">
        <f>SUM(Härryda:Falköping!I38)</f>
        <v>0</v>
      </c>
      <c r="J38" s="13">
        <f>SUM(Härryda:Falköping!J38)</f>
        <v>0</v>
      </c>
      <c r="K38" s="13">
        <f>SUM(Härryda:Falköping!K38)</f>
        <v>0</v>
      </c>
      <c r="L38" s="13">
        <f>SUM(Härryda:Falköping!L38)</f>
        <v>0</v>
      </c>
      <c r="M38" s="13">
        <f>SUM(Härryda:Falköping!M38)</f>
        <v>0</v>
      </c>
      <c r="N38" s="13">
        <f>SUM(Härryda:Falköping!N38)</f>
        <v>367945</v>
      </c>
      <c r="O38" s="13">
        <f t="shared" si="2"/>
        <v>367945</v>
      </c>
      <c r="P38" s="81">
        <f>SUM(P31:P35)</f>
        <v>0.81872539695027235</v>
      </c>
      <c r="Q38" s="81"/>
      <c r="R38" s="75"/>
      <c r="S38" s="83" t="s">
        <v>47</v>
      </c>
      <c r="T38" s="86">
        <f>O45/1000</f>
        <v>2553.0789565446685</v>
      </c>
      <c r="U38" s="83"/>
      <c r="W38" s="102"/>
      <c r="X38" s="102"/>
    </row>
    <row r="39" spans="1:48" ht="16" x14ac:dyDescent="0.2">
      <c r="A39" s="98" t="s">
        <v>16</v>
      </c>
      <c r="B39" s="13">
        <f>SUM(B31:B38)</f>
        <v>6744657.9234553315</v>
      </c>
      <c r="C39" s="13">
        <f>SUM(C31:C38)</f>
        <v>15083719</v>
      </c>
      <c r="D39" s="13">
        <f>SUM(D31:D38)</f>
        <v>1070625</v>
      </c>
      <c r="E39" s="13">
        <f>SUM(E31:E38)</f>
        <v>2214425</v>
      </c>
      <c r="F39" s="13">
        <f t="shared" ref="F39:O39" si="3">SUM(F31:F38)</f>
        <v>1151372.1240903181</v>
      </c>
      <c r="G39" s="13">
        <f t="shared" si="3"/>
        <v>2268222</v>
      </c>
      <c r="H39" s="13">
        <f t="shared" si="3"/>
        <v>222122</v>
      </c>
      <c r="I39" s="13">
        <f t="shared" si="3"/>
        <v>320967</v>
      </c>
      <c r="J39" s="13">
        <f t="shared" si="3"/>
        <v>0</v>
      </c>
      <c r="K39" s="13">
        <f t="shared" si="3"/>
        <v>133234</v>
      </c>
      <c r="L39" s="13">
        <f t="shared" si="3"/>
        <v>13950654</v>
      </c>
      <c r="M39" s="13">
        <f t="shared" si="3"/>
        <v>165149</v>
      </c>
      <c r="N39" s="13">
        <f t="shared" si="3"/>
        <v>17883711</v>
      </c>
      <c r="O39" s="13">
        <f t="shared" si="3"/>
        <v>61208858.047545649</v>
      </c>
      <c r="P39" s="75"/>
      <c r="Q39" s="75"/>
      <c r="R39" s="75"/>
      <c r="S39" s="83" t="s">
        <v>48</v>
      </c>
      <c r="T39" s="90">
        <f>O41/1000</f>
        <v>11095.611445695966</v>
      </c>
      <c r="U39" s="78">
        <f>P41</f>
        <v>0.18127460304972767</v>
      </c>
    </row>
    <row r="40" spans="1:48" x14ac:dyDescent="0.2">
      <c r="S40" s="83" t="s">
        <v>49</v>
      </c>
      <c r="T40" s="90">
        <f>O35/1000</f>
        <v>6533.35058992219</v>
      </c>
      <c r="U40" s="79">
        <f>P35</f>
        <v>0.10673864532560355</v>
      </c>
    </row>
    <row r="41" spans="1:48" ht="16" x14ac:dyDescent="0.2">
      <c r="A41" s="84" t="s">
        <v>50</v>
      </c>
      <c r="B41" s="85">
        <f>B38+B37+B36</f>
        <v>4128824.6456959653</v>
      </c>
      <c r="C41" s="85">
        <f t="shared" ref="C41:O41" si="4">C38+C37+C36</f>
        <v>33948</v>
      </c>
      <c r="D41" s="85">
        <f t="shared" si="4"/>
        <v>0</v>
      </c>
      <c r="E41" s="85">
        <f t="shared" si="4"/>
        <v>66800</v>
      </c>
      <c r="F41" s="85">
        <f t="shared" si="4"/>
        <v>0</v>
      </c>
      <c r="G41" s="85">
        <f t="shared" si="4"/>
        <v>1632164</v>
      </c>
      <c r="H41" s="85">
        <f t="shared" si="4"/>
        <v>0</v>
      </c>
      <c r="I41" s="85">
        <f t="shared" si="4"/>
        <v>0</v>
      </c>
      <c r="J41" s="85">
        <f t="shared" si="4"/>
        <v>0</v>
      </c>
      <c r="K41" s="85">
        <f t="shared" si="4"/>
        <v>0</v>
      </c>
      <c r="L41" s="85">
        <f t="shared" si="4"/>
        <v>0</v>
      </c>
      <c r="M41" s="85">
        <f t="shared" si="4"/>
        <v>0</v>
      </c>
      <c r="N41" s="85">
        <f t="shared" si="4"/>
        <v>5233874.8</v>
      </c>
      <c r="O41" s="85">
        <f t="shared" si="4"/>
        <v>11095611.445695966</v>
      </c>
      <c r="P41" s="80">
        <f>O41/O$39</f>
        <v>0.18127460304972767</v>
      </c>
      <c r="Q41" s="80" t="s">
        <v>51</v>
      </c>
      <c r="R41" s="83"/>
      <c r="S41" s="83" t="s">
        <v>52</v>
      </c>
      <c r="T41" s="90">
        <f>O33/1000</f>
        <v>2528.4193878371757</v>
      </c>
      <c r="U41" s="78">
        <f>P33</f>
        <v>4.1308063383132504E-2</v>
      </c>
    </row>
    <row r="42" spans="1:48" ht="16" x14ac:dyDescent="0.2">
      <c r="A42" s="87" t="s">
        <v>53</v>
      </c>
      <c r="B42" s="85"/>
      <c r="C42" s="88">
        <f>C39+C23+C10</f>
        <v>15171166.372222222</v>
      </c>
      <c r="D42" s="88">
        <f t="shared" ref="D42:L42" si="5">D39+D23+D10</f>
        <v>1070625</v>
      </c>
      <c r="E42" s="88">
        <f t="shared" si="5"/>
        <v>2894401</v>
      </c>
      <c r="F42" s="88">
        <f t="shared" si="5"/>
        <v>1220317.1240903181</v>
      </c>
      <c r="G42" s="88">
        <f t="shared" si="5"/>
        <v>5935280.3555555558</v>
      </c>
      <c r="H42" s="88">
        <f t="shared" si="5"/>
        <v>225614</v>
      </c>
      <c r="I42" s="88">
        <f t="shared" si="5"/>
        <v>320967</v>
      </c>
      <c r="J42" s="88">
        <f t="shared" si="5"/>
        <v>25419</v>
      </c>
      <c r="K42" s="88">
        <f t="shared" si="5"/>
        <v>3112164</v>
      </c>
      <c r="L42" s="88">
        <f t="shared" si="5"/>
        <v>14108440</v>
      </c>
      <c r="M42" s="88">
        <f>M23</f>
        <v>1700</v>
      </c>
      <c r="N42" s="88">
        <f>N39+N23-B6-B7+N45</f>
        <v>18521595.884999998</v>
      </c>
      <c r="O42" s="89">
        <f>SUM(C42:N42)</f>
        <v>62607689.736868091</v>
      </c>
      <c r="P42" s="83"/>
      <c r="Q42" s="83"/>
      <c r="R42" s="83"/>
      <c r="S42" s="83" t="s">
        <v>34</v>
      </c>
      <c r="T42" s="90">
        <f>O31/1000</f>
        <v>976.29600000000005</v>
      </c>
      <c r="U42" s="78">
        <f>P31</f>
        <v>1.5950240392356863E-2</v>
      </c>
    </row>
    <row r="43" spans="1:48" ht="16" x14ac:dyDescent="0.2">
      <c r="A43" s="87" t="s">
        <v>54</v>
      </c>
      <c r="B43" s="85"/>
      <c r="C43" s="80">
        <f t="shared" ref="C43:N43" si="6">C42/$O42</f>
        <v>0.24232113396908023</v>
      </c>
      <c r="D43" s="80">
        <f t="shared" si="6"/>
        <v>1.7100535165882922E-2</v>
      </c>
      <c r="E43" s="80">
        <f t="shared" si="6"/>
        <v>4.6230758748083307E-2</v>
      </c>
      <c r="F43" s="80">
        <f t="shared" si="6"/>
        <v>1.9491489451521866E-2</v>
      </c>
      <c r="G43" s="80">
        <f t="shared" si="6"/>
        <v>9.4801139931863967E-2</v>
      </c>
      <c r="H43" s="80">
        <f t="shared" si="6"/>
        <v>3.6036148426531319E-3</v>
      </c>
      <c r="I43" s="80">
        <f t="shared" si="6"/>
        <v>5.1266386181790481E-3</v>
      </c>
      <c r="J43" s="80">
        <f t="shared" si="6"/>
        <v>4.0600443981933727E-4</v>
      </c>
      <c r="K43" s="80">
        <f t="shared" si="6"/>
        <v>4.9708973659306342E-2</v>
      </c>
      <c r="L43" s="80">
        <f t="shared" si="6"/>
        <v>0.22534675946830052</v>
      </c>
      <c r="M43" s="80">
        <f t="shared" si="6"/>
        <v>2.7153214040397865E-5</v>
      </c>
      <c r="N43" s="80">
        <f t="shared" si="6"/>
        <v>0.29583579849126901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25620.533899999999</v>
      </c>
      <c r="U43" s="79">
        <f>P32</f>
        <v>0.41857559048232124</v>
      </c>
    </row>
    <row r="44" spans="1:48" x14ac:dyDescent="0.2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14454.646724090318</v>
      </c>
      <c r="U44" s="79">
        <f>P34</f>
        <v>0.2361528573668582</v>
      </c>
    </row>
    <row r="45" spans="1:48" ht="16" x14ac:dyDescent="0.2">
      <c r="A45" s="91" t="s">
        <v>57</v>
      </c>
      <c r="B45" s="91">
        <f>B23-B39</f>
        <v>1122382.0765446685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1430696.8800000001</v>
      </c>
      <c r="O45" s="89">
        <f>B45+N45</f>
        <v>2553078.9565446684</v>
      </c>
      <c r="P45" s="83"/>
      <c r="Q45" s="83"/>
      <c r="R45" s="83"/>
      <c r="S45" s="83" t="s">
        <v>58</v>
      </c>
      <c r="T45" s="90">
        <f>SUM(T39:T44)</f>
        <v>61208.85804754564</v>
      </c>
      <c r="U45" s="78">
        <f>SUM(U39:U44)</f>
        <v>1</v>
      </c>
    </row>
    <row r="46" spans="1:48" ht="16" x14ac:dyDescent="0.2">
      <c r="A46" s="91"/>
      <c r="B46" s="91"/>
      <c r="C46" s="91"/>
      <c r="D46" s="91"/>
      <c r="E46" s="91"/>
      <c r="F46" s="91"/>
      <c r="G46" s="91"/>
      <c r="H46" s="91"/>
      <c r="J46" s="91"/>
      <c r="K46" s="91"/>
      <c r="L46" s="91"/>
      <c r="M46" s="91"/>
      <c r="N46" s="7"/>
      <c r="O46" s="91"/>
      <c r="P46" s="83"/>
      <c r="Q46" s="83"/>
      <c r="R46" s="83"/>
    </row>
    <row r="47" spans="1:48" x14ac:dyDescent="0.2">
      <c r="A47" s="100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9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7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00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9"/>
      <c r="C49" s="1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9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102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9"/>
      <c r="C52" s="17"/>
      <c r="D52" s="16"/>
      <c r="E52" s="16"/>
      <c r="F52" s="16"/>
      <c r="G52" s="173"/>
      <c r="H52" s="173"/>
      <c r="I52" s="138"/>
      <c r="J52" s="138"/>
      <c r="K52" s="16"/>
      <c r="L52" s="16"/>
      <c r="M52" s="16"/>
      <c r="N52" s="16"/>
      <c r="O52" s="16"/>
      <c r="P52" s="17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9"/>
      <c r="C53" s="17"/>
      <c r="D53" s="16"/>
      <c r="E53" s="16"/>
      <c r="F53" s="16"/>
      <c r="G53" s="173"/>
      <c r="H53" s="173"/>
      <c r="I53" s="138"/>
      <c r="J53" s="138"/>
      <c r="K53" s="16"/>
      <c r="L53" s="16"/>
      <c r="M53" s="16"/>
      <c r="N53" s="16"/>
      <c r="O53" s="16"/>
      <c r="P53" s="17"/>
      <c r="Q53" s="16"/>
      <c r="R53" s="171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16"/>
      <c r="C54" s="16"/>
      <c r="D54" s="16"/>
      <c r="E54" s="16"/>
      <c r="F54" s="16"/>
      <c r="G54" s="173"/>
      <c r="H54" s="173"/>
      <c r="I54" s="138"/>
      <c r="J54" s="138"/>
      <c r="K54" s="16"/>
      <c r="L54" s="16"/>
      <c r="M54" s="16"/>
      <c r="N54" s="16"/>
      <c r="O54" s="16"/>
      <c r="P54" s="16"/>
      <c r="Q54" s="16"/>
      <c r="R54" s="9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16"/>
      <c r="C55" s="16"/>
      <c r="D55" s="16"/>
      <c r="E55" s="17"/>
      <c r="F55" s="17"/>
      <c r="G55" s="173"/>
      <c r="H55" s="173"/>
      <c r="I55" s="174"/>
      <c r="J55" s="174"/>
      <c r="K55" s="17"/>
      <c r="L55" s="17"/>
      <c r="M55" s="17"/>
      <c r="N55" s="16"/>
      <c r="O55" s="16"/>
      <c r="P55" s="16"/>
      <c r="Q55" s="16"/>
      <c r="R55" s="172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7"/>
      <c r="F56" s="17"/>
      <c r="G56" s="173"/>
      <c r="H56" s="173"/>
      <c r="I56" s="175"/>
      <c r="J56" s="174"/>
      <c r="K56" s="17"/>
      <c r="L56" s="17"/>
      <c r="M56" s="17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ht="16" x14ac:dyDescent="0.2">
      <c r="A57" s="83"/>
      <c r="B57" s="83"/>
      <c r="C57" s="106"/>
      <c r="D57" s="106"/>
      <c r="E57" s="106"/>
      <c r="F57" s="16"/>
      <c r="G57" s="138"/>
      <c r="H57" s="176"/>
      <c r="I57" s="141"/>
      <c r="J57" s="138"/>
      <c r="K57" s="106"/>
      <c r="L57" s="91"/>
      <c r="M57" s="91"/>
      <c r="N57" s="107"/>
      <c r="O57" s="83"/>
      <c r="P57" s="91"/>
      <c r="Q57" s="78"/>
      <c r="R57" s="83"/>
      <c r="S57" s="83"/>
      <c r="T57" s="91"/>
      <c r="U57" s="108"/>
    </row>
    <row r="58" spans="1:48" ht="16" x14ac:dyDescent="0.2">
      <c r="A58" s="83"/>
      <c r="B58" s="83"/>
      <c r="C58" s="106"/>
      <c r="D58" s="106"/>
      <c r="E58" s="106"/>
      <c r="F58" s="17"/>
      <c r="G58" s="138"/>
      <c r="H58" s="176"/>
      <c r="I58" s="141"/>
      <c r="J58" s="138"/>
      <c r="K58" s="106"/>
      <c r="L58" s="91"/>
      <c r="M58" s="91"/>
      <c r="N58" s="107"/>
      <c r="O58" s="83"/>
      <c r="P58" s="91"/>
      <c r="Q58" s="78"/>
      <c r="R58" s="83"/>
      <c r="S58" s="83"/>
      <c r="T58" s="91"/>
      <c r="U58" s="108"/>
    </row>
    <row r="59" spans="1:48" ht="16" x14ac:dyDescent="0.2">
      <c r="A59" s="83"/>
      <c r="B59" s="83"/>
      <c r="C59" s="106"/>
      <c r="D59" s="106"/>
      <c r="E59" s="106"/>
      <c r="F59" s="16"/>
      <c r="G59" s="138"/>
      <c r="H59" s="176"/>
      <c r="I59" s="141"/>
      <c r="J59" s="138"/>
      <c r="K59" s="106"/>
      <c r="L59" s="91"/>
      <c r="M59" s="91"/>
      <c r="N59" s="107"/>
      <c r="O59" s="83"/>
      <c r="P59" s="91"/>
      <c r="Q59" s="78"/>
      <c r="R59" s="83"/>
      <c r="S59" s="83"/>
      <c r="T59" s="91"/>
      <c r="U59" s="108"/>
    </row>
    <row r="60" spans="1:48" ht="16" x14ac:dyDescent="0.2">
      <c r="A60" s="87"/>
      <c r="B60" s="83"/>
      <c r="C60" s="106"/>
      <c r="D60" s="106"/>
      <c r="E60" s="106"/>
      <c r="F60" s="16"/>
      <c r="G60" s="138"/>
      <c r="H60" s="176"/>
      <c r="I60" s="141"/>
      <c r="J60" s="138"/>
      <c r="K60" s="106"/>
      <c r="L60" s="91"/>
      <c r="M60" s="91"/>
      <c r="N60" s="107"/>
      <c r="O60" s="83"/>
      <c r="P60" s="91"/>
      <c r="Q60" s="78"/>
      <c r="R60" s="83"/>
      <c r="S60" s="83"/>
      <c r="T60" s="91"/>
      <c r="U60" s="108"/>
    </row>
    <row r="61" spans="1:48" ht="16" x14ac:dyDescent="0.2">
      <c r="A61" s="83"/>
      <c r="B61" s="83"/>
      <c r="C61" s="83"/>
      <c r="D61" s="83"/>
      <c r="E61" s="83"/>
      <c r="F61" s="16"/>
      <c r="G61" s="138"/>
      <c r="H61" s="177"/>
      <c r="I61" s="141"/>
      <c r="J61" s="138"/>
      <c r="K61" s="91"/>
      <c r="L61" s="91"/>
      <c r="M61" s="91"/>
      <c r="N61" s="107"/>
      <c r="O61" s="83"/>
      <c r="P61" s="91"/>
      <c r="Q61" s="78"/>
      <c r="R61" s="83"/>
      <c r="S61" s="83"/>
      <c r="T61" s="109"/>
      <c r="U61" s="110"/>
    </row>
    <row r="62" spans="1:48" x14ac:dyDescent="0.2">
      <c r="A62" s="83"/>
      <c r="B62" s="83"/>
      <c r="C62" s="83"/>
      <c r="D62" s="83"/>
      <c r="E62" s="83"/>
      <c r="F62" s="16"/>
      <c r="G62" s="138"/>
      <c r="H62" s="177"/>
      <c r="I62" s="141"/>
      <c r="J62" s="138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91"/>
    </row>
    <row r="63" spans="1:48" x14ac:dyDescent="0.2">
      <c r="A63" s="83"/>
      <c r="B63" s="111"/>
      <c r="C63" s="111"/>
      <c r="D63" s="111"/>
      <c r="E63" s="111"/>
      <c r="F63" s="111"/>
      <c r="G63" s="178"/>
      <c r="H63" s="178"/>
      <c r="I63" s="179"/>
      <c r="J63" s="177"/>
      <c r="K63" s="83"/>
      <c r="L63" s="83"/>
      <c r="M63" s="83"/>
      <c r="N63" s="83"/>
      <c r="O63" s="83"/>
      <c r="P63" s="83"/>
      <c r="Q63" s="83"/>
      <c r="R63" s="83"/>
      <c r="S63" s="83"/>
      <c r="T63" s="111"/>
      <c r="U63" s="112"/>
    </row>
    <row r="64" spans="1:48" ht="16" x14ac:dyDescent="0.2">
      <c r="A64" s="83"/>
      <c r="B64" s="91"/>
      <c r="C64" s="91"/>
      <c r="D64" s="91"/>
      <c r="E64" s="91"/>
      <c r="F64" s="91"/>
      <c r="G64" s="175"/>
      <c r="H64" s="175"/>
      <c r="I64" s="175"/>
      <c r="J64" s="177"/>
      <c r="K64" s="83"/>
      <c r="L64" s="83"/>
      <c r="M64" s="83"/>
      <c r="N64" s="83"/>
      <c r="O64" s="83"/>
      <c r="P64" s="91"/>
      <c r="Q64" s="107"/>
      <c r="R64" s="83"/>
      <c r="S64" s="83"/>
      <c r="T64" s="91"/>
      <c r="U64" s="108"/>
    </row>
    <row r="65" spans="1:21" ht="16" x14ac:dyDescent="0.2">
      <c r="A65" s="83"/>
      <c r="B65" s="91"/>
      <c r="C65" s="83"/>
      <c r="D65" s="91"/>
      <c r="E65" s="113"/>
      <c r="F65" s="113"/>
      <c r="G65" s="91"/>
      <c r="H65" s="91"/>
      <c r="I65" s="91"/>
      <c r="J65" s="83"/>
      <c r="K65" s="83"/>
      <c r="L65" s="83"/>
      <c r="M65" s="83"/>
      <c r="N65" s="83"/>
      <c r="O65" s="83"/>
      <c r="P65" s="91"/>
      <c r="Q65" s="107"/>
      <c r="R65" s="83"/>
      <c r="S65" s="83"/>
      <c r="T65" s="91"/>
      <c r="U65" s="108"/>
    </row>
    <row r="66" spans="1:21" ht="16" x14ac:dyDescent="0.2">
      <c r="A66" s="83"/>
      <c r="B66" s="91"/>
      <c r="C66" s="91"/>
      <c r="D66" s="91"/>
      <c r="E66" s="91"/>
      <c r="F66" s="91"/>
      <c r="G66" s="91"/>
      <c r="H66" s="91"/>
      <c r="I66" s="91"/>
      <c r="J66" s="83"/>
      <c r="K66" s="83"/>
      <c r="L66" s="83"/>
      <c r="M66" s="83"/>
      <c r="N66" s="83"/>
      <c r="O66" s="83"/>
      <c r="P66" s="91"/>
      <c r="Q66" s="107"/>
      <c r="R66" s="83"/>
      <c r="S66" s="83"/>
      <c r="T66" s="91"/>
      <c r="U66" s="108"/>
    </row>
    <row r="67" spans="1:21" ht="16" x14ac:dyDescent="0.2">
      <c r="A67" s="114"/>
      <c r="B67" s="91"/>
      <c r="D67" s="91"/>
      <c r="E67" s="91"/>
      <c r="F67" s="91"/>
      <c r="G67" s="91"/>
      <c r="H67" s="91"/>
      <c r="I67" s="91"/>
      <c r="J67" s="83"/>
      <c r="K67" s="83"/>
      <c r="L67" s="83"/>
      <c r="M67" s="83"/>
      <c r="N67" s="83"/>
      <c r="O67" s="83"/>
      <c r="P67" s="91"/>
      <c r="Q67" s="107"/>
      <c r="R67" s="83"/>
      <c r="S67" s="83"/>
      <c r="T67" s="91"/>
      <c r="U67" s="108"/>
    </row>
    <row r="68" spans="1:21" ht="16" x14ac:dyDescent="0.2">
      <c r="D68" s="97"/>
      <c r="E68" s="91"/>
      <c r="F68" s="91"/>
      <c r="G68" s="91"/>
      <c r="H68" s="91"/>
      <c r="I68" s="91"/>
      <c r="J68" s="83"/>
      <c r="K68" s="83"/>
      <c r="L68" s="83"/>
      <c r="M68" s="83"/>
      <c r="N68" s="83"/>
      <c r="O68" s="83"/>
      <c r="P68" s="91"/>
      <c r="Q68" s="107"/>
      <c r="R68" s="83"/>
      <c r="S68" s="83"/>
      <c r="T68" s="91"/>
      <c r="U68" s="108"/>
    </row>
    <row r="69" spans="1:21" ht="16" x14ac:dyDescent="0.2">
      <c r="D69" s="91"/>
      <c r="E69" s="91"/>
      <c r="F69" s="91"/>
      <c r="G69" s="91"/>
      <c r="H69" s="91"/>
      <c r="I69" s="91"/>
      <c r="J69" s="83"/>
      <c r="K69" s="83"/>
      <c r="L69" s="83"/>
      <c r="M69" s="83"/>
      <c r="N69" s="83"/>
      <c r="O69" s="83"/>
      <c r="P69" s="91"/>
      <c r="Q69" s="107"/>
      <c r="R69" s="83"/>
      <c r="S69" s="83"/>
      <c r="T69" s="91"/>
      <c r="U69" s="108"/>
    </row>
    <row r="70" spans="1:21" ht="16" x14ac:dyDescent="0.2">
      <c r="A70" s="83"/>
      <c r="B70" s="109"/>
      <c r="C70" s="87"/>
      <c r="D70" s="87"/>
      <c r="E70" s="91"/>
      <c r="F70" s="109"/>
      <c r="G70" s="109"/>
      <c r="H70" s="109"/>
      <c r="I70" s="109"/>
      <c r="J70" s="83"/>
      <c r="K70" s="83"/>
      <c r="L70" s="83"/>
      <c r="M70" s="83"/>
      <c r="N70" s="83"/>
      <c r="O70" s="83"/>
      <c r="P70" s="109"/>
      <c r="Q70" s="115"/>
      <c r="R70" s="83"/>
      <c r="S70" s="116"/>
      <c r="T70" s="109"/>
      <c r="U70" s="115"/>
    </row>
    <row r="71" spans="1:21" x14ac:dyDescent="0.2">
      <c r="C71" s="117"/>
      <c r="D71" s="117"/>
      <c r="E71" s="91"/>
    </row>
    <row r="72" spans="1:21" x14ac:dyDescent="0.2">
      <c r="E72" s="91"/>
    </row>
    <row r="73" spans="1:21" x14ac:dyDescent="0.2">
      <c r="E73" s="91"/>
    </row>
    <row r="74" spans="1:21" x14ac:dyDescent="0.2">
      <c r="D74" s="97"/>
      <c r="E74" s="97"/>
      <c r="F74" s="97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66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100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267697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267797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8706</v>
      </c>
      <c r="C18" s="10">
        <v>129</v>
      </c>
      <c r="D18" s="10">
        <v>0</v>
      </c>
      <c r="E18" s="10">
        <v>0</v>
      </c>
      <c r="F18" s="10">
        <v>0</v>
      </c>
      <c r="G18" s="10">
        <v>9360</v>
      </c>
      <c r="H18" s="10">
        <v>0</v>
      </c>
      <c r="I18" s="10"/>
      <c r="J18" s="10"/>
      <c r="K18" s="10"/>
      <c r="L18" s="10"/>
      <c r="M18" s="10"/>
      <c r="N18" s="10"/>
      <c r="O18" s="10">
        <v>9489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513.240924090318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8706</v>
      </c>
      <c r="C23" s="10">
        <v>129</v>
      </c>
      <c r="D23" s="10">
        <v>0</v>
      </c>
      <c r="E23" s="10">
        <v>0</v>
      </c>
      <c r="F23" s="10">
        <v>0</v>
      </c>
      <c r="G23" s="10">
        <v>9360</v>
      </c>
      <c r="H23" s="10">
        <v>0</v>
      </c>
      <c r="I23" s="10"/>
      <c r="J23" s="10"/>
      <c r="K23" s="10"/>
      <c r="L23" s="10"/>
      <c r="M23" s="10"/>
      <c r="N23" s="10"/>
      <c r="O23" s="10">
        <v>9489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188.09820000000002</v>
      </c>
      <c r="U24" s="78">
        <f>N43</f>
        <v>0.36649103992124227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50.98</v>
      </c>
      <c r="U25" s="79">
        <f>G43</f>
        <v>9.9329569422700104E-2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18.537724090318001</v>
      </c>
      <c r="U27" s="78">
        <f>F43</f>
        <v>3.6118951588232681E-2</v>
      </c>
    </row>
    <row r="28" spans="1:21" x14ac:dyDescent="0.2">
      <c r="A28" s="4" t="s">
        <v>66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5.7240000000000002</v>
      </c>
      <c r="U28" s="78">
        <f>E43</f>
        <v>1.1152657029728039E-2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9392</v>
      </c>
      <c r="D31" s="10">
        <v>0</v>
      </c>
      <c r="E31" s="10">
        <v>0</v>
      </c>
      <c r="F31" s="10">
        <v>948</v>
      </c>
      <c r="G31" s="10">
        <v>0</v>
      </c>
      <c r="H31" s="10">
        <v>0</v>
      </c>
      <c r="I31" s="10"/>
      <c r="J31" s="10"/>
      <c r="K31" s="10"/>
      <c r="L31" s="10"/>
      <c r="N31" s="10">
        <v>13273</v>
      </c>
      <c r="O31" s="10">
        <v>23613</v>
      </c>
      <c r="P31" s="80">
        <f>O31/O$39</f>
        <v>4.746264876675102E-2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v>1297</v>
      </c>
      <c r="D32" s="10">
        <v>0</v>
      </c>
      <c r="E32" s="121">
        <v>5724</v>
      </c>
      <c r="F32" s="10">
        <v>0</v>
      </c>
      <c r="G32" s="121">
        <v>5724</v>
      </c>
      <c r="H32" s="10">
        <v>0</v>
      </c>
      <c r="I32" s="10"/>
      <c r="J32" s="10"/>
      <c r="K32" s="10"/>
      <c r="L32" s="10"/>
      <c r="N32" s="10">
        <v>18433</v>
      </c>
      <c r="O32" s="121">
        <f>O39-SUM(O33:O38,O31)</f>
        <v>31178.275909682037</v>
      </c>
      <c r="P32" s="80">
        <f>O32/O$39</f>
        <v>6.2669019550844585E-2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2664</v>
      </c>
      <c r="C33" s="10">
        <v>222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10580</v>
      </c>
      <c r="O33" s="10">
        <v>13466</v>
      </c>
      <c r="P33" s="80">
        <f>O33/O$39</f>
        <v>2.7066955841827351E-2</v>
      </c>
      <c r="Q33" s="81" t="s">
        <v>39</v>
      </c>
      <c r="R33" s="75"/>
      <c r="S33" s="75" t="s">
        <v>35</v>
      </c>
      <c r="T33" s="77">
        <f>C42/1000</f>
        <v>249.90100000000001</v>
      </c>
      <c r="U33" s="79">
        <f>C43</f>
        <v>0.48690778203809687</v>
      </c>
    </row>
    <row r="34" spans="1:48" x14ac:dyDescent="0.2">
      <c r="A34" s="8" t="s">
        <v>40</v>
      </c>
      <c r="B34" s="10">
        <v>0</v>
      </c>
      <c r="C34" s="121">
        <v>237386</v>
      </c>
      <c r="D34" s="10">
        <v>0</v>
      </c>
      <c r="E34" s="10">
        <v>0</v>
      </c>
      <c r="F34" s="121">
        <f>0.074097563*C34</f>
        <v>17589.724090318003</v>
      </c>
      <c r="G34" s="10">
        <v>0</v>
      </c>
      <c r="H34" s="10">
        <v>0</v>
      </c>
      <c r="I34" s="10"/>
      <c r="J34" s="10"/>
      <c r="K34" s="10"/>
      <c r="L34" s="10"/>
      <c r="N34" s="10">
        <v>354</v>
      </c>
      <c r="O34" s="121">
        <f>SUM(B34:N34)</f>
        <v>255329.72409031799</v>
      </c>
      <c r="P34" s="80">
        <f>O34/O$39</f>
        <v>0.51321835489815815</v>
      </c>
      <c r="Q34" s="81" t="s">
        <v>41</v>
      </c>
      <c r="R34" s="75"/>
      <c r="S34" s="75"/>
      <c r="T34" s="77">
        <f>SUM(T24:T33)</f>
        <v>513.240924090318</v>
      </c>
      <c r="U34" s="78">
        <f>SUM(U24:U33)</f>
        <v>1</v>
      </c>
    </row>
    <row r="35" spans="1:48" x14ac:dyDescent="0.2">
      <c r="A35" s="8" t="s">
        <v>42</v>
      </c>
      <c r="B35" s="10">
        <v>1176</v>
      </c>
      <c r="C35" s="10">
        <v>829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39822</v>
      </c>
      <c r="O35" s="10">
        <v>41827</v>
      </c>
      <c r="P35" s="80">
        <f>O35/O$39</f>
        <v>8.4073188919954897E-2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81</v>
      </c>
      <c r="C36" s="10">
        <v>429</v>
      </c>
      <c r="D36" s="10">
        <v>0</v>
      </c>
      <c r="E36" s="10">
        <v>0</v>
      </c>
      <c r="F36" s="10">
        <v>0</v>
      </c>
      <c r="G36" s="10">
        <v>35896</v>
      </c>
      <c r="H36" s="10">
        <v>0</v>
      </c>
      <c r="I36" s="10"/>
      <c r="J36" s="10"/>
      <c r="K36" s="10"/>
      <c r="L36" s="10"/>
      <c r="N36" s="10">
        <v>59056</v>
      </c>
      <c r="O36" s="10">
        <v>95462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3768</v>
      </c>
      <c r="C37" s="10">
        <v>217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4823</v>
      </c>
      <c r="O37" s="10">
        <v>8808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27823</v>
      </c>
      <c r="O38" s="10">
        <v>27823</v>
      </c>
      <c r="P38" s="81">
        <f>SUM(P31:P35)</f>
        <v>0.73449016797753597</v>
      </c>
      <c r="Q38" s="81"/>
      <c r="R38" s="75"/>
      <c r="S38" s="83" t="s">
        <v>47</v>
      </c>
      <c r="T38" s="86">
        <f>O45/1000</f>
        <v>14.950200000000001</v>
      </c>
      <c r="U38" s="83"/>
    </row>
    <row r="39" spans="1:48" x14ac:dyDescent="0.2">
      <c r="A39" s="8" t="s">
        <v>16</v>
      </c>
      <c r="B39" s="10">
        <v>7689</v>
      </c>
      <c r="C39" s="10">
        <v>249772</v>
      </c>
      <c r="D39" s="10">
        <v>0</v>
      </c>
      <c r="E39" s="121">
        <f>E32</f>
        <v>5724</v>
      </c>
      <c r="F39" s="121">
        <f>SUM(F31:F38)</f>
        <v>18537.724090318003</v>
      </c>
      <c r="G39" s="121">
        <f>SUM(G31:G37)</f>
        <v>41620</v>
      </c>
      <c r="H39" s="10">
        <v>0</v>
      </c>
      <c r="I39" s="10"/>
      <c r="J39" s="10"/>
      <c r="K39" s="10"/>
      <c r="L39" s="10"/>
      <c r="N39" s="10">
        <v>174165</v>
      </c>
      <c r="O39" s="10">
        <v>497507</v>
      </c>
      <c r="P39" s="75"/>
      <c r="Q39" s="75"/>
      <c r="R39" s="75"/>
      <c r="S39" s="83" t="s">
        <v>48</v>
      </c>
      <c r="T39" s="90">
        <f>O41/1000</f>
        <v>132.09299999999999</v>
      </c>
      <c r="U39" s="78">
        <f>P41</f>
        <v>0.26550983202246403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41.826999999999998</v>
      </c>
      <c r="U40" s="79">
        <f>P35</f>
        <v>8.4073188919954897E-2</v>
      </c>
    </row>
    <row r="41" spans="1:48" x14ac:dyDescent="0.2">
      <c r="A41" s="14" t="s">
        <v>50</v>
      </c>
      <c r="B41" s="85">
        <f>B38+B37+B36</f>
        <v>3849</v>
      </c>
      <c r="C41" s="85">
        <f t="shared" ref="C41:O41" si="0">C38+C37+C36</f>
        <v>646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35896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91702</v>
      </c>
      <c r="O41" s="85">
        <f t="shared" si="0"/>
        <v>132093</v>
      </c>
      <c r="P41" s="80">
        <f>O41/O$39</f>
        <v>0.26550983202246403</v>
      </c>
      <c r="Q41" s="80" t="s">
        <v>51</v>
      </c>
      <c r="R41" s="83"/>
      <c r="S41" s="83" t="s">
        <v>52</v>
      </c>
      <c r="T41" s="90">
        <f>O33/1000</f>
        <v>13.465999999999999</v>
      </c>
      <c r="U41" s="78">
        <f>P33</f>
        <v>2.7066955841827351E-2</v>
      </c>
    </row>
    <row r="42" spans="1:48" x14ac:dyDescent="0.2">
      <c r="A42" s="15" t="s">
        <v>53</v>
      </c>
      <c r="B42" s="85"/>
      <c r="C42" s="88">
        <f>C39+C23+C10</f>
        <v>249901</v>
      </c>
      <c r="D42" s="88">
        <f t="shared" ref="D42:M42" si="1">D39+D23+D10</f>
        <v>0</v>
      </c>
      <c r="E42" s="88">
        <f t="shared" si="1"/>
        <v>5724</v>
      </c>
      <c r="F42" s="88">
        <f t="shared" si="1"/>
        <v>18537.724090318003</v>
      </c>
      <c r="G42" s="88">
        <f t="shared" si="1"/>
        <v>50980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188098.2</v>
      </c>
      <c r="O42" s="89">
        <f>SUM(C42:N42)</f>
        <v>513240.92409031803</v>
      </c>
      <c r="P42" s="83"/>
      <c r="Q42" s="83"/>
      <c r="R42" s="83"/>
      <c r="S42" s="83" t="s">
        <v>34</v>
      </c>
      <c r="T42" s="90">
        <f>O31/1000</f>
        <v>23.613</v>
      </c>
      <c r="U42" s="78">
        <f>P31</f>
        <v>4.746264876675102E-2</v>
      </c>
    </row>
    <row r="43" spans="1:48" x14ac:dyDescent="0.2">
      <c r="A43" s="15" t="s">
        <v>54</v>
      </c>
      <c r="B43" s="85"/>
      <c r="C43" s="80">
        <f t="shared" ref="C43:N43" si="2">C42/$O42</f>
        <v>0.48690778203809687</v>
      </c>
      <c r="D43" s="80">
        <f t="shared" si="2"/>
        <v>0</v>
      </c>
      <c r="E43" s="80">
        <f t="shared" si="2"/>
        <v>1.1152657029728039E-2</v>
      </c>
      <c r="F43" s="80">
        <f t="shared" si="2"/>
        <v>3.6118951588232681E-2</v>
      </c>
      <c r="G43" s="80">
        <f t="shared" si="2"/>
        <v>9.9329569422700104E-2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0.36649103992124227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31.178275909682036</v>
      </c>
      <c r="U43" s="79">
        <f>P32</f>
        <v>6.2669019550844585E-2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255.329724090318</v>
      </c>
      <c r="U44" s="79">
        <f>P34</f>
        <v>0.51321835489815815</v>
      </c>
    </row>
    <row r="45" spans="1:48" x14ac:dyDescent="0.2">
      <c r="A45" s="6" t="s">
        <v>57</v>
      </c>
      <c r="B45" s="91">
        <f>B23-B39</f>
        <v>1017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13933.2</v>
      </c>
      <c r="O45" s="89">
        <f>B45+N45</f>
        <v>14950.2</v>
      </c>
      <c r="P45" s="83"/>
      <c r="Q45" s="83"/>
      <c r="R45" s="83"/>
      <c r="S45" s="83" t="s">
        <v>58</v>
      </c>
      <c r="T45" s="90">
        <f>SUM(T39:T44)</f>
        <v>497.50700000000006</v>
      </c>
      <c r="U45" s="78">
        <f>SUM(U39:U44)</f>
        <v>1</v>
      </c>
    </row>
    <row r="46" spans="1:48" x14ac:dyDescent="0.2">
      <c r="A46" s="6"/>
      <c r="B46" s="93">
        <f>B45/B23</f>
        <v>0.11681598897312198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67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77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512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152429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153018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8241</v>
      </c>
      <c r="C18" s="10">
        <v>318</v>
      </c>
      <c r="D18" s="10">
        <v>0</v>
      </c>
      <c r="E18" s="10">
        <v>0</v>
      </c>
      <c r="F18" s="10">
        <v>0</v>
      </c>
      <c r="G18" s="10">
        <v>9184</v>
      </c>
      <c r="H18" s="10">
        <v>0</v>
      </c>
      <c r="I18" s="10"/>
      <c r="J18" s="10"/>
      <c r="K18" s="10"/>
      <c r="L18" s="10"/>
      <c r="M18" s="10"/>
      <c r="N18" s="10"/>
      <c r="O18" s="10">
        <v>9503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145.33148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8241</v>
      </c>
      <c r="C23" s="10">
        <v>318</v>
      </c>
      <c r="D23" s="10">
        <v>0</v>
      </c>
      <c r="E23" s="10">
        <v>0</v>
      </c>
      <c r="F23" s="10">
        <v>0</v>
      </c>
      <c r="G23" s="10">
        <v>9184</v>
      </c>
      <c r="H23" s="10">
        <v>0</v>
      </c>
      <c r="I23" s="10"/>
      <c r="J23" s="10"/>
      <c r="K23" s="10"/>
      <c r="L23" s="10"/>
      <c r="M23" s="10"/>
      <c r="N23" s="10"/>
      <c r="O23" s="10">
        <v>9503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55.194480000000006</v>
      </c>
      <c r="U24" s="78">
        <f>N43</f>
        <v>0.37978337521918859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65.804000000000002</v>
      </c>
      <c r="U25" s="79">
        <f>G43</f>
        <v>0.45278559056854023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1.804</v>
      </c>
      <c r="U27" s="78">
        <f>F43</f>
        <v>1.2413002330947154E-2</v>
      </c>
    </row>
    <row r="28" spans="1:21" x14ac:dyDescent="0.2">
      <c r="A28" s="4" t="s">
        <v>67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1432</v>
      </c>
      <c r="D31" s="10">
        <v>0</v>
      </c>
      <c r="E31" s="10">
        <v>0</v>
      </c>
      <c r="F31" s="10">
        <v>125</v>
      </c>
      <c r="G31" s="10">
        <v>0</v>
      </c>
      <c r="H31" s="10">
        <v>0</v>
      </c>
      <c r="I31" s="10"/>
      <c r="J31" s="10"/>
      <c r="K31" s="10"/>
      <c r="L31" s="10"/>
      <c r="N31" s="10">
        <v>4324</v>
      </c>
      <c r="O31" s="10">
        <v>5881</v>
      </c>
      <c r="P31" s="80">
        <f>O31/O$39</f>
        <v>4.2383141872901021E-2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f>C39-SUM(C33:C38,C31)</f>
        <v>1008</v>
      </c>
      <c r="D32" s="10">
        <v>0</v>
      </c>
      <c r="E32" s="10">
        <v>0</v>
      </c>
      <c r="F32" s="10">
        <v>0</v>
      </c>
      <c r="G32" s="121">
        <f>O32-N32-C32</f>
        <v>38320</v>
      </c>
      <c r="H32" s="10">
        <v>0</v>
      </c>
      <c r="I32" s="10"/>
      <c r="J32" s="10"/>
      <c r="K32" s="10"/>
      <c r="L32" s="10"/>
      <c r="N32" s="121">
        <v>8371</v>
      </c>
      <c r="O32" s="121">
        <f>O39-SUM(O33:O38,O31)</f>
        <v>47699</v>
      </c>
      <c r="P32" s="80">
        <f>O32/O$39</f>
        <v>0.34375675636720043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2770</v>
      </c>
      <c r="C33" s="10">
        <v>40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5078</v>
      </c>
      <c r="O33" s="10">
        <v>7888</v>
      </c>
      <c r="P33" s="80">
        <f>O33/O$39</f>
        <v>5.6847172775623747E-2</v>
      </c>
      <c r="Q33" s="81" t="s">
        <v>39</v>
      </c>
      <c r="R33" s="75"/>
      <c r="S33" s="75" t="s">
        <v>35</v>
      </c>
      <c r="T33" s="77">
        <f>C42/1000</f>
        <v>22.529</v>
      </c>
      <c r="U33" s="79">
        <f>C43</f>
        <v>0.15501803188132399</v>
      </c>
    </row>
    <row r="34" spans="1:48" x14ac:dyDescent="0.2">
      <c r="A34" s="8" t="s">
        <v>40</v>
      </c>
      <c r="B34" s="10">
        <v>0</v>
      </c>
      <c r="C34" s="10">
        <v>19362</v>
      </c>
      <c r="D34" s="10">
        <v>0</v>
      </c>
      <c r="E34" s="10">
        <v>0</v>
      </c>
      <c r="F34" s="10">
        <v>1678</v>
      </c>
      <c r="G34" s="10">
        <v>0</v>
      </c>
      <c r="H34" s="10">
        <v>0</v>
      </c>
      <c r="I34" s="10"/>
      <c r="J34" s="10"/>
      <c r="K34" s="10"/>
      <c r="L34" s="10"/>
      <c r="N34" s="10">
        <v>0</v>
      </c>
      <c r="O34" s="10">
        <v>21041</v>
      </c>
      <c r="P34" s="80">
        <f>O34/O$39</f>
        <v>0.15163810374897302</v>
      </c>
      <c r="Q34" s="81" t="s">
        <v>41</v>
      </c>
      <c r="R34" s="75"/>
      <c r="S34" s="75"/>
      <c r="T34" s="77">
        <f>SUM(T24:T33)</f>
        <v>145.33148</v>
      </c>
      <c r="U34" s="78">
        <f>SUM(U24:U33)</f>
        <v>1</v>
      </c>
    </row>
    <row r="35" spans="1:48" x14ac:dyDescent="0.2">
      <c r="A35" s="8" t="s">
        <v>42</v>
      </c>
      <c r="B35" s="10">
        <v>1125</v>
      </c>
      <c r="C35" s="10">
        <v>56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10632</v>
      </c>
      <c r="O35" s="10">
        <v>11812</v>
      </c>
      <c r="P35" s="80">
        <f>O35/O$39</f>
        <v>8.5126623329826026E-2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154</v>
      </c>
      <c r="C36" s="121">
        <v>285</v>
      </c>
      <c r="D36" s="10">
        <v>0</v>
      </c>
      <c r="E36" s="10">
        <v>0</v>
      </c>
      <c r="F36" s="10">
        <v>0</v>
      </c>
      <c r="G36" s="121">
        <v>18300</v>
      </c>
      <c r="H36" s="10">
        <v>0</v>
      </c>
      <c r="I36" s="10"/>
      <c r="J36" s="10"/>
      <c r="K36" s="10"/>
      <c r="L36" s="10"/>
      <c r="N36" s="10">
        <v>17297</v>
      </c>
      <c r="O36" s="121">
        <f>SUM(B36:N36)</f>
        <v>36036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2969</v>
      </c>
      <c r="C37" s="10">
        <v>28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2108</v>
      </c>
      <c r="O37" s="10">
        <v>5105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3296</v>
      </c>
      <c r="O38" s="10">
        <v>3296</v>
      </c>
      <c r="P38" s="81">
        <f>SUM(P31:P35)</f>
        <v>0.67975179809452424</v>
      </c>
      <c r="Q38" s="81"/>
      <c r="R38" s="75"/>
      <c r="S38" s="83" t="s">
        <v>47</v>
      </c>
      <c r="T38" s="86">
        <f>O45/1000</f>
        <v>5.3114799999999995</v>
      </c>
      <c r="U38" s="83"/>
    </row>
    <row r="39" spans="1:48" x14ac:dyDescent="0.2">
      <c r="A39" s="8" t="s">
        <v>16</v>
      </c>
      <c r="B39" s="10">
        <v>7018</v>
      </c>
      <c r="C39" s="10">
        <v>22211</v>
      </c>
      <c r="D39" s="10">
        <v>0</v>
      </c>
      <c r="E39" s="10">
        <v>0</v>
      </c>
      <c r="F39" s="10">
        <v>1804</v>
      </c>
      <c r="G39" s="121">
        <f>SUM(G32:G36)</f>
        <v>56620</v>
      </c>
      <c r="H39" s="10">
        <v>0</v>
      </c>
      <c r="I39" s="10"/>
      <c r="J39" s="10"/>
      <c r="K39" s="10"/>
      <c r="L39" s="10"/>
      <c r="N39" s="121">
        <f>SUM(N31:N38)</f>
        <v>51106</v>
      </c>
      <c r="O39" s="10">
        <v>138758</v>
      </c>
      <c r="P39" s="75"/>
      <c r="Q39" s="75"/>
      <c r="R39" s="75"/>
      <c r="S39" s="83" t="s">
        <v>48</v>
      </c>
      <c r="T39" s="90">
        <f>O41/1000</f>
        <v>44.436999999999998</v>
      </c>
      <c r="U39" s="78">
        <f>P41</f>
        <v>0.3202482019054757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11.811999999999999</v>
      </c>
      <c r="U40" s="79">
        <f>P35</f>
        <v>8.5126623329826026E-2</v>
      </c>
    </row>
    <row r="41" spans="1:48" x14ac:dyDescent="0.2">
      <c r="A41" s="14" t="s">
        <v>50</v>
      </c>
      <c r="B41" s="85">
        <f>B38+B37+B36</f>
        <v>3123</v>
      </c>
      <c r="C41" s="85">
        <f t="shared" ref="C41:O41" si="0">C38+C37+C36</f>
        <v>313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18300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22701</v>
      </c>
      <c r="O41" s="85">
        <f t="shared" si="0"/>
        <v>44437</v>
      </c>
      <c r="P41" s="80">
        <f>O41/O$39</f>
        <v>0.3202482019054757</v>
      </c>
      <c r="Q41" s="80" t="s">
        <v>51</v>
      </c>
      <c r="R41" s="83"/>
      <c r="S41" s="83" t="s">
        <v>52</v>
      </c>
      <c r="T41" s="90">
        <f>O33/1000</f>
        <v>7.8879999999999999</v>
      </c>
      <c r="U41" s="78">
        <f>P33</f>
        <v>5.6847172775623747E-2</v>
      </c>
    </row>
    <row r="42" spans="1:48" x14ac:dyDescent="0.2">
      <c r="A42" s="15" t="s">
        <v>53</v>
      </c>
      <c r="B42" s="85"/>
      <c r="C42" s="88">
        <f>C39+C23+C10</f>
        <v>22529</v>
      </c>
      <c r="D42" s="88">
        <f t="shared" ref="D42:M42" si="1">D39+D23+D10</f>
        <v>0</v>
      </c>
      <c r="E42" s="88">
        <f t="shared" si="1"/>
        <v>0</v>
      </c>
      <c r="F42" s="88">
        <f t="shared" si="1"/>
        <v>1804</v>
      </c>
      <c r="G42" s="88">
        <f t="shared" si="1"/>
        <v>65804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55194.48</v>
      </c>
      <c r="O42" s="89">
        <f>SUM(C42:N42)</f>
        <v>145331.48000000001</v>
      </c>
      <c r="P42" s="83"/>
      <c r="Q42" s="83"/>
      <c r="R42" s="83"/>
      <c r="S42" s="83" t="s">
        <v>34</v>
      </c>
      <c r="T42" s="90">
        <f>O31/1000</f>
        <v>5.8810000000000002</v>
      </c>
      <c r="U42" s="78">
        <f>P31</f>
        <v>4.2383141872901021E-2</v>
      </c>
    </row>
    <row r="43" spans="1:48" x14ac:dyDescent="0.2">
      <c r="A43" s="15" t="s">
        <v>54</v>
      </c>
      <c r="B43" s="85"/>
      <c r="C43" s="80">
        <f t="shared" ref="C43:N43" si="2">C42/$O42</f>
        <v>0.15501803188132399</v>
      </c>
      <c r="D43" s="80">
        <f t="shared" si="2"/>
        <v>0</v>
      </c>
      <c r="E43" s="80">
        <f t="shared" si="2"/>
        <v>0</v>
      </c>
      <c r="F43" s="80">
        <f t="shared" si="2"/>
        <v>1.2413002330947154E-2</v>
      </c>
      <c r="G43" s="80">
        <f t="shared" si="2"/>
        <v>0.45278559056854023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0.37978337521918859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47.698999999999998</v>
      </c>
      <c r="U43" s="79">
        <f>P32</f>
        <v>0.34375675636720043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21.041</v>
      </c>
      <c r="U44" s="79">
        <f>P34</f>
        <v>0.15163810374897302</v>
      </c>
    </row>
    <row r="45" spans="1:48" x14ac:dyDescent="0.2">
      <c r="A45" s="6" t="s">
        <v>57</v>
      </c>
      <c r="B45" s="91">
        <f>B23-B39</f>
        <v>1223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4088.48</v>
      </c>
      <c r="O45" s="89">
        <f>B45+N45</f>
        <v>5311.48</v>
      </c>
      <c r="P45" s="83"/>
      <c r="Q45" s="83"/>
      <c r="R45" s="83"/>
      <c r="S45" s="83" t="s">
        <v>58</v>
      </c>
      <c r="T45" s="90">
        <f>SUM(T39:T44)</f>
        <v>138.75800000000001</v>
      </c>
      <c r="U45" s="78">
        <f>SUM(U39:U44)</f>
        <v>0.99999999999999989</v>
      </c>
    </row>
    <row r="46" spans="1:48" x14ac:dyDescent="0.2">
      <c r="A46" s="6"/>
      <c r="B46" s="93">
        <f>B45/B23</f>
        <v>0.14840431986409416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7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7"/>
      <c r="H48" s="17"/>
      <c r="I48" s="16"/>
      <c r="J48" s="16"/>
      <c r="K48" s="16"/>
      <c r="L48" s="16"/>
      <c r="M48" s="16"/>
      <c r="N48" s="16"/>
      <c r="O48" s="16"/>
      <c r="P48" s="17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7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7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I46"/>
  <sheetViews>
    <sheetView topLeftCell="F7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8.83203125" style="2"/>
    <col min="15" max="15" width="10.832031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68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92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659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121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872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3">
        <v>4500</v>
      </c>
      <c r="C18" s="10">
        <v>0</v>
      </c>
      <c r="D18" s="10">
        <v>0</v>
      </c>
      <c r="E18" s="10">
        <v>0</v>
      </c>
      <c r="F18" s="10">
        <v>0</v>
      </c>
      <c r="G18" s="123">
        <v>5000</v>
      </c>
      <c r="H18" s="10">
        <v>0</v>
      </c>
      <c r="I18" s="10"/>
      <c r="J18" s="10"/>
      <c r="K18" s="10"/>
      <c r="L18" s="10"/>
      <c r="M18" s="10"/>
      <c r="N18" s="10"/>
      <c r="O18" s="123">
        <v>5000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146.71332000000001</v>
      </c>
      <c r="U21" s="75"/>
    </row>
    <row r="22" spans="1:21" x14ac:dyDescent="0.2">
      <c r="A22" s="8" t="s">
        <v>25</v>
      </c>
      <c r="B22" s="123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3">
        <v>4500</v>
      </c>
      <c r="C23" s="10">
        <v>0</v>
      </c>
      <c r="D23" s="10">
        <v>0</v>
      </c>
      <c r="E23" s="10">
        <v>0</v>
      </c>
      <c r="F23" s="10">
        <v>0</v>
      </c>
      <c r="G23" s="123">
        <v>5000</v>
      </c>
      <c r="H23" s="10">
        <v>0</v>
      </c>
      <c r="I23" s="10"/>
      <c r="J23" s="10"/>
      <c r="K23" s="10"/>
      <c r="L23" s="10"/>
      <c r="M23" s="10"/>
      <c r="N23" s="10"/>
      <c r="O23" s="123">
        <v>5000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81.166320000000013</v>
      </c>
      <c r="U24" s="78">
        <f>N43</f>
        <v>0.55323074960064977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25.024000000000001</v>
      </c>
      <c r="U25" s="79">
        <f>G43</f>
        <v>0.17056392698358949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2.5779999999999998</v>
      </c>
      <c r="U27" s="78">
        <f>F43</f>
        <v>1.7571683334546583E-2</v>
      </c>
    </row>
    <row r="28" spans="1:21" x14ac:dyDescent="0.2">
      <c r="A28" s="4" t="s">
        <v>68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4302</v>
      </c>
      <c r="D31" s="10">
        <v>0</v>
      </c>
      <c r="E31" s="10">
        <v>0</v>
      </c>
      <c r="F31" s="10">
        <v>443</v>
      </c>
      <c r="G31" s="10">
        <v>0</v>
      </c>
      <c r="H31" s="10">
        <v>0</v>
      </c>
      <c r="I31" s="10"/>
      <c r="J31" s="10"/>
      <c r="K31" s="10"/>
      <c r="L31" s="10"/>
      <c r="N31" s="10">
        <v>8537</v>
      </c>
      <c r="O31" s="10">
        <v>13281</v>
      </c>
      <c r="P31" s="80">
        <f>O31/O$39</f>
        <v>9.504691156579427E-2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v>4120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21">
        <v>22344</v>
      </c>
      <c r="O32" s="121">
        <f>O39-SUM(O33:O38,O31)</f>
        <v>26464</v>
      </c>
      <c r="P32" s="80">
        <f>O32/O$39</f>
        <v>0.18939247554229197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21" x14ac:dyDescent="0.2">
      <c r="A33" s="8" t="s">
        <v>38</v>
      </c>
      <c r="B33" s="123">
        <v>3900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7684</v>
      </c>
      <c r="O33" s="123">
        <v>11584</v>
      </c>
      <c r="P33" s="80">
        <f>O33/O$39</f>
        <v>8.2902147698077022E-2</v>
      </c>
      <c r="Q33" s="81" t="s">
        <v>39</v>
      </c>
      <c r="R33" s="75"/>
      <c r="S33" s="75" t="s">
        <v>35</v>
      </c>
      <c r="T33" s="77">
        <f>C42/1000</f>
        <v>37.945</v>
      </c>
      <c r="U33" s="79">
        <f>C43</f>
        <v>0.25863364008121414</v>
      </c>
    </row>
    <row r="34" spans="1:21" x14ac:dyDescent="0.2">
      <c r="A34" s="8" t="s">
        <v>40</v>
      </c>
      <c r="B34" s="10">
        <v>0</v>
      </c>
      <c r="C34" s="121">
        <v>28831</v>
      </c>
      <c r="D34" s="10">
        <v>0</v>
      </c>
      <c r="E34" s="10">
        <v>0</v>
      </c>
      <c r="F34" s="10">
        <v>2135</v>
      </c>
      <c r="G34" s="10">
        <v>0</v>
      </c>
      <c r="H34" s="10">
        <v>0</v>
      </c>
      <c r="I34" s="10"/>
      <c r="J34" s="10"/>
      <c r="K34" s="10"/>
      <c r="L34" s="10"/>
      <c r="N34" s="10">
        <v>0</v>
      </c>
      <c r="O34" s="10">
        <f>(SUM(C34:N34))+0</f>
        <v>30966</v>
      </c>
      <c r="P34" s="80">
        <f>O34/O$39</f>
        <v>0.22161152500161024</v>
      </c>
      <c r="Q34" s="81" t="s">
        <v>41</v>
      </c>
      <c r="R34" s="75"/>
      <c r="S34" s="75"/>
      <c r="T34" s="77">
        <f>SUM(T24:T33)</f>
        <v>146.71332000000001</v>
      </c>
      <c r="U34" s="78">
        <f>SUM(U24:U33)</f>
        <v>1</v>
      </c>
    </row>
    <row r="35" spans="1:21" x14ac:dyDescent="0.2">
      <c r="A35" s="8" t="s">
        <v>42</v>
      </c>
      <c r="B35" s="10">
        <v>0</v>
      </c>
      <c r="C35" s="10">
        <v>528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9238</v>
      </c>
      <c r="O35" s="10">
        <v>9767</v>
      </c>
      <c r="P35" s="80">
        <f>O35/O$39</f>
        <v>6.9898590863874163E-2</v>
      </c>
      <c r="Q35" s="81" t="s">
        <v>43</v>
      </c>
      <c r="R35" s="81"/>
      <c r="S35" s="82"/>
      <c r="T35" s="82"/>
      <c r="U35" s="82"/>
    </row>
    <row r="36" spans="1:21" x14ac:dyDescent="0.2">
      <c r="A36" s="8" t="s">
        <v>44</v>
      </c>
      <c r="B36" s="10">
        <v>0</v>
      </c>
      <c r="C36" s="10">
        <v>164</v>
      </c>
      <c r="D36" s="10">
        <v>0</v>
      </c>
      <c r="E36" s="10">
        <v>0</v>
      </c>
      <c r="F36" s="10">
        <v>0</v>
      </c>
      <c r="G36" s="10">
        <v>20024</v>
      </c>
      <c r="H36" s="10">
        <v>0</v>
      </c>
      <c r="I36" s="10"/>
      <c r="J36" s="10"/>
      <c r="K36" s="10"/>
      <c r="L36" s="10"/>
      <c r="N36" s="10">
        <v>21849</v>
      </c>
      <c r="O36" s="10">
        <v>42037</v>
      </c>
      <c r="P36" s="81"/>
      <c r="Q36" s="81"/>
      <c r="R36" s="75"/>
      <c r="S36" s="83"/>
      <c r="T36" s="83"/>
      <c r="U36" s="83"/>
    </row>
    <row r="37" spans="1:21" x14ac:dyDescent="0.2">
      <c r="A37" s="8" t="s">
        <v>45</v>
      </c>
      <c r="B37" s="123">
        <v>130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2471</v>
      </c>
      <c r="O37" s="123">
        <v>2601</v>
      </c>
      <c r="P37" s="81"/>
      <c r="Q37" s="81"/>
      <c r="R37" s="75"/>
      <c r="S37" s="83"/>
      <c r="T37" s="83" t="s">
        <v>27</v>
      </c>
      <c r="U37" s="83" t="s">
        <v>28</v>
      </c>
    </row>
    <row r="38" spans="1:21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3031</v>
      </c>
      <c r="O38" s="10">
        <v>3031</v>
      </c>
      <c r="P38" s="81">
        <f>SUM(P31:P35)</f>
        <v>0.65885165067164764</v>
      </c>
      <c r="Q38" s="81"/>
      <c r="R38" s="75"/>
      <c r="S38" s="83" t="s">
        <v>47</v>
      </c>
      <c r="T38" s="86">
        <f>O45/1000</f>
        <v>6.4823199999999996</v>
      </c>
      <c r="U38" s="83"/>
    </row>
    <row r="39" spans="1:21" x14ac:dyDescent="0.2">
      <c r="A39" s="8" t="s">
        <v>16</v>
      </c>
      <c r="B39" s="123">
        <v>4030</v>
      </c>
      <c r="C39" s="121">
        <f>SUM(C31:C38)</f>
        <v>37945</v>
      </c>
      <c r="D39" s="10">
        <v>0</v>
      </c>
      <c r="E39" s="10">
        <v>0</v>
      </c>
      <c r="F39" s="10">
        <v>2578</v>
      </c>
      <c r="G39" s="10">
        <v>20024</v>
      </c>
      <c r="H39" s="10">
        <v>0</v>
      </c>
      <c r="I39" s="10"/>
      <c r="J39" s="10"/>
      <c r="K39" s="10"/>
      <c r="L39" s="10"/>
      <c r="N39" s="121">
        <f>SUM(N31:N38)</f>
        <v>75154</v>
      </c>
      <c r="O39" s="123">
        <v>139731</v>
      </c>
      <c r="P39" s="75"/>
      <c r="Q39" s="75"/>
      <c r="R39" s="75"/>
      <c r="S39" s="83" t="s">
        <v>48</v>
      </c>
      <c r="T39" s="90">
        <f>O41/1000</f>
        <v>47.668999999999997</v>
      </c>
      <c r="U39" s="78">
        <f>P41</f>
        <v>0.34114834932835231</v>
      </c>
    </row>
    <row r="40" spans="1:21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9.7669999999999995</v>
      </c>
      <c r="U40" s="79">
        <f>P35</f>
        <v>6.9898590863874163E-2</v>
      </c>
    </row>
    <row r="41" spans="1:21" x14ac:dyDescent="0.2">
      <c r="A41" s="14" t="s">
        <v>50</v>
      </c>
      <c r="B41" s="85">
        <f>B38+B37+B36</f>
        <v>130</v>
      </c>
      <c r="C41" s="85">
        <f t="shared" ref="C41:O41" si="0">C38+C37+C36</f>
        <v>164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20024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27351</v>
      </c>
      <c r="O41" s="85">
        <f t="shared" si="0"/>
        <v>47669</v>
      </c>
      <c r="P41" s="80">
        <f>O41/O$39</f>
        <v>0.34114834932835231</v>
      </c>
      <c r="Q41" s="80" t="s">
        <v>51</v>
      </c>
      <c r="R41" s="83"/>
      <c r="S41" s="83" t="s">
        <v>52</v>
      </c>
      <c r="T41" s="90">
        <f>O33/1000</f>
        <v>11.584</v>
      </c>
      <c r="U41" s="78">
        <f>P33</f>
        <v>8.2902147698077022E-2</v>
      </c>
    </row>
    <row r="42" spans="1:21" x14ac:dyDescent="0.2">
      <c r="A42" s="15" t="s">
        <v>53</v>
      </c>
      <c r="B42" s="85"/>
      <c r="C42" s="88">
        <f>C39+C23+C10</f>
        <v>37945</v>
      </c>
      <c r="D42" s="88">
        <f t="shared" ref="D42:M42" si="1">D39+D23+D10</f>
        <v>0</v>
      </c>
      <c r="E42" s="88">
        <f t="shared" si="1"/>
        <v>0</v>
      </c>
      <c r="F42" s="88">
        <f t="shared" si="1"/>
        <v>2578</v>
      </c>
      <c r="G42" s="88">
        <f t="shared" si="1"/>
        <v>25024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81166.320000000007</v>
      </c>
      <c r="O42" s="89">
        <f>SUM(C42:N42)</f>
        <v>146713.32</v>
      </c>
      <c r="P42" s="83"/>
      <c r="Q42" s="83"/>
      <c r="R42" s="83"/>
      <c r="S42" s="83" t="s">
        <v>34</v>
      </c>
      <c r="T42" s="90">
        <f>O31/1000</f>
        <v>13.281000000000001</v>
      </c>
      <c r="U42" s="78">
        <f>P31</f>
        <v>9.504691156579427E-2</v>
      </c>
    </row>
    <row r="43" spans="1:21" x14ac:dyDescent="0.2">
      <c r="A43" s="15" t="s">
        <v>54</v>
      </c>
      <c r="B43" s="85"/>
      <c r="C43" s="80">
        <f t="shared" ref="C43:N43" si="2">C42/$O42</f>
        <v>0.25863364008121414</v>
      </c>
      <c r="D43" s="80">
        <f t="shared" si="2"/>
        <v>0</v>
      </c>
      <c r="E43" s="80">
        <f t="shared" si="2"/>
        <v>0</v>
      </c>
      <c r="F43" s="80">
        <f t="shared" si="2"/>
        <v>1.7571683334546583E-2</v>
      </c>
      <c r="G43" s="80">
        <f t="shared" si="2"/>
        <v>0.17056392698358949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0.55323074960064977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26.463999999999999</v>
      </c>
      <c r="U43" s="79">
        <f>P32</f>
        <v>0.18939247554229197</v>
      </c>
    </row>
    <row r="44" spans="1:21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30.966000000000001</v>
      </c>
      <c r="U44" s="79">
        <f>P34</f>
        <v>0.22161152500161024</v>
      </c>
    </row>
    <row r="45" spans="1:21" x14ac:dyDescent="0.2">
      <c r="A45" s="6" t="s">
        <v>57</v>
      </c>
      <c r="B45" s="91">
        <f>B23-B39</f>
        <v>470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6012.32</v>
      </c>
      <c r="O45" s="89">
        <f>B45+N45</f>
        <v>6482.32</v>
      </c>
      <c r="P45" s="83"/>
      <c r="Q45" s="83"/>
      <c r="R45" s="83"/>
      <c r="S45" s="83" t="s">
        <v>58</v>
      </c>
      <c r="T45" s="90">
        <f>SUM(T39:T44)</f>
        <v>139.73099999999999</v>
      </c>
      <c r="U45" s="78">
        <f>SUM(U39:U44)</f>
        <v>1</v>
      </c>
    </row>
    <row r="46" spans="1:21" x14ac:dyDescent="0.2">
      <c r="A46" s="6"/>
      <c r="B46" s="93">
        <f>B45/B23</f>
        <v>0.10444444444444445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</sheetData>
  <pageMargins left="0.75" right="0.75" top="0.75" bottom="0.5" header="0.5" footer="0.75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V70"/>
  <sheetViews>
    <sheetView topLeftCell="I14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4" width="8.83203125" style="2"/>
    <col min="5" max="5" width="9.33203125" style="2" customWidth="1"/>
    <col min="6" max="11" width="8.83203125" style="2"/>
    <col min="12" max="13" width="5.5" style="2" customWidth="1"/>
    <col min="14" max="14" width="8.83203125" style="2"/>
    <col min="15" max="15" width="12.6640625" style="2" customWidth="1"/>
    <col min="16" max="16" width="11.6640625" style="2" bestFit="1" customWidth="1"/>
    <col min="17" max="18" width="8.83203125" style="2"/>
    <col min="19" max="19" width="9.83203125" style="2" bestFit="1" customWidth="1"/>
    <col min="20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69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191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191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A16" s="5" t="s">
        <v>107</v>
      </c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4322</v>
      </c>
      <c r="C18" s="119">
        <f>37*9.95</f>
        <v>368.15</v>
      </c>
      <c r="D18" s="10">
        <v>0</v>
      </c>
      <c r="E18" s="10">
        <v>0</v>
      </c>
      <c r="F18" s="10">
        <v>0</v>
      </c>
      <c r="G18" s="119">
        <f>4.8*1086</f>
        <v>5212.8</v>
      </c>
      <c r="H18" s="10">
        <v>0</v>
      </c>
      <c r="I18" s="10"/>
      <c r="J18" s="10"/>
      <c r="K18" s="10"/>
      <c r="L18" s="10"/>
      <c r="M18" s="10"/>
      <c r="N18" s="10"/>
      <c r="O18" s="119">
        <f>SUM(C18:G18)</f>
        <v>5580.95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59">
        <f>57151</f>
        <v>57151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743.98903000000007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SUM(B17:B22)</f>
        <v>61473</v>
      </c>
      <c r="C23" s="119">
        <f>C18</f>
        <v>368.15</v>
      </c>
      <c r="D23" s="10">
        <v>0</v>
      </c>
      <c r="E23" s="10">
        <v>0</v>
      </c>
      <c r="F23" s="10">
        <v>0</v>
      </c>
      <c r="G23" s="119">
        <f>G18</f>
        <v>5212.8</v>
      </c>
      <c r="H23" s="10">
        <v>0</v>
      </c>
      <c r="I23" s="10"/>
      <c r="J23" s="10"/>
      <c r="K23" s="10"/>
      <c r="L23" s="10"/>
      <c r="M23" s="10"/>
      <c r="N23" s="10"/>
      <c r="O23" s="119">
        <f>O18</f>
        <v>5580.95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287.38908000000004</v>
      </c>
      <c r="U24" s="78">
        <f>N43</f>
        <v>0.38628134073428477</v>
      </c>
    </row>
    <row r="25" spans="1:21" x14ac:dyDescent="0.2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31.268799999999999</v>
      </c>
      <c r="U25" s="79">
        <f>G43</f>
        <v>4.2028576684793317E-2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9.9760000000000009</v>
      </c>
      <c r="U27" s="78">
        <f>F43</f>
        <v>1.340879985824522E-2</v>
      </c>
    </row>
    <row r="28" spans="1:21" x14ac:dyDescent="0.2">
      <c r="A28" s="4" t="s">
        <v>69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254.178</v>
      </c>
      <c r="U28" s="78">
        <f>E43</f>
        <v>0.34164213415888672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A30" s="5" t="s">
        <v>108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6875</v>
      </c>
      <c r="D31" s="10">
        <v>0</v>
      </c>
      <c r="E31" s="10">
        <v>0</v>
      </c>
      <c r="F31" s="10">
        <v>708</v>
      </c>
      <c r="G31" s="10">
        <v>0</v>
      </c>
      <c r="H31" s="10">
        <v>0</v>
      </c>
      <c r="I31" s="10"/>
      <c r="J31" s="10"/>
      <c r="K31" s="10"/>
      <c r="L31" s="10"/>
      <c r="N31" s="10">
        <v>4849</v>
      </c>
      <c r="O31" s="10">
        <v>12432</v>
      </c>
      <c r="P31" s="80">
        <f>O31/O$39</f>
        <v>1.6059504909439221E-2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0">
        <v>18153</v>
      </c>
      <c r="D32" s="10">
        <v>0</v>
      </c>
      <c r="E32" s="147">
        <v>254178</v>
      </c>
      <c r="F32" s="10">
        <v>0</v>
      </c>
      <c r="G32" s="10">
        <v>218</v>
      </c>
      <c r="H32" s="10">
        <v>0</v>
      </c>
      <c r="I32" s="10"/>
      <c r="J32" s="10"/>
      <c r="K32" s="10"/>
      <c r="L32" s="10"/>
      <c r="N32" s="121">
        <f>O32-SUM(B32:H32)</f>
        <v>102305</v>
      </c>
      <c r="O32" s="10">
        <v>374854</v>
      </c>
      <c r="P32" s="80">
        <f>O32/O$39</f>
        <v>0.48423179322095644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18000</v>
      </c>
      <c r="C33" s="10">
        <v>12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17603</v>
      </c>
      <c r="O33" s="119">
        <v>35615</v>
      </c>
      <c r="P33" s="80">
        <f>O33/O$39</f>
        <v>4.6007019574459289E-2</v>
      </c>
      <c r="Q33" s="81" t="s">
        <v>39</v>
      </c>
      <c r="R33" s="75"/>
      <c r="S33" s="75" t="s">
        <v>35</v>
      </c>
      <c r="T33" s="77">
        <f>C42/1000</f>
        <v>161.17714999999998</v>
      </c>
      <c r="U33" s="79">
        <f>C43</f>
        <v>0.21663914856378996</v>
      </c>
    </row>
    <row r="34" spans="1:48" x14ac:dyDescent="0.2">
      <c r="A34" s="8" t="s">
        <v>40</v>
      </c>
      <c r="B34" s="10">
        <v>0</v>
      </c>
      <c r="C34" s="10">
        <v>127194</v>
      </c>
      <c r="D34" s="10">
        <v>0</v>
      </c>
      <c r="E34" s="10">
        <v>0</v>
      </c>
      <c r="F34" s="10">
        <v>9267</v>
      </c>
      <c r="G34" s="10">
        <v>0</v>
      </c>
      <c r="H34" s="10">
        <v>0</v>
      </c>
      <c r="I34" s="10"/>
      <c r="J34" s="10"/>
      <c r="K34" s="10"/>
      <c r="L34" s="10"/>
      <c r="N34" s="10">
        <v>500</v>
      </c>
      <c r="O34" s="10">
        <v>136962</v>
      </c>
      <c r="P34" s="80">
        <f>O34/O$39</f>
        <v>0.176925829424599</v>
      </c>
      <c r="Q34" s="81" t="s">
        <v>41</v>
      </c>
      <c r="R34" s="75"/>
      <c r="S34" s="75"/>
      <c r="T34" s="77">
        <f>SUM(T24:T33)</f>
        <v>743.98902999999996</v>
      </c>
      <c r="U34" s="78">
        <f>SUM(U24:U33)</f>
        <v>1</v>
      </c>
    </row>
    <row r="35" spans="1:48" x14ac:dyDescent="0.2">
      <c r="A35" s="8" t="s">
        <v>42</v>
      </c>
      <c r="B35" s="119">
        <v>2000</v>
      </c>
      <c r="C35" s="10">
        <v>8019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20665</v>
      </c>
      <c r="O35" s="119">
        <v>30684</v>
      </c>
      <c r="P35" s="80">
        <f>O35/O$39</f>
        <v>3.9637214337293523E-2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4000</v>
      </c>
      <c r="C36" s="10">
        <v>534</v>
      </c>
      <c r="D36" s="10">
        <v>0</v>
      </c>
      <c r="E36" s="10">
        <v>0</v>
      </c>
      <c r="F36" s="10">
        <v>0</v>
      </c>
      <c r="G36" s="10">
        <v>25838</v>
      </c>
      <c r="H36" s="10">
        <v>0</v>
      </c>
      <c r="I36" s="10"/>
      <c r="J36" s="10"/>
      <c r="K36" s="10"/>
      <c r="L36" s="10"/>
      <c r="N36" s="10">
        <v>97092</v>
      </c>
      <c r="O36" s="119">
        <v>127465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33000</v>
      </c>
      <c r="C37" s="10">
        <v>23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20807</v>
      </c>
      <c r="O37" s="119">
        <v>53830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2280</v>
      </c>
      <c r="O38" s="10">
        <v>2280</v>
      </c>
      <c r="P38" s="81">
        <f>SUM(P31:P35)</f>
        <v>0.76286136146674743</v>
      </c>
      <c r="Q38" s="81"/>
      <c r="R38" s="75"/>
      <c r="S38" s="83" t="s">
        <v>47</v>
      </c>
      <c r="T38" s="86">
        <f>O45/1000</f>
        <v>25.761080000000003</v>
      </c>
      <c r="U38" s="83"/>
    </row>
    <row r="39" spans="1:48" x14ac:dyDescent="0.2">
      <c r="A39" s="8" t="s">
        <v>16</v>
      </c>
      <c r="B39" s="119">
        <f>SUM(B31:B38)</f>
        <v>57000</v>
      </c>
      <c r="C39" s="10">
        <v>160809</v>
      </c>
      <c r="D39" s="10">
        <v>0</v>
      </c>
      <c r="E39" s="150">
        <f>E32</f>
        <v>254178</v>
      </c>
      <c r="F39" s="10">
        <v>9976</v>
      </c>
      <c r="G39" s="10">
        <v>26056</v>
      </c>
      <c r="H39" s="10">
        <v>0</v>
      </c>
      <c r="I39" s="10"/>
      <c r="J39" s="10"/>
      <c r="K39" s="10"/>
      <c r="L39" s="10"/>
      <c r="N39" s="121">
        <f>SUM(N31:N38)</f>
        <v>266101</v>
      </c>
      <c r="O39" s="119">
        <v>774121</v>
      </c>
      <c r="P39" s="75"/>
      <c r="Q39" s="75"/>
      <c r="R39" s="75"/>
      <c r="S39" s="83" t="s">
        <v>48</v>
      </c>
      <c r="T39" s="90">
        <f>O41/1000</f>
        <v>183.57499999999999</v>
      </c>
      <c r="U39" s="78">
        <f>P41</f>
        <v>0.2371399303209705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30.684000000000001</v>
      </c>
      <c r="U40" s="79">
        <f>P35</f>
        <v>3.9637214337293523E-2</v>
      </c>
    </row>
    <row r="41" spans="1:48" x14ac:dyDescent="0.2">
      <c r="A41" s="14" t="s">
        <v>50</v>
      </c>
      <c r="B41" s="85">
        <f>B38+B37+B36</f>
        <v>37000</v>
      </c>
      <c r="C41" s="85">
        <f t="shared" ref="C41:O41" si="0">C38+C37+C36</f>
        <v>557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25838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120179</v>
      </c>
      <c r="O41" s="85">
        <f t="shared" si="0"/>
        <v>183575</v>
      </c>
      <c r="P41" s="80">
        <f>O41/O$39</f>
        <v>0.2371399303209705</v>
      </c>
      <c r="Q41" s="80" t="s">
        <v>51</v>
      </c>
      <c r="R41" s="83"/>
      <c r="S41" s="83" t="s">
        <v>52</v>
      </c>
      <c r="T41" s="90">
        <f>O33/1000</f>
        <v>35.615000000000002</v>
      </c>
      <c r="U41" s="78">
        <f>P33</f>
        <v>4.6007019574459289E-2</v>
      </c>
    </row>
    <row r="42" spans="1:48" x14ac:dyDescent="0.2">
      <c r="A42" s="15" t="s">
        <v>53</v>
      </c>
      <c r="B42" s="85"/>
      <c r="C42" s="88">
        <f>C39+C23+C10</f>
        <v>161177.15</v>
      </c>
      <c r="D42" s="88">
        <f t="shared" ref="D42:M42" si="1">D39+D23+D10</f>
        <v>0</v>
      </c>
      <c r="E42" s="88">
        <f t="shared" si="1"/>
        <v>254178</v>
      </c>
      <c r="F42" s="88">
        <f t="shared" si="1"/>
        <v>9976</v>
      </c>
      <c r="G42" s="88">
        <f t="shared" si="1"/>
        <v>31268.799999999999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287389.08</v>
      </c>
      <c r="O42" s="89">
        <f>SUM(C42:N42)</f>
        <v>743989.03</v>
      </c>
      <c r="P42" s="83"/>
      <c r="Q42" s="83"/>
      <c r="R42" s="83"/>
      <c r="S42" s="83" t="s">
        <v>34</v>
      </c>
      <c r="T42" s="90">
        <f>O31/1000</f>
        <v>12.432</v>
      </c>
      <c r="U42" s="78">
        <f>P31</f>
        <v>1.6059504909439221E-2</v>
      </c>
    </row>
    <row r="43" spans="1:48" x14ac:dyDescent="0.2">
      <c r="A43" s="15" t="s">
        <v>54</v>
      </c>
      <c r="B43" s="85"/>
      <c r="C43" s="80">
        <f t="shared" ref="C43:N43" si="2">C42/$O42</f>
        <v>0.21663914856378996</v>
      </c>
      <c r="D43" s="80">
        <f t="shared" si="2"/>
        <v>0</v>
      </c>
      <c r="E43" s="80">
        <f t="shared" si="2"/>
        <v>0.34164213415888672</v>
      </c>
      <c r="F43" s="80">
        <f t="shared" si="2"/>
        <v>1.340879985824522E-2</v>
      </c>
      <c r="G43" s="80">
        <f t="shared" si="2"/>
        <v>4.2028576684793317E-2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0.38628134073428477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374.85399999999998</v>
      </c>
      <c r="U43" s="79">
        <f>P32</f>
        <v>0.48423179322095644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136.96199999999999</v>
      </c>
      <c r="U44" s="79">
        <f>P34</f>
        <v>0.176925829424599</v>
      </c>
    </row>
    <row r="45" spans="1:48" x14ac:dyDescent="0.2">
      <c r="A45" s="6" t="s">
        <v>57</v>
      </c>
      <c r="B45" s="91">
        <f>B23-B39</f>
        <v>4473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21288.080000000002</v>
      </c>
      <c r="O45" s="89">
        <f>B45+N45</f>
        <v>25761.08</v>
      </c>
      <c r="P45" s="83"/>
      <c r="Q45" s="83"/>
      <c r="R45" s="83"/>
      <c r="S45" s="83" t="s">
        <v>58</v>
      </c>
      <c r="T45" s="90">
        <f>SUM(T39:T44)</f>
        <v>774.12199999999996</v>
      </c>
      <c r="U45" s="78">
        <f>SUM(U39:U44)</f>
        <v>1.0000012917877181</v>
      </c>
    </row>
    <row r="46" spans="1:48" x14ac:dyDescent="0.2">
      <c r="A46" s="6"/>
      <c r="B46" s="93">
        <f>B45/B23</f>
        <v>7.2763652335171541E-2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70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594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22631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23225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135"/>
      <c r="S14" s="135"/>
      <c r="T14" s="135"/>
      <c r="U14" s="135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135"/>
      <c r="S15" s="135"/>
      <c r="T15" s="135"/>
      <c r="U15" s="136"/>
      <c r="V15" s="135"/>
      <c r="W15" s="136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135"/>
      <c r="S16" s="135"/>
      <c r="T16" s="135"/>
      <c r="V16" s="135"/>
      <c r="W16" s="136"/>
    </row>
    <row r="17" spans="1:22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135"/>
      <c r="S17" s="135"/>
      <c r="T17" s="135"/>
      <c r="U17" s="135"/>
      <c r="V17" s="136"/>
    </row>
    <row r="18" spans="1:22" x14ac:dyDescent="0.2">
      <c r="A18" s="8" t="s">
        <v>21</v>
      </c>
      <c r="B18" s="120">
        <v>53000</v>
      </c>
      <c r="C18" s="120">
        <v>200</v>
      </c>
      <c r="D18" s="10">
        <v>0</v>
      </c>
      <c r="E18" s="10">
        <v>504</v>
      </c>
      <c r="F18" s="10">
        <v>1360</v>
      </c>
      <c r="G18" s="120">
        <f>47000+9000/0.9</f>
        <v>57000</v>
      </c>
      <c r="H18" s="10">
        <v>0</v>
      </c>
      <c r="I18" s="10"/>
      <c r="J18" s="10"/>
      <c r="K18" s="10"/>
      <c r="L18" s="10"/>
      <c r="M18" s="10"/>
      <c r="N18" s="10"/>
      <c r="O18" s="120">
        <f>SUM(C18:H18)</f>
        <v>59064</v>
      </c>
      <c r="P18" s="168"/>
      <c r="Q18" s="3"/>
      <c r="R18" s="137"/>
      <c r="S18" s="137"/>
      <c r="T18" s="137"/>
      <c r="U18" s="137"/>
      <c r="V18" s="137"/>
    </row>
    <row r="19" spans="1:22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20">
        <f t="shared" ref="O19:O23" si="0">SUM(C19:H19)</f>
        <v>0</v>
      </c>
      <c r="P19" s="3"/>
      <c r="Q19" s="3"/>
      <c r="R19" s="135"/>
      <c r="S19" s="135"/>
      <c r="T19" s="135"/>
      <c r="U19" s="135"/>
    </row>
    <row r="20" spans="1:22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20">
        <f t="shared" si="0"/>
        <v>0</v>
      </c>
      <c r="P20" s="3"/>
      <c r="Q20" s="3"/>
      <c r="R20" s="3"/>
      <c r="S20" s="3"/>
      <c r="T20" s="3"/>
      <c r="U20" s="3"/>
    </row>
    <row r="21" spans="1:22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20">
        <f t="shared" si="0"/>
        <v>0</v>
      </c>
      <c r="P21" s="75"/>
      <c r="Q21" s="75"/>
      <c r="R21" s="75"/>
      <c r="S21" s="75" t="s">
        <v>26</v>
      </c>
      <c r="T21" s="76">
        <f>O42/1000</f>
        <v>366.541</v>
      </c>
      <c r="U21" s="75"/>
    </row>
    <row r="22" spans="1:22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20">
        <f t="shared" si="0"/>
        <v>0</v>
      </c>
      <c r="P22" s="75"/>
      <c r="Q22" s="75"/>
      <c r="R22" s="75"/>
      <c r="S22" s="75"/>
      <c r="T22" s="75"/>
      <c r="U22" s="75"/>
    </row>
    <row r="23" spans="1:22" x14ac:dyDescent="0.2">
      <c r="A23" s="8" t="s">
        <v>16</v>
      </c>
      <c r="B23" s="120">
        <f>B18</f>
        <v>53000</v>
      </c>
      <c r="C23" s="120">
        <v>200</v>
      </c>
      <c r="D23" s="10">
        <v>0</v>
      </c>
      <c r="E23" s="10">
        <v>504</v>
      </c>
      <c r="F23" s="10">
        <v>1360</v>
      </c>
      <c r="G23" s="120">
        <f>G18</f>
        <v>57000</v>
      </c>
      <c r="H23" s="10">
        <v>0</v>
      </c>
      <c r="I23" s="10"/>
      <c r="J23" s="10"/>
      <c r="K23" s="10"/>
      <c r="L23" s="10"/>
      <c r="M23" s="10"/>
      <c r="N23" s="10"/>
      <c r="O23" s="120">
        <f t="shared" si="0"/>
        <v>59064</v>
      </c>
      <c r="P23" s="75"/>
      <c r="Q23" s="75"/>
      <c r="R23" s="75"/>
      <c r="S23" s="75"/>
      <c r="T23" s="75" t="s">
        <v>27</v>
      </c>
      <c r="U23" s="75" t="s">
        <v>28</v>
      </c>
    </row>
    <row r="24" spans="1:22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40.527000000000001</v>
      </c>
      <c r="U24" s="78">
        <f>N43</f>
        <v>0.11056607582780643</v>
      </c>
    </row>
    <row r="25" spans="1:22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88.738</v>
      </c>
      <c r="U25" s="79">
        <f>G43</f>
        <v>0.24209570007175185</v>
      </c>
    </row>
    <row r="26" spans="1:22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2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18.664999999999999</v>
      </c>
      <c r="U27" s="78">
        <f>F43</f>
        <v>5.0921997811977378E-2</v>
      </c>
    </row>
    <row r="28" spans="1:22" x14ac:dyDescent="0.2">
      <c r="A28" s="4" t="s">
        <v>70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0.504</v>
      </c>
      <c r="U28" s="78">
        <f>E43</f>
        <v>1.3750167102725207E-3</v>
      </c>
    </row>
    <row r="29" spans="1:22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2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2" x14ac:dyDescent="0.2">
      <c r="A31" s="8" t="s">
        <v>33</v>
      </c>
      <c r="B31" s="10">
        <v>0</v>
      </c>
      <c r="C31" s="10">
        <v>2392</v>
      </c>
      <c r="D31" s="10">
        <v>0</v>
      </c>
      <c r="E31" s="10">
        <v>0</v>
      </c>
      <c r="F31" s="10">
        <v>233</v>
      </c>
      <c r="G31" s="10">
        <v>0</v>
      </c>
      <c r="H31" s="10">
        <v>0</v>
      </c>
      <c r="I31" s="10"/>
      <c r="J31" s="10"/>
      <c r="K31" s="10"/>
      <c r="L31" s="10"/>
      <c r="N31" s="10">
        <v>2398</v>
      </c>
      <c r="O31" s="10">
        <v>5023</v>
      </c>
      <c r="P31" s="80">
        <f>O31/O$39</f>
        <v>1.4311560652468124E-2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2" x14ac:dyDescent="0.2">
      <c r="A32" s="8" t="s">
        <v>36</v>
      </c>
      <c r="B32" s="10">
        <v>0</v>
      </c>
      <c r="C32" s="121">
        <f>C39-SUM(C33:C38,C31)</f>
        <v>5000</v>
      </c>
      <c r="D32" s="10">
        <v>0</v>
      </c>
      <c r="E32" s="10">
        <v>0</v>
      </c>
      <c r="F32" s="10">
        <v>0</v>
      </c>
      <c r="G32" s="121">
        <f>G39-G36</f>
        <v>2538</v>
      </c>
      <c r="H32" s="10">
        <v>0</v>
      </c>
      <c r="I32" s="10"/>
      <c r="J32" s="10"/>
      <c r="K32" s="10"/>
      <c r="L32" s="10"/>
      <c r="N32" s="121">
        <v>24278</v>
      </c>
      <c r="O32" s="10">
        <v>31816</v>
      </c>
      <c r="P32" s="80">
        <f>O32/O$39</f>
        <v>9.0650331220172381E-2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14502</v>
      </c>
      <c r="C33" s="10">
        <v>358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21">
        <v>700</v>
      </c>
      <c r="O33" s="121">
        <f>SUM(B33:N33)</f>
        <v>15560</v>
      </c>
      <c r="P33" s="80">
        <f>O33/O$39</f>
        <v>4.4333641997293255E-2</v>
      </c>
      <c r="Q33" s="81" t="s">
        <v>39</v>
      </c>
      <c r="R33" s="75"/>
      <c r="S33" s="75" t="s">
        <v>35</v>
      </c>
      <c r="T33" s="77">
        <f>C42/1000</f>
        <v>218.107</v>
      </c>
      <c r="U33" s="79">
        <f>C43</f>
        <v>0.59504120957819184</v>
      </c>
    </row>
    <row r="34" spans="1:48" x14ac:dyDescent="0.2">
      <c r="A34" s="8" t="s">
        <v>40</v>
      </c>
      <c r="B34" s="10">
        <v>0</v>
      </c>
      <c r="C34" s="121">
        <f>O34-N34-F34</f>
        <v>209015</v>
      </c>
      <c r="D34" s="10">
        <v>0</v>
      </c>
      <c r="E34" s="10">
        <v>0</v>
      </c>
      <c r="F34" s="10">
        <v>17072</v>
      </c>
      <c r="G34" s="10">
        <v>0</v>
      </c>
      <c r="H34" s="10">
        <v>0</v>
      </c>
      <c r="I34" s="10"/>
      <c r="J34" s="10"/>
      <c r="K34" s="10"/>
      <c r="L34" s="10"/>
      <c r="N34" s="121">
        <v>4</v>
      </c>
      <c r="O34" s="10">
        <v>226091</v>
      </c>
      <c r="P34" s="80">
        <f>O34/O$39</f>
        <v>0.6441797848849633</v>
      </c>
      <c r="Q34" s="81" t="s">
        <v>41</v>
      </c>
      <c r="R34" s="75"/>
      <c r="S34" s="75"/>
      <c r="T34" s="77">
        <f>SUM(T24:T33)</f>
        <v>366.54099999999994</v>
      </c>
      <c r="U34" s="78">
        <f>SUM(U24:U33)</f>
        <v>1</v>
      </c>
    </row>
    <row r="35" spans="1:48" x14ac:dyDescent="0.2">
      <c r="A35" s="8" t="s">
        <v>42</v>
      </c>
      <c r="B35" s="10">
        <v>798</v>
      </c>
      <c r="C35" s="10">
        <v>389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1">
        <v>1688</v>
      </c>
      <c r="O35" s="121">
        <f>SUM(B35:N35)</f>
        <v>2875</v>
      </c>
      <c r="P35" s="80">
        <f>O35/O$39</f>
        <v>8.1914666286772558E-3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21">
        <f>B39-SUM(B33:B35,B37:B38)</f>
        <v>3523</v>
      </c>
      <c r="C36" s="121">
        <v>753</v>
      </c>
      <c r="D36" s="10">
        <v>0</v>
      </c>
      <c r="E36" s="10">
        <v>0</v>
      </c>
      <c r="F36" s="10">
        <v>0</v>
      </c>
      <c r="G36" s="121">
        <v>29200</v>
      </c>
      <c r="H36" s="10">
        <v>0</v>
      </c>
      <c r="I36" s="10"/>
      <c r="J36" s="10"/>
      <c r="K36" s="10"/>
      <c r="L36" s="10"/>
      <c r="N36" s="121">
        <v>7650</v>
      </c>
      <c r="O36" s="121">
        <f t="shared" ref="O36:O38" si="1">SUM(B36:N36)</f>
        <v>41126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27677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21">
        <v>57</v>
      </c>
      <c r="O37" s="121">
        <f t="shared" si="1"/>
        <v>27734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750</v>
      </c>
      <c r="O38" s="121">
        <f t="shared" si="1"/>
        <v>750</v>
      </c>
      <c r="P38" s="81">
        <f>SUM(P31:P35)</f>
        <v>0.80166678538357428</v>
      </c>
      <c r="Q38" s="81"/>
      <c r="R38" s="75"/>
      <c r="S38" s="83" t="s">
        <v>47</v>
      </c>
      <c r="T38" s="86">
        <f>O45/1000</f>
        <v>9.5020000000000007</v>
      </c>
      <c r="U38" s="83"/>
    </row>
    <row r="39" spans="1:48" x14ac:dyDescent="0.2">
      <c r="A39" s="8" t="s">
        <v>16</v>
      </c>
      <c r="B39" s="121">
        <v>46500</v>
      </c>
      <c r="C39" s="10">
        <v>217907</v>
      </c>
      <c r="D39" s="10">
        <v>0</v>
      </c>
      <c r="E39" s="10">
        <v>0</v>
      </c>
      <c r="F39" s="10">
        <v>17305</v>
      </c>
      <c r="G39" s="121">
        <f>O39-N39-C39-B39-F39</f>
        <v>31738</v>
      </c>
      <c r="H39" s="10">
        <v>0</v>
      </c>
      <c r="I39" s="10"/>
      <c r="J39" s="10"/>
      <c r="K39" s="10"/>
      <c r="L39" s="10"/>
      <c r="N39" s="123">
        <f>SUM(N31:N38)</f>
        <v>37525</v>
      </c>
      <c r="O39" s="10">
        <f>600161-249186</f>
        <v>350975</v>
      </c>
      <c r="P39" s="75"/>
      <c r="Q39" s="75"/>
      <c r="R39" s="75"/>
      <c r="S39" s="83" t="s">
        <v>48</v>
      </c>
      <c r="T39" s="90">
        <f>O41/1000</f>
        <v>69.61</v>
      </c>
      <c r="U39" s="78">
        <f>P41</f>
        <v>0.19833321461642567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2.875</v>
      </c>
      <c r="U40" s="79">
        <f>P35</f>
        <v>8.1914666286772558E-3</v>
      </c>
    </row>
    <row r="41" spans="1:48" x14ac:dyDescent="0.2">
      <c r="A41" s="14" t="s">
        <v>50</v>
      </c>
      <c r="B41" s="85">
        <f>B38+B37+B36</f>
        <v>31200</v>
      </c>
      <c r="C41" s="85">
        <f t="shared" ref="C41:O41" si="2">C38+C37+C36</f>
        <v>753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29200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8457</v>
      </c>
      <c r="O41" s="85">
        <f t="shared" si="2"/>
        <v>69610</v>
      </c>
      <c r="P41" s="80">
        <f>O41/O$39</f>
        <v>0.19833321461642567</v>
      </c>
      <c r="Q41" s="80" t="s">
        <v>51</v>
      </c>
      <c r="R41" s="83"/>
      <c r="S41" s="83" t="s">
        <v>52</v>
      </c>
      <c r="T41" s="90">
        <f>O33/1000</f>
        <v>15.56</v>
      </c>
      <c r="U41" s="78">
        <f>P33</f>
        <v>4.4333641997293255E-2</v>
      </c>
    </row>
    <row r="42" spans="1:48" x14ac:dyDescent="0.2">
      <c r="A42" s="15" t="s">
        <v>53</v>
      </c>
      <c r="B42" s="85"/>
      <c r="C42" s="88">
        <f>C39+C23+C10</f>
        <v>218107</v>
      </c>
      <c r="D42" s="88">
        <f t="shared" ref="D42:M42" si="3">D39+D23+D10</f>
        <v>0</v>
      </c>
      <c r="E42" s="88">
        <f t="shared" si="3"/>
        <v>504</v>
      </c>
      <c r="F42" s="88">
        <f t="shared" si="3"/>
        <v>18665</v>
      </c>
      <c r="G42" s="88">
        <f t="shared" si="3"/>
        <v>88738</v>
      </c>
      <c r="H42" s="88">
        <f t="shared" si="3"/>
        <v>0</v>
      </c>
      <c r="I42" s="88">
        <f t="shared" si="3"/>
        <v>0</v>
      </c>
      <c r="J42" s="88">
        <f t="shared" si="3"/>
        <v>0</v>
      </c>
      <c r="K42" s="88">
        <f t="shared" si="3"/>
        <v>0</v>
      </c>
      <c r="L42" s="88">
        <f t="shared" si="3"/>
        <v>0</v>
      </c>
      <c r="M42" s="88">
        <f t="shared" si="3"/>
        <v>0</v>
      </c>
      <c r="N42" s="88">
        <f>N39+N23-B6+N45</f>
        <v>40527</v>
      </c>
      <c r="O42" s="89">
        <f>SUM(C42:N42)</f>
        <v>366541</v>
      </c>
      <c r="P42" s="83"/>
      <c r="Q42" s="83"/>
      <c r="R42" s="83"/>
      <c r="S42" s="83" t="s">
        <v>34</v>
      </c>
      <c r="T42" s="90">
        <f>O31/1000</f>
        <v>5.0229999999999997</v>
      </c>
      <c r="U42" s="78">
        <f>P31</f>
        <v>1.4311560652468124E-2</v>
      </c>
    </row>
    <row r="43" spans="1:48" x14ac:dyDescent="0.2">
      <c r="A43" s="15" t="s">
        <v>54</v>
      </c>
      <c r="B43" s="85"/>
      <c r="C43" s="80">
        <f t="shared" ref="C43:N43" si="4">C42/$O42</f>
        <v>0.59504120957819184</v>
      </c>
      <c r="D43" s="80">
        <f t="shared" si="4"/>
        <v>0</v>
      </c>
      <c r="E43" s="80">
        <f t="shared" si="4"/>
        <v>1.3750167102725207E-3</v>
      </c>
      <c r="F43" s="80">
        <f t="shared" si="4"/>
        <v>5.0921997811977378E-2</v>
      </c>
      <c r="G43" s="80">
        <f t="shared" si="4"/>
        <v>0.24209570007175185</v>
      </c>
      <c r="H43" s="80">
        <f t="shared" si="4"/>
        <v>0</v>
      </c>
      <c r="I43" s="80">
        <f t="shared" si="4"/>
        <v>0</v>
      </c>
      <c r="J43" s="80">
        <f t="shared" si="4"/>
        <v>0</v>
      </c>
      <c r="K43" s="80">
        <f t="shared" si="4"/>
        <v>0</v>
      </c>
      <c r="L43" s="80">
        <f t="shared" si="4"/>
        <v>0</v>
      </c>
      <c r="M43" s="80">
        <f t="shared" si="4"/>
        <v>0</v>
      </c>
      <c r="N43" s="80">
        <f t="shared" si="4"/>
        <v>0.11056607582780643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31.815999999999999</v>
      </c>
      <c r="U43" s="79">
        <f>P32</f>
        <v>9.0650331220172381E-2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226.09100000000001</v>
      </c>
      <c r="U44" s="79">
        <f>P34</f>
        <v>0.6441797848849633</v>
      </c>
    </row>
    <row r="45" spans="1:48" x14ac:dyDescent="0.2">
      <c r="A45" s="6" t="s">
        <v>57</v>
      </c>
      <c r="B45" s="91">
        <f>B23-B39</f>
        <v>6500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3002</v>
      </c>
      <c r="O45" s="89">
        <f>B45+N45</f>
        <v>9502</v>
      </c>
      <c r="P45" s="83"/>
      <c r="Q45" s="83"/>
      <c r="R45" s="83"/>
      <c r="S45" s="83" t="s">
        <v>58</v>
      </c>
      <c r="T45" s="90">
        <f>SUM(T39:T44)</f>
        <v>350.97500000000002</v>
      </c>
      <c r="U45" s="78">
        <f>SUM(U39:U44)</f>
        <v>1</v>
      </c>
    </row>
    <row r="46" spans="1:48" x14ac:dyDescent="0.2">
      <c r="A46" s="6"/>
      <c r="B46" s="93">
        <f>B45/B23</f>
        <v>0.12264150943396226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V70"/>
  <sheetViews>
    <sheetView topLeftCell="D8" workbookViewId="0">
      <selection activeCell="L43" sqref="L43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7.1640625" style="2" customWidth="1"/>
    <col min="13" max="13" width="5.5" style="2" customWidth="1"/>
    <col min="14" max="14" width="10.6640625" style="2" bestFit="1" customWidth="1"/>
    <col min="15" max="15" width="8.83203125" style="2"/>
    <col min="16" max="16" width="10.6640625" style="2" bestFit="1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71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7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2821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2600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5428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35844</v>
      </c>
      <c r="C18" s="10">
        <v>806</v>
      </c>
      <c r="D18" s="10">
        <v>0</v>
      </c>
      <c r="E18" s="10">
        <v>0</v>
      </c>
      <c r="F18" s="10">
        <v>0</v>
      </c>
      <c r="G18" s="10">
        <v>38390</v>
      </c>
      <c r="H18" s="10">
        <v>0</v>
      </c>
      <c r="I18" s="10"/>
      <c r="J18" s="10"/>
      <c r="K18" s="10"/>
      <c r="L18" s="10"/>
      <c r="M18" s="10"/>
      <c r="N18" s="10"/>
      <c r="O18" s="10">
        <v>39196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305.82040000000001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35844</v>
      </c>
      <c r="C23" s="10">
        <v>806</v>
      </c>
      <c r="D23" s="10">
        <v>0</v>
      </c>
      <c r="E23" s="10">
        <v>0</v>
      </c>
      <c r="F23" s="10">
        <v>0</v>
      </c>
      <c r="G23" s="10">
        <v>38390</v>
      </c>
      <c r="H23" s="10">
        <v>0</v>
      </c>
      <c r="I23" s="10"/>
      <c r="J23" s="10"/>
      <c r="K23" s="10"/>
      <c r="L23" s="10"/>
      <c r="M23" s="10"/>
      <c r="N23" s="10"/>
      <c r="O23" s="10">
        <v>39196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A24" s="165" t="s">
        <v>116</v>
      </c>
      <c r="B24" s="146">
        <v>15000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98.12339999999999</v>
      </c>
      <c r="U24" s="78">
        <f>N43</f>
        <v>0.32085302353930606</v>
      </c>
    </row>
    <row r="25" spans="1:21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77.596999999999994</v>
      </c>
      <c r="U25" s="79">
        <f>G43</f>
        <v>0.25373389087189735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7"/>
      <c r="O27" s="10"/>
      <c r="P27" s="75"/>
      <c r="Q27" s="75"/>
      <c r="R27" s="75"/>
      <c r="S27" s="75" t="s">
        <v>31</v>
      </c>
      <c r="T27" s="77">
        <f>F42/1000</f>
        <v>7.5540000000000003</v>
      </c>
      <c r="U27" s="78">
        <f>F43</f>
        <v>2.4700772087146571E-2</v>
      </c>
    </row>
    <row r="28" spans="1:21" x14ac:dyDescent="0.2">
      <c r="A28" s="4" t="s">
        <v>71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31.507999999999999</v>
      </c>
      <c r="U28" s="78">
        <f>E43</f>
        <v>0.10302779016703921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114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6546</v>
      </c>
      <c r="D31" s="10">
        <v>0</v>
      </c>
      <c r="E31" s="10">
        <v>0</v>
      </c>
      <c r="F31" s="10">
        <v>670</v>
      </c>
      <c r="G31" s="10">
        <v>0</v>
      </c>
      <c r="H31" s="10">
        <v>0</v>
      </c>
      <c r="I31" s="10"/>
      <c r="J31" s="10"/>
      <c r="K31" s="10"/>
      <c r="L31" s="10"/>
      <c r="N31" s="10">
        <v>9492</v>
      </c>
      <c r="O31" s="10">
        <v>16707</v>
      </c>
      <c r="P31" s="80">
        <f>O31/O$39</f>
        <v>5.7277346187338436E-2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19">
        <v>753</v>
      </c>
      <c r="C32" s="10">
        <v>793</v>
      </c>
      <c r="D32" s="10">
        <v>0</v>
      </c>
      <c r="E32" s="121">
        <f>O32-N32-G32-C32-L32-B32</f>
        <v>31508</v>
      </c>
      <c r="F32" s="10">
        <v>0</v>
      </c>
      <c r="G32" s="10">
        <v>497</v>
      </c>
      <c r="H32" s="10">
        <v>0</v>
      </c>
      <c r="I32" s="10"/>
      <c r="J32" s="10"/>
      <c r="K32" s="10"/>
      <c r="L32" s="128">
        <v>14993</v>
      </c>
      <c r="N32" s="121">
        <v>9576</v>
      </c>
      <c r="O32" s="152">
        <v>58120</v>
      </c>
      <c r="P32" s="80">
        <f>O32/O$39</f>
        <v>0.199255363644467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8366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7836</v>
      </c>
      <c r="O33" s="119">
        <v>16202</v>
      </c>
      <c r="P33" s="80">
        <f>O33/O$39</f>
        <v>5.5546032377282423E-2</v>
      </c>
      <c r="Q33" s="81" t="s">
        <v>39</v>
      </c>
      <c r="R33" s="75"/>
      <c r="S33" s="75" t="s">
        <v>35</v>
      </c>
      <c r="T33" s="77">
        <f>C42/1000</f>
        <v>91.037999999999997</v>
      </c>
      <c r="U33" s="79">
        <f>C43</f>
        <v>0.29768452333461076</v>
      </c>
    </row>
    <row r="34" spans="1:48" x14ac:dyDescent="0.2">
      <c r="A34" s="8" t="s">
        <v>40</v>
      </c>
      <c r="B34" s="10">
        <v>0</v>
      </c>
      <c r="C34" s="10">
        <v>82416</v>
      </c>
      <c r="D34" s="10">
        <v>0</v>
      </c>
      <c r="E34" s="10">
        <v>0</v>
      </c>
      <c r="F34" s="10">
        <v>6884</v>
      </c>
      <c r="G34" s="10">
        <v>0</v>
      </c>
      <c r="H34" s="10">
        <v>0</v>
      </c>
      <c r="I34" s="10"/>
      <c r="J34" s="10"/>
      <c r="K34" s="10"/>
      <c r="L34" s="10"/>
      <c r="N34" s="10">
        <v>101</v>
      </c>
      <c r="O34" s="10">
        <v>89401</v>
      </c>
      <c r="P34" s="80">
        <f>O34/O$39</f>
        <v>0.30649739788676866</v>
      </c>
      <c r="Q34" s="81" t="s">
        <v>41</v>
      </c>
      <c r="R34" s="75"/>
      <c r="S34" s="75"/>
      <c r="T34" s="77">
        <f>SUM(T24:T33)</f>
        <v>305.82040000000001</v>
      </c>
      <c r="U34" s="78">
        <f>SUM(U24:U33)</f>
        <v>1</v>
      </c>
    </row>
    <row r="35" spans="1:48" x14ac:dyDescent="0.2">
      <c r="A35" s="8" t="s">
        <v>42</v>
      </c>
      <c r="B35" s="119">
        <v>803</v>
      </c>
      <c r="C35" s="10">
        <v>336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19745</v>
      </c>
      <c r="O35" s="119">
        <v>20884</v>
      </c>
      <c r="P35" s="80">
        <f>O35/O$39</f>
        <v>7.1597539820217632E-2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28">
        <v>708</v>
      </c>
      <c r="C36" s="10">
        <v>142</v>
      </c>
      <c r="D36" s="10">
        <v>0</v>
      </c>
      <c r="E36" s="10">
        <v>0</v>
      </c>
      <c r="F36" s="10">
        <v>0</v>
      </c>
      <c r="G36" s="10">
        <v>38709</v>
      </c>
      <c r="H36" s="10">
        <v>0</v>
      </c>
      <c r="I36" s="10"/>
      <c r="J36" s="10"/>
      <c r="K36" s="10"/>
      <c r="L36" s="10"/>
      <c r="N36" s="10">
        <v>36077</v>
      </c>
      <c r="O36" s="128">
        <v>75636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28">
        <v>6708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5272</v>
      </c>
      <c r="O37" s="128">
        <v>11980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59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2756</v>
      </c>
      <c r="O38" s="121">
        <f>N38</f>
        <v>2756</v>
      </c>
      <c r="P38" s="81">
        <f>SUM(P31:P35)</f>
        <v>0.69017367991607415</v>
      </c>
      <c r="Q38" s="81"/>
      <c r="R38" s="75"/>
      <c r="S38" s="83" t="s">
        <v>47</v>
      </c>
      <c r="T38" s="86">
        <f>O45/1000</f>
        <v>10.774400000000002</v>
      </c>
      <c r="U38" s="83"/>
    </row>
    <row r="39" spans="1:48" x14ac:dyDescent="0.2">
      <c r="A39" s="8" t="s">
        <v>16</v>
      </c>
      <c r="B39" s="128">
        <v>17338</v>
      </c>
      <c r="C39" s="10">
        <v>90232</v>
      </c>
      <c r="D39" s="10">
        <v>0</v>
      </c>
      <c r="E39" s="121">
        <v>31508</v>
      </c>
      <c r="F39" s="10">
        <v>7554</v>
      </c>
      <c r="G39" s="10">
        <v>39207</v>
      </c>
      <c r="H39" s="10">
        <v>0</v>
      </c>
      <c r="I39" s="10"/>
      <c r="J39" s="10"/>
      <c r="K39" s="10"/>
      <c r="L39" s="119">
        <f>L32</f>
        <v>14993</v>
      </c>
      <c r="N39" s="121">
        <f>SUM(N31:N38)</f>
        <v>90855</v>
      </c>
      <c r="O39" s="123">
        <f>SUM(O31:O38)</f>
        <v>291686</v>
      </c>
      <c r="P39" s="122">
        <f>O39-F39-G39-C40-C39</f>
        <v>154693</v>
      </c>
      <c r="Q39" s="75"/>
      <c r="R39" s="75"/>
      <c r="S39" s="83" t="s">
        <v>48</v>
      </c>
      <c r="T39" s="90">
        <f>O41/1000</f>
        <v>90.372</v>
      </c>
      <c r="U39" s="78">
        <f>P41</f>
        <v>0.30982632008392585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20.884</v>
      </c>
      <c r="U40" s="79">
        <f>P35</f>
        <v>7.1597539820217632E-2</v>
      </c>
    </row>
    <row r="41" spans="1:48" x14ac:dyDescent="0.2">
      <c r="A41" s="14" t="s">
        <v>50</v>
      </c>
      <c r="B41" s="85">
        <f>B38+B37+B36</f>
        <v>7416</v>
      </c>
      <c r="C41" s="85">
        <f t="shared" ref="C41:O41" si="0">C38+C37+C36</f>
        <v>142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38709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44105</v>
      </c>
      <c r="O41" s="85">
        <f t="shared" si="0"/>
        <v>90372</v>
      </c>
      <c r="P41" s="80">
        <f>O41/O$39</f>
        <v>0.30982632008392585</v>
      </c>
      <c r="Q41" s="80" t="s">
        <v>51</v>
      </c>
      <c r="R41" s="83"/>
      <c r="S41" s="83" t="s">
        <v>52</v>
      </c>
      <c r="T41" s="90">
        <f>O33/1000</f>
        <v>16.202000000000002</v>
      </c>
      <c r="U41" s="78">
        <f>P33</f>
        <v>5.5546032377282423E-2</v>
      </c>
    </row>
    <row r="42" spans="1:48" x14ac:dyDescent="0.2">
      <c r="A42" s="15" t="s">
        <v>53</v>
      </c>
      <c r="B42" s="85"/>
      <c r="C42" s="88">
        <f>C39+C23+C10</f>
        <v>91038</v>
      </c>
      <c r="D42" s="88">
        <f t="shared" ref="D42:M42" si="1">D39+D23+D10</f>
        <v>0</v>
      </c>
      <c r="E42" s="88">
        <f t="shared" si="1"/>
        <v>31508</v>
      </c>
      <c r="F42" s="88">
        <f t="shared" si="1"/>
        <v>7554</v>
      </c>
      <c r="G42" s="88">
        <f t="shared" si="1"/>
        <v>77597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v>0</v>
      </c>
      <c r="M42" s="88">
        <f t="shared" si="1"/>
        <v>0</v>
      </c>
      <c r="N42" s="88">
        <f>N39+N23-B6+N45</f>
        <v>98123.4</v>
      </c>
      <c r="O42" s="89">
        <f>SUM(C42:N42)</f>
        <v>305820.40000000002</v>
      </c>
      <c r="P42" s="83"/>
      <c r="Q42" s="83"/>
      <c r="R42" s="83"/>
      <c r="S42" s="83" t="s">
        <v>34</v>
      </c>
      <c r="T42" s="90">
        <f>O31/1000</f>
        <v>16.707000000000001</v>
      </c>
      <c r="U42" s="78">
        <f>P31</f>
        <v>5.7277346187338436E-2</v>
      </c>
    </row>
    <row r="43" spans="1:48" x14ac:dyDescent="0.2">
      <c r="A43" s="15" t="s">
        <v>54</v>
      </c>
      <c r="B43" s="85"/>
      <c r="C43" s="80">
        <f t="shared" ref="C43:N43" si="2">C42/$O42</f>
        <v>0.29768452333461076</v>
      </c>
      <c r="D43" s="80">
        <f t="shared" si="2"/>
        <v>0</v>
      </c>
      <c r="E43" s="80">
        <f t="shared" si="2"/>
        <v>0.10302779016703921</v>
      </c>
      <c r="F43" s="80">
        <f t="shared" si="2"/>
        <v>2.4700772087146571E-2</v>
      </c>
      <c r="G43" s="80">
        <f t="shared" si="2"/>
        <v>0.25373389087189735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0.32085302353930606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58.12</v>
      </c>
      <c r="U43" s="79">
        <f>P32</f>
        <v>0.199255363644467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89.400999999999996</v>
      </c>
      <c r="U44" s="79">
        <f>P34</f>
        <v>0.30649739788676866</v>
      </c>
    </row>
    <row r="45" spans="1:48" x14ac:dyDescent="0.2">
      <c r="A45" s="6" t="s">
        <v>57</v>
      </c>
      <c r="B45" s="91">
        <f>B23-B24-B39</f>
        <v>3506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7268.4000000000005</v>
      </c>
      <c r="O45" s="89">
        <f>B45+N45</f>
        <v>10774.400000000001</v>
      </c>
      <c r="P45" s="83"/>
      <c r="Q45" s="83"/>
      <c r="R45" s="83"/>
      <c r="S45" s="83" t="s">
        <v>58</v>
      </c>
      <c r="T45" s="90">
        <f>SUM(T39:T44)</f>
        <v>291.68599999999998</v>
      </c>
      <c r="U45" s="78">
        <f>SUM(U39:U44)</f>
        <v>1</v>
      </c>
    </row>
    <row r="46" spans="1:48" x14ac:dyDescent="0.2">
      <c r="A46" s="6"/>
      <c r="B46" s="93">
        <f>B45/B23</f>
        <v>9.7812744113380201E-2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7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17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17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72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134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2513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10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55">
        <f>SUM(B4:B9)</f>
        <v>2647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10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1">
        <v>6677</v>
      </c>
      <c r="C18" s="10">
        <v>0</v>
      </c>
      <c r="D18" s="10">
        <v>0</v>
      </c>
      <c r="E18" s="10">
        <v>0</v>
      </c>
      <c r="F18" s="10">
        <v>0</v>
      </c>
      <c r="G18" s="121">
        <v>7580</v>
      </c>
      <c r="H18" s="10">
        <v>0</v>
      </c>
      <c r="I18" s="10"/>
      <c r="J18" s="10"/>
      <c r="K18" s="10"/>
      <c r="L18" s="10"/>
      <c r="M18" s="10"/>
      <c r="N18" s="10"/>
      <c r="O18" s="121">
        <f>G18</f>
        <v>7580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221.87347999999997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1">
        <v>6677</v>
      </c>
      <c r="C23" s="10">
        <v>0</v>
      </c>
      <c r="D23" s="10">
        <v>0</v>
      </c>
      <c r="E23" s="10">
        <v>0</v>
      </c>
      <c r="F23" s="10">
        <v>0</v>
      </c>
      <c r="G23" s="121">
        <v>7580</v>
      </c>
      <c r="H23" s="10">
        <v>0</v>
      </c>
      <c r="I23" s="10"/>
      <c r="J23" s="10"/>
      <c r="K23" s="10"/>
      <c r="L23" s="10"/>
      <c r="M23" s="10"/>
      <c r="N23" s="10"/>
      <c r="O23" s="121">
        <f>G23</f>
        <v>7580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76.821479999999994</v>
      </c>
      <c r="U24" s="78">
        <f>N43</f>
        <v>0.34624002832605322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27.192</v>
      </c>
      <c r="U25" s="79">
        <f>G43</f>
        <v>0.12255633255493177</v>
      </c>
    </row>
    <row r="26" spans="1:21" x14ac:dyDescent="0.2">
      <c r="B26" s="10"/>
      <c r="C26" s="45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8.6630000000000003</v>
      </c>
      <c r="U27" s="78">
        <f>F43</f>
        <v>3.9044774526455349E-2</v>
      </c>
    </row>
    <row r="28" spans="1:21" x14ac:dyDescent="0.2">
      <c r="A28" s="4" t="s">
        <v>72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3.0000000000000001E-3</v>
      </c>
      <c r="U28" s="78">
        <f>E43</f>
        <v>1.3521219390438191E-5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481</v>
      </c>
      <c r="D31" s="10">
        <v>0</v>
      </c>
      <c r="E31" s="10">
        <v>0</v>
      </c>
      <c r="F31" s="10">
        <v>24</v>
      </c>
      <c r="G31" s="10">
        <v>0</v>
      </c>
      <c r="H31" s="10">
        <v>0</v>
      </c>
      <c r="I31" s="10"/>
      <c r="J31" s="10"/>
      <c r="K31" s="10"/>
      <c r="L31" s="10"/>
      <c r="N31" s="10">
        <v>4264</v>
      </c>
      <c r="O31" s="10">
        <v>4770</v>
      </c>
      <c r="P31" s="80">
        <f>O31/O$39</f>
        <v>2.2248453583774523E-2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2">
        <v>0</v>
      </c>
      <c r="C32" s="121">
        <v>5425</v>
      </c>
      <c r="D32" s="10">
        <v>0</v>
      </c>
      <c r="E32" s="121">
        <v>3</v>
      </c>
      <c r="F32" s="10">
        <v>0</v>
      </c>
      <c r="G32" s="121">
        <v>362</v>
      </c>
      <c r="H32" s="10">
        <v>0</v>
      </c>
      <c r="I32" s="10"/>
      <c r="J32" s="10"/>
      <c r="K32" s="10"/>
      <c r="L32" s="10"/>
      <c r="N32" s="121">
        <v>7577</v>
      </c>
      <c r="O32" s="10">
        <v>13367</v>
      </c>
      <c r="P32" s="80">
        <f>O32/O$39</f>
        <v>6.2346976740946337E-2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23">
        <v>1959.4878371757941</v>
      </c>
      <c r="C33" s="10">
        <v>159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5286</v>
      </c>
      <c r="O33" s="123">
        <v>7404.4878371757941</v>
      </c>
      <c r="P33" s="80">
        <f>O33/O$39</f>
        <v>3.4536353030823613E-2</v>
      </c>
      <c r="Q33" s="81" t="s">
        <v>39</v>
      </c>
      <c r="R33" s="75"/>
      <c r="S33" s="75" t="s">
        <v>35</v>
      </c>
      <c r="T33" s="77">
        <f>C42/1000</f>
        <v>109.194</v>
      </c>
      <c r="U33" s="79">
        <f>C43</f>
        <v>0.49214534337316929</v>
      </c>
    </row>
    <row r="34" spans="1:48" x14ac:dyDescent="0.2">
      <c r="A34" s="8" t="s">
        <v>40</v>
      </c>
      <c r="B34" s="10">
        <v>0</v>
      </c>
      <c r="C34" s="10">
        <v>101126</v>
      </c>
      <c r="D34" s="10">
        <v>0</v>
      </c>
      <c r="E34" s="10">
        <v>0</v>
      </c>
      <c r="F34" s="10">
        <v>8638</v>
      </c>
      <c r="G34" s="10">
        <v>0</v>
      </c>
      <c r="H34" s="10">
        <v>0</v>
      </c>
      <c r="I34" s="10"/>
      <c r="J34" s="10"/>
      <c r="K34" s="10"/>
      <c r="L34" s="10"/>
      <c r="N34" s="10">
        <v>2</v>
      </c>
      <c r="O34" s="10">
        <v>109766</v>
      </c>
      <c r="P34" s="80">
        <f>O34/O$39</f>
        <v>0.51197563020473669</v>
      </c>
      <c r="Q34" s="81" t="s">
        <v>41</v>
      </c>
      <c r="R34" s="75"/>
      <c r="S34" s="75"/>
      <c r="T34" s="77">
        <f>SUM(T24:T33)</f>
        <v>221.87347999999997</v>
      </c>
      <c r="U34" s="78">
        <f>SUM(U24:U33)</f>
        <v>1</v>
      </c>
    </row>
    <row r="35" spans="1:48" x14ac:dyDescent="0.2">
      <c r="A35" s="8" t="s">
        <v>42</v>
      </c>
      <c r="B35" s="123">
        <v>329.78992219020165</v>
      </c>
      <c r="C35" s="10">
        <v>1824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1">
        <v>15882</v>
      </c>
      <c r="O35" s="123">
        <v>18035.789922190201</v>
      </c>
      <c r="P35" s="80">
        <f>O35/O$39</f>
        <v>8.4123361620661835E-2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0">
        <v>179</v>
      </c>
      <c r="D36" s="10">
        <v>0</v>
      </c>
      <c r="E36" s="10">
        <v>0</v>
      </c>
      <c r="F36" s="10">
        <v>0</v>
      </c>
      <c r="G36" s="121">
        <v>19250</v>
      </c>
      <c r="H36" s="10">
        <v>0</v>
      </c>
      <c r="I36" s="10"/>
      <c r="J36" s="10"/>
      <c r="K36" s="10"/>
      <c r="L36" s="10"/>
      <c r="N36" s="10">
        <v>31910</v>
      </c>
      <c r="O36" s="10">
        <v>51339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23">
        <v>3504.6456959654147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3227</v>
      </c>
      <c r="O37" s="123">
        <v>6731.6456959654151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2983</v>
      </c>
      <c r="O38" s="10">
        <v>2983</v>
      </c>
      <c r="P38" s="81">
        <f>SUM(P31:P35)</f>
        <v>0.71523077518094302</v>
      </c>
      <c r="Q38" s="81"/>
      <c r="R38" s="75"/>
      <c r="S38" s="83" t="s">
        <v>47</v>
      </c>
      <c r="T38" s="86">
        <f>O45/1000</f>
        <v>6.5735565446685893</v>
      </c>
      <c r="U38" s="83"/>
    </row>
    <row r="39" spans="1:48" x14ac:dyDescent="0.2">
      <c r="A39" s="8" t="s">
        <v>16</v>
      </c>
      <c r="B39" s="123">
        <v>5793.9234553314109</v>
      </c>
      <c r="C39" s="121">
        <v>109194</v>
      </c>
      <c r="D39" s="10">
        <v>0</v>
      </c>
      <c r="E39" s="121">
        <v>3</v>
      </c>
      <c r="F39" s="10">
        <v>8663</v>
      </c>
      <c r="G39" s="121">
        <v>19612</v>
      </c>
      <c r="H39" s="10">
        <v>0</v>
      </c>
      <c r="I39" s="10"/>
      <c r="J39" s="10"/>
      <c r="K39" s="10"/>
      <c r="L39" s="10"/>
      <c r="N39" s="10">
        <v>71131</v>
      </c>
      <c r="O39" s="123">
        <v>214396.92345533142</v>
      </c>
      <c r="P39" s="75"/>
      <c r="Q39" s="75"/>
      <c r="R39" s="75"/>
      <c r="S39" s="83" t="s">
        <v>48</v>
      </c>
      <c r="T39" s="90">
        <f>O41/1000</f>
        <v>61.053645695965415</v>
      </c>
      <c r="U39" s="78">
        <f>P41</f>
        <v>0.28476922481905698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18.035789922190201</v>
      </c>
      <c r="U40" s="79">
        <f>P35</f>
        <v>8.4123361620661835E-2</v>
      </c>
    </row>
    <row r="41" spans="1:48" x14ac:dyDescent="0.2">
      <c r="A41" s="14" t="s">
        <v>50</v>
      </c>
      <c r="B41" s="85">
        <f>B38+B37+B36</f>
        <v>3504.6456959654147</v>
      </c>
      <c r="C41" s="85">
        <f t="shared" ref="C41:O41" si="0">C38+C37+C36</f>
        <v>179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19250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38120</v>
      </c>
      <c r="O41" s="85">
        <f t="shared" si="0"/>
        <v>61053.645695965417</v>
      </c>
      <c r="P41" s="80">
        <f>O41/O$39</f>
        <v>0.28476922481905698</v>
      </c>
      <c r="Q41" s="80" t="s">
        <v>51</v>
      </c>
      <c r="R41" s="83"/>
      <c r="S41" s="83" t="s">
        <v>52</v>
      </c>
      <c r="T41" s="90">
        <f>O33/1000</f>
        <v>7.4044878371757941</v>
      </c>
      <c r="U41" s="78">
        <f>P33</f>
        <v>3.4536353030823613E-2</v>
      </c>
    </row>
    <row r="42" spans="1:48" x14ac:dyDescent="0.2">
      <c r="A42" s="15" t="s">
        <v>53</v>
      </c>
      <c r="B42" s="85"/>
      <c r="C42" s="88">
        <f>C39+C23+C10</f>
        <v>109194</v>
      </c>
      <c r="D42" s="88">
        <f t="shared" ref="D42:M42" si="1">D39+D23+D10</f>
        <v>0</v>
      </c>
      <c r="E42" s="88">
        <f t="shared" si="1"/>
        <v>3</v>
      </c>
      <c r="F42" s="88">
        <f t="shared" si="1"/>
        <v>8663</v>
      </c>
      <c r="G42" s="88">
        <f t="shared" si="1"/>
        <v>27192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76821.48</v>
      </c>
      <c r="O42" s="89">
        <f>SUM(C42:N42)</f>
        <v>221873.47999999998</v>
      </c>
      <c r="P42" s="83"/>
      <c r="Q42" s="83"/>
      <c r="R42" s="83"/>
      <c r="S42" s="83" t="s">
        <v>34</v>
      </c>
      <c r="T42" s="90">
        <f>O31/1000</f>
        <v>4.7699999999999996</v>
      </c>
      <c r="U42" s="78">
        <f>P31</f>
        <v>2.2248453583774523E-2</v>
      </c>
    </row>
    <row r="43" spans="1:48" x14ac:dyDescent="0.2">
      <c r="A43" s="15" t="s">
        <v>54</v>
      </c>
      <c r="B43" s="85"/>
      <c r="C43" s="80">
        <f t="shared" ref="C43:N43" si="2">C42/$O42</f>
        <v>0.49214534337316929</v>
      </c>
      <c r="D43" s="80">
        <f t="shared" si="2"/>
        <v>0</v>
      </c>
      <c r="E43" s="80">
        <f t="shared" si="2"/>
        <v>1.3521219390438191E-5</v>
      </c>
      <c r="F43" s="80">
        <f t="shared" si="2"/>
        <v>3.9044774526455349E-2</v>
      </c>
      <c r="G43" s="80">
        <f t="shared" si="2"/>
        <v>0.12255633255493177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0.34624002832605322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13.367000000000001</v>
      </c>
      <c r="U43" s="79">
        <f>P32</f>
        <v>6.2346976740946337E-2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109.76600000000001</v>
      </c>
      <c r="U44" s="79">
        <f>P34</f>
        <v>0.51197563020473669</v>
      </c>
    </row>
    <row r="45" spans="1:48" x14ac:dyDescent="0.2">
      <c r="A45" s="6" t="s">
        <v>57</v>
      </c>
      <c r="B45" s="91">
        <f>B23-B39</f>
        <v>883.07654466858912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5690.4800000000005</v>
      </c>
      <c r="O45" s="89">
        <f>B45+N45</f>
        <v>6573.5565446685896</v>
      </c>
      <c r="P45" s="83"/>
      <c r="Q45" s="83"/>
      <c r="R45" s="83"/>
      <c r="S45" s="83" t="s">
        <v>58</v>
      </c>
      <c r="T45" s="90">
        <f>SUM(T39:T44)</f>
        <v>214.39692345533143</v>
      </c>
      <c r="U45" s="78">
        <f>SUM(U39:U44)</f>
        <v>1</v>
      </c>
    </row>
    <row r="46" spans="1:48" x14ac:dyDescent="0.2">
      <c r="A46" s="6"/>
      <c r="B46" s="93">
        <f>B45/B23</f>
        <v>0.13225648414985608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73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62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595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64156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64813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12512</v>
      </c>
      <c r="C18" s="10">
        <v>448</v>
      </c>
      <c r="D18" s="10">
        <v>0</v>
      </c>
      <c r="E18" s="10">
        <v>0</v>
      </c>
      <c r="F18" s="10">
        <v>0</v>
      </c>
      <c r="G18" s="10">
        <v>14717</v>
      </c>
      <c r="H18" s="10">
        <v>0</v>
      </c>
      <c r="I18" s="10"/>
      <c r="J18" s="10"/>
      <c r="K18" s="10"/>
      <c r="L18" s="10"/>
      <c r="M18" s="10"/>
      <c r="N18" s="10"/>
      <c r="O18" s="10">
        <v>15165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155.98500000000001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12512</v>
      </c>
      <c r="C23" s="10">
        <v>448</v>
      </c>
      <c r="D23" s="10">
        <v>0</v>
      </c>
      <c r="E23" s="10">
        <v>0</v>
      </c>
      <c r="F23" s="10">
        <v>0</v>
      </c>
      <c r="G23" s="10">
        <v>14717</v>
      </c>
      <c r="H23" s="10">
        <v>0</v>
      </c>
      <c r="I23" s="10"/>
      <c r="J23" s="10"/>
      <c r="K23" s="10"/>
      <c r="L23" s="10"/>
      <c r="M23" s="10"/>
      <c r="N23" s="10"/>
      <c r="O23" s="10">
        <v>15165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47.25</v>
      </c>
      <c r="U24" s="78">
        <f>N43</f>
        <v>0.30291374170593327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37.258000000000003</v>
      </c>
      <c r="U25" s="79">
        <f>G43</f>
        <v>0.23885630028528385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5.2190000000000003</v>
      </c>
      <c r="U27" s="78">
        <f>F43</f>
        <v>3.3458345353719908E-2</v>
      </c>
    </row>
    <row r="28" spans="1:21" x14ac:dyDescent="0.2">
      <c r="A28" s="4" t="s">
        <v>73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12249</v>
      </c>
      <c r="D31" s="10">
        <v>0</v>
      </c>
      <c r="E31" s="10">
        <v>0</v>
      </c>
      <c r="F31" s="10">
        <v>1257</v>
      </c>
      <c r="G31" s="10">
        <v>0</v>
      </c>
      <c r="H31" s="10">
        <v>0</v>
      </c>
      <c r="I31" s="10"/>
      <c r="J31" s="10"/>
      <c r="K31" s="10"/>
      <c r="L31" s="10"/>
      <c r="N31" s="10">
        <v>8599</v>
      </c>
      <c r="O31" s="10">
        <v>22105</v>
      </c>
      <c r="P31" s="80">
        <f>O31/O$39</f>
        <v>0.14956021650879567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183</v>
      </c>
      <c r="C32" s="121">
        <f>C39-C31-C33-C34-C36</f>
        <v>665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0">
        <v>2285</v>
      </c>
      <c r="O32" s="121">
        <f>SUM(B32:N32)</f>
        <v>3133</v>
      </c>
      <c r="P32" s="80">
        <f>O32/O$39</f>
        <v>2.1197564276048714E-2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4043</v>
      </c>
      <c r="C33" s="10">
        <v>131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5623</v>
      </c>
      <c r="O33" s="10">
        <v>9797</v>
      </c>
      <c r="P33" s="80">
        <f>O33/O$39</f>
        <v>6.628552097428958E-2</v>
      </c>
      <c r="Q33" s="81" t="s">
        <v>39</v>
      </c>
      <c r="R33" s="75"/>
      <c r="S33" s="75" t="s">
        <v>35</v>
      </c>
      <c r="T33" s="77">
        <f>C42/1000</f>
        <v>66.257999999999996</v>
      </c>
      <c r="U33" s="79">
        <f>C43</f>
        <v>0.42477161265506297</v>
      </c>
    </row>
    <row r="34" spans="1:48" x14ac:dyDescent="0.2">
      <c r="A34" s="8" t="s">
        <v>40</v>
      </c>
      <c r="B34" s="10">
        <v>0</v>
      </c>
      <c r="C34" s="10">
        <v>52496</v>
      </c>
      <c r="D34" s="10">
        <v>0</v>
      </c>
      <c r="E34" s="10">
        <v>0</v>
      </c>
      <c r="F34" s="10">
        <v>3962</v>
      </c>
      <c r="G34" s="10">
        <v>0</v>
      </c>
      <c r="H34" s="10">
        <v>0</v>
      </c>
      <c r="I34" s="10"/>
      <c r="J34" s="10"/>
      <c r="K34" s="10"/>
      <c r="L34" s="10"/>
      <c r="N34" s="10">
        <v>6</v>
      </c>
      <c r="O34" s="10">
        <v>56465</v>
      </c>
      <c r="P34" s="80">
        <f>O34/O$39</f>
        <v>0.38203653585926928</v>
      </c>
      <c r="Q34" s="81" t="s">
        <v>41</v>
      </c>
      <c r="R34" s="75"/>
      <c r="S34" s="75"/>
      <c r="T34" s="77">
        <f>SUM(T24:T33)</f>
        <v>155.98500000000001</v>
      </c>
      <c r="U34" s="78">
        <f>SUM(U24:U33)</f>
        <v>1</v>
      </c>
    </row>
    <row r="35" spans="1:48" x14ac:dyDescent="0.2">
      <c r="A35" s="8" t="s">
        <v>42</v>
      </c>
      <c r="B35" s="10">
        <v>699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6770</v>
      </c>
      <c r="O35" s="10">
        <v>7469</v>
      </c>
      <c r="P35" s="80">
        <f>O35/O$39</f>
        <v>5.0534506089309879E-2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1737</v>
      </c>
      <c r="C36" s="121">
        <v>269</v>
      </c>
      <c r="D36" s="10">
        <v>0</v>
      </c>
      <c r="E36" s="10">
        <v>0</v>
      </c>
      <c r="F36" s="10">
        <v>0</v>
      </c>
      <c r="G36" s="10">
        <v>22541</v>
      </c>
      <c r="H36" s="10">
        <v>0</v>
      </c>
      <c r="I36" s="10"/>
      <c r="J36" s="10"/>
      <c r="K36" s="10"/>
      <c r="L36" s="10"/>
      <c r="N36" s="10">
        <v>17937</v>
      </c>
      <c r="O36" s="121">
        <f>O39-SUM(O31:O35)-SUM(O37:O38)</f>
        <v>42484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3817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1635</v>
      </c>
      <c r="O37" s="10">
        <v>5452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895</v>
      </c>
      <c r="O38" s="10">
        <v>895</v>
      </c>
      <c r="P38" s="81">
        <f>SUM(P31:P35)</f>
        <v>0.66961434370771311</v>
      </c>
      <c r="Q38" s="81"/>
      <c r="R38" s="75"/>
      <c r="S38" s="83" t="s">
        <v>47</v>
      </c>
      <c r="T38" s="86">
        <f>O45/1000</f>
        <v>5.5330000000000004</v>
      </c>
      <c r="U38" s="83"/>
    </row>
    <row r="39" spans="1:48" x14ac:dyDescent="0.2">
      <c r="A39" s="8" t="s">
        <v>16</v>
      </c>
      <c r="B39" s="10">
        <v>10479</v>
      </c>
      <c r="C39" s="10">
        <v>65810</v>
      </c>
      <c r="D39" s="10">
        <v>0</v>
      </c>
      <c r="E39" s="10">
        <v>0</v>
      </c>
      <c r="F39" s="10">
        <v>5219</v>
      </c>
      <c r="G39" s="10">
        <v>22541</v>
      </c>
      <c r="H39" s="10">
        <v>0</v>
      </c>
      <c r="I39" s="10"/>
      <c r="J39" s="10"/>
      <c r="K39" s="10"/>
      <c r="L39" s="10"/>
      <c r="N39" s="10">
        <v>43750</v>
      </c>
      <c r="O39" s="10">
        <v>147800</v>
      </c>
      <c r="P39" s="75"/>
      <c r="Q39" s="75"/>
      <c r="R39" s="75"/>
      <c r="S39" s="83" t="s">
        <v>48</v>
      </c>
      <c r="T39" s="90">
        <f>O41/1000</f>
        <v>48.831000000000003</v>
      </c>
      <c r="U39" s="78">
        <f>P41</f>
        <v>0.33038565629228689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7.4690000000000003</v>
      </c>
      <c r="U40" s="79">
        <f>P35</f>
        <v>5.0534506089309879E-2</v>
      </c>
    </row>
    <row r="41" spans="1:48" x14ac:dyDescent="0.2">
      <c r="A41" s="14" t="s">
        <v>50</v>
      </c>
      <c r="B41" s="85">
        <f>B38+B37+B36</f>
        <v>5554</v>
      </c>
      <c r="C41" s="85">
        <f t="shared" ref="C41:O41" si="0">C38+C37+C36</f>
        <v>269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22541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20467</v>
      </c>
      <c r="O41" s="85">
        <f t="shared" si="0"/>
        <v>48831</v>
      </c>
      <c r="P41" s="80">
        <f>O41/O$39</f>
        <v>0.33038565629228689</v>
      </c>
      <c r="Q41" s="80" t="s">
        <v>51</v>
      </c>
      <c r="R41" s="83"/>
      <c r="S41" s="83" t="s">
        <v>52</v>
      </c>
      <c r="T41" s="90">
        <f>O33/1000</f>
        <v>9.7970000000000006</v>
      </c>
      <c r="U41" s="78">
        <f>P33</f>
        <v>6.628552097428958E-2</v>
      </c>
    </row>
    <row r="42" spans="1:48" x14ac:dyDescent="0.2">
      <c r="A42" s="15" t="s">
        <v>53</v>
      </c>
      <c r="B42" s="85"/>
      <c r="C42" s="88">
        <f>C39+C23+C10</f>
        <v>66258</v>
      </c>
      <c r="D42" s="88">
        <f t="shared" ref="D42:M42" si="1">D39+D23+D10</f>
        <v>0</v>
      </c>
      <c r="E42" s="88">
        <f t="shared" si="1"/>
        <v>0</v>
      </c>
      <c r="F42" s="88">
        <f t="shared" si="1"/>
        <v>5219</v>
      </c>
      <c r="G42" s="88">
        <f t="shared" si="1"/>
        <v>37258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47250</v>
      </c>
      <c r="O42" s="89">
        <f>SUM(C42:N42)</f>
        <v>155985</v>
      </c>
      <c r="P42" s="83"/>
      <c r="Q42" s="83"/>
      <c r="R42" s="83"/>
      <c r="S42" s="83" t="s">
        <v>34</v>
      </c>
      <c r="T42" s="90">
        <f>O31/1000</f>
        <v>22.105</v>
      </c>
      <c r="U42" s="78">
        <f>P31</f>
        <v>0.14956021650879567</v>
      </c>
    </row>
    <row r="43" spans="1:48" x14ac:dyDescent="0.2">
      <c r="A43" s="15" t="s">
        <v>54</v>
      </c>
      <c r="B43" s="85"/>
      <c r="C43" s="80">
        <f t="shared" ref="C43:N43" si="2">C42/$O42</f>
        <v>0.42477161265506297</v>
      </c>
      <c r="D43" s="80">
        <f t="shared" si="2"/>
        <v>0</v>
      </c>
      <c r="E43" s="80">
        <f t="shared" si="2"/>
        <v>0</v>
      </c>
      <c r="F43" s="80">
        <f t="shared" si="2"/>
        <v>3.3458345353719908E-2</v>
      </c>
      <c r="G43" s="80">
        <f t="shared" si="2"/>
        <v>0.23885630028528385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0.30291374170593327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3.133</v>
      </c>
      <c r="U43" s="79">
        <f>P32</f>
        <v>2.1197564276048714E-2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56.465000000000003</v>
      </c>
      <c r="U44" s="79">
        <f>P34</f>
        <v>0.38203653585926928</v>
      </c>
    </row>
    <row r="45" spans="1:48" x14ac:dyDescent="0.2">
      <c r="A45" s="6" t="s">
        <v>57</v>
      </c>
      <c r="B45" s="91">
        <f>B23-B39</f>
        <v>2033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3500</v>
      </c>
      <c r="O45" s="89">
        <f>B45+N45</f>
        <v>5533</v>
      </c>
      <c r="P45" s="83"/>
      <c r="Q45" s="83"/>
      <c r="R45" s="83"/>
      <c r="S45" s="83" t="s">
        <v>58</v>
      </c>
      <c r="T45" s="90">
        <f>SUM(T39:T44)</f>
        <v>147.80000000000001</v>
      </c>
      <c r="U45" s="78">
        <f>SUM(U39:U44)</f>
        <v>1</v>
      </c>
    </row>
    <row r="46" spans="1:48" x14ac:dyDescent="0.2">
      <c r="A46" s="6"/>
      <c r="B46" s="93">
        <f>B45/B23</f>
        <v>0.16248401534526855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7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AV66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74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342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518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15340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10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16200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10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0">
        <v>7722</v>
      </c>
      <c r="C18" s="10">
        <v>0</v>
      </c>
      <c r="D18" s="10">
        <v>0</v>
      </c>
      <c r="E18" s="10">
        <v>0</v>
      </c>
      <c r="F18" s="10">
        <v>0</v>
      </c>
      <c r="G18" s="120">
        <v>8500</v>
      </c>
      <c r="H18" s="10">
        <v>0</v>
      </c>
      <c r="I18" s="10"/>
      <c r="J18" s="10"/>
      <c r="K18" s="10"/>
      <c r="L18" s="10"/>
      <c r="M18" s="10"/>
      <c r="N18" s="10"/>
      <c r="O18" s="120">
        <f>G18</f>
        <v>8500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166.55160000000001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v>7722</v>
      </c>
      <c r="C23" s="10">
        <v>0</v>
      </c>
      <c r="D23" s="10">
        <v>0</v>
      </c>
      <c r="E23" s="10">
        <v>0</v>
      </c>
      <c r="F23" s="10">
        <v>0</v>
      </c>
      <c r="G23" s="120">
        <f>G18</f>
        <v>8500</v>
      </c>
      <c r="H23" s="10">
        <v>0</v>
      </c>
      <c r="I23" s="10"/>
      <c r="J23" s="10"/>
      <c r="K23" s="10"/>
      <c r="L23" s="10"/>
      <c r="M23" s="10"/>
      <c r="N23" s="10"/>
      <c r="O23" s="120">
        <f>O18</f>
        <v>8500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98.436600000000013</v>
      </c>
      <c r="U24" s="78">
        <f>N43</f>
        <v>0.59102764548644382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29.734000000000002</v>
      </c>
      <c r="U25" s="79">
        <f>G43</f>
        <v>0.1785272552170018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2.266</v>
      </c>
      <c r="U27" s="78">
        <f>F43</f>
        <v>1.3605393163440038E-2</v>
      </c>
    </row>
    <row r="28" spans="1:21" x14ac:dyDescent="0.2">
      <c r="A28" s="4" t="s">
        <v>74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5.0380000000000003</v>
      </c>
      <c r="U28" s="78">
        <f>E43</f>
        <v>3.0248883829395813E-2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8671</v>
      </c>
      <c r="D31" s="10">
        <v>0</v>
      </c>
      <c r="E31" s="10">
        <v>0</v>
      </c>
      <c r="F31" s="10">
        <v>860</v>
      </c>
      <c r="G31" s="10">
        <v>0</v>
      </c>
      <c r="H31" s="10">
        <v>0</v>
      </c>
      <c r="I31" s="10"/>
      <c r="J31" s="10"/>
      <c r="K31" s="10"/>
      <c r="L31" s="10"/>
      <c r="N31" s="121">
        <f>O31-F31-C31</f>
        <v>9219</v>
      </c>
      <c r="O31" s="121">
        <f>O39-SUM(O32:O38)</f>
        <v>18750</v>
      </c>
      <c r="P31" s="80">
        <f>O31/O$39</f>
        <v>0.11877236879612327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21">
        <v>1014</v>
      </c>
      <c r="C32" s="10">
        <v>1269</v>
      </c>
      <c r="D32" s="10">
        <v>0</v>
      </c>
      <c r="E32" s="121">
        <f>E39</f>
        <v>5038</v>
      </c>
      <c r="F32" s="10">
        <v>0</v>
      </c>
      <c r="G32" s="121">
        <f>G39-G36</f>
        <v>834</v>
      </c>
      <c r="H32" s="10">
        <v>0</v>
      </c>
      <c r="I32" s="10"/>
      <c r="J32" s="10"/>
      <c r="K32" s="10"/>
      <c r="L32" s="10"/>
      <c r="N32" s="121">
        <f>O32-SUM(B32:M32)</f>
        <v>49502</v>
      </c>
      <c r="O32" s="10">
        <v>57657</v>
      </c>
      <c r="P32" s="80">
        <f>O32/O$39</f>
        <v>0.36522978494283093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21">
        <v>3766</v>
      </c>
      <c r="C33" s="10">
        <v>20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21">
        <v>4857</v>
      </c>
      <c r="O33" s="121">
        <f>SUM(B33:N33)</f>
        <v>8643</v>
      </c>
      <c r="P33" s="80">
        <f>O33/O$39</f>
        <v>5.4749311120260984E-2</v>
      </c>
      <c r="Q33" s="81" t="s">
        <v>39</v>
      </c>
      <c r="R33" s="75"/>
      <c r="S33" s="75" t="s">
        <v>35</v>
      </c>
      <c r="T33" s="77">
        <f>C42/1000</f>
        <v>31.077000000000002</v>
      </c>
      <c r="U33" s="79">
        <f>C43</f>
        <v>0.18659082230371848</v>
      </c>
    </row>
    <row r="34" spans="1:48" x14ac:dyDescent="0.2">
      <c r="A34" s="8" t="s">
        <v>40</v>
      </c>
      <c r="B34" s="10">
        <v>0</v>
      </c>
      <c r="C34" s="10">
        <v>20395</v>
      </c>
      <c r="D34" s="10">
        <v>0</v>
      </c>
      <c r="E34" s="10">
        <v>0</v>
      </c>
      <c r="F34" s="10">
        <v>1406</v>
      </c>
      <c r="G34" s="10">
        <v>0</v>
      </c>
      <c r="H34" s="10">
        <v>0</v>
      </c>
      <c r="I34" s="10"/>
      <c r="J34" s="10"/>
      <c r="K34" s="10"/>
      <c r="L34" s="10"/>
      <c r="N34" s="10">
        <v>0</v>
      </c>
      <c r="O34" s="10">
        <v>21801</v>
      </c>
      <c r="P34" s="80">
        <f>O34/O$39</f>
        <v>0.13809900864662844</v>
      </c>
      <c r="Q34" s="81" t="s">
        <v>41</v>
      </c>
      <c r="R34" s="75"/>
      <c r="S34" s="75"/>
      <c r="T34" s="77">
        <f>SUM(T24:T33)</f>
        <v>166.55160000000001</v>
      </c>
      <c r="U34" s="78">
        <f>SUM(U24:U33)</f>
        <v>1</v>
      </c>
    </row>
    <row r="35" spans="1:48" x14ac:dyDescent="0.2">
      <c r="A35" s="8" t="s">
        <v>42</v>
      </c>
      <c r="B35" s="121">
        <v>641</v>
      </c>
      <c r="C35" s="10">
        <v>358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1">
        <f>O35-SUM(B35:L35)</f>
        <v>5172</v>
      </c>
      <c r="O35" s="10">
        <v>6171</v>
      </c>
      <c r="P35" s="80">
        <f>O35/O$39</f>
        <v>3.9090362018180093E-2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21">
        <f>(79+75+71)/3</f>
        <v>75</v>
      </c>
      <c r="C36" s="10">
        <v>257</v>
      </c>
      <c r="D36" s="10">
        <v>0</v>
      </c>
      <c r="E36" s="10">
        <v>0</v>
      </c>
      <c r="F36" s="10">
        <v>0</v>
      </c>
      <c r="G36" s="121">
        <v>20400</v>
      </c>
      <c r="H36" s="10">
        <v>0</v>
      </c>
      <c r="I36" s="10"/>
      <c r="J36" s="10"/>
      <c r="K36" s="10"/>
      <c r="L36" s="10"/>
      <c r="N36" s="121">
        <f>O36-G36-B36-C36</f>
        <v>19204</v>
      </c>
      <c r="O36" s="10">
        <v>39936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21">
        <v>1609</v>
      </c>
      <c r="C37" s="10">
        <v>107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21">
        <f>O37-B37-C37</f>
        <v>2366</v>
      </c>
      <c r="O37" s="10">
        <v>4082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825</v>
      </c>
      <c r="O38" s="121">
        <f>N38</f>
        <v>825</v>
      </c>
      <c r="P38" s="81">
        <f>SUM(P31:P35)</f>
        <v>0.71594083552402366</v>
      </c>
      <c r="Q38" s="81"/>
      <c r="R38" s="75"/>
      <c r="S38" s="83" t="s">
        <v>47</v>
      </c>
      <c r="T38" s="86">
        <f>O45/1000</f>
        <v>7.9086000000000007</v>
      </c>
      <c r="U38" s="83"/>
    </row>
    <row r="39" spans="1:48" x14ac:dyDescent="0.2">
      <c r="A39" s="8" t="s">
        <v>16</v>
      </c>
      <c r="B39" s="121">
        <f>SUM(B31:B38)</f>
        <v>7105</v>
      </c>
      <c r="C39" s="10">
        <v>31077</v>
      </c>
      <c r="D39" s="10">
        <v>0</v>
      </c>
      <c r="E39" s="121">
        <f>O39-SUM(F39:N39,B39:C39)</f>
        <v>5038</v>
      </c>
      <c r="F39" s="10">
        <v>2266</v>
      </c>
      <c r="G39" s="10">
        <v>21234</v>
      </c>
      <c r="H39" s="10">
        <v>0</v>
      </c>
      <c r="I39" s="10"/>
      <c r="J39" s="10"/>
      <c r="K39" s="10"/>
      <c r="L39" s="10"/>
      <c r="N39" s="10">
        <v>91145</v>
      </c>
      <c r="O39" s="10">
        <v>157865</v>
      </c>
      <c r="P39" s="75"/>
      <c r="Q39" s="75"/>
      <c r="R39" s="75"/>
      <c r="S39" s="83" t="s">
        <v>48</v>
      </c>
      <c r="T39" s="90">
        <f>O41/1000</f>
        <v>44.843000000000004</v>
      </c>
      <c r="U39" s="78">
        <f>P41</f>
        <v>0.28405916447597629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6.1710000000000003</v>
      </c>
      <c r="U40" s="79">
        <f>P35</f>
        <v>3.9090362018180093E-2</v>
      </c>
    </row>
    <row r="41" spans="1:48" x14ac:dyDescent="0.2">
      <c r="A41" s="14" t="s">
        <v>50</v>
      </c>
      <c r="B41" s="85">
        <f>B38+B37+B36</f>
        <v>1684</v>
      </c>
      <c r="C41" s="85">
        <f t="shared" ref="C41:O41" si="0">C38+C37+C36</f>
        <v>364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20400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22395</v>
      </c>
      <c r="O41" s="85">
        <f t="shared" si="0"/>
        <v>44843</v>
      </c>
      <c r="P41" s="80">
        <f>O41/O$39</f>
        <v>0.28405916447597629</v>
      </c>
      <c r="Q41" s="80" t="s">
        <v>51</v>
      </c>
      <c r="R41" s="83"/>
      <c r="S41" s="83" t="s">
        <v>52</v>
      </c>
      <c r="T41" s="90">
        <f>O33/1000</f>
        <v>8.6430000000000007</v>
      </c>
      <c r="U41" s="78">
        <f>P33</f>
        <v>5.4749311120260984E-2</v>
      </c>
    </row>
    <row r="42" spans="1:48" x14ac:dyDescent="0.2">
      <c r="A42" s="15" t="s">
        <v>53</v>
      </c>
      <c r="B42" s="85"/>
      <c r="C42" s="88">
        <f>C39+C23+C10</f>
        <v>31077</v>
      </c>
      <c r="D42" s="88">
        <f t="shared" ref="D42:M42" si="1">D39+D23+D10</f>
        <v>0</v>
      </c>
      <c r="E42" s="88">
        <f t="shared" si="1"/>
        <v>5038</v>
      </c>
      <c r="F42" s="88">
        <f t="shared" si="1"/>
        <v>2266</v>
      </c>
      <c r="G42" s="88">
        <f t="shared" si="1"/>
        <v>29734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98436.6</v>
      </c>
      <c r="O42" s="89">
        <f>SUM(C42:N42)</f>
        <v>166551.6</v>
      </c>
      <c r="P42" s="83"/>
      <c r="Q42" s="83"/>
      <c r="R42" s="83"/>
      <c r="S42" s="83" t="s">
        <v>34</v>
      </c>
      <c r="T42" s="90">
        <f>O31/1000</f>
        <v>18.75</v>
      </c>
      <c r="U42" s="78">
        <f>P31</f>
        <v>0.11877236879612327</v>
      </c>
    </row>
    <row r="43" spans="1:48" x14ac:dyDescent="0.2">
      <c r="A43" s="15" t="s">
        <v>54</v>
      </c>
      <c r="B43" s="85"/>
      <c r="C43" s="80">
        <f t="shared" ref="C43:N43" si="2">C42/$O42</f>
        <v>0.18659082230371848</v>
      </c>
      <c r="D43" s="80">
        <f t="shared" si="2"/>
        <v>0</v>
      </c>
      <c r="E43" s="80">
        <f t="shared" si="2"/>
        <v>3.0248883829395813E-2</v>
      </c>
      <c r="F43" s="80">
        <f t="shared" si="2"/>
        <v>1.3605393163440038E-2</v>
      </c>
      <c r="G43" s="80">
        <f t="shared" si="2"/>
        <v>0.1785272552170018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0.59102764548644382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57.656999999999996</v>
      </c>
      <c r="U43" s="79">
        <f>P32</f>
        <v>0.36522978494283093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21.800999999999998</v>
      </c>
      <c r="U44" s="79">
        <f>P34</f>
        <v>0.13809900864662844</v>
      </c>
    </row>
    <row r="45" spans="1:48" x14ac:dyDescent="0.2">
      <c r="A45" s="6" t="s">
        <v>57</v>
      </c>
      <c r="B45" s="91">
        <f>B23-B39</f>
        <v>617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7291.6</v>
      </c>
      <c r="O45" s="89">
        <f>B45+N45</f>
        <v>7908.6</v>
      </c>
      <c r="P45" s="83"/>
      <c r="Q45" s="83"/>
      <c r="R45" s="83"/>
      <c r="S45" s="83" t="s">
        <v>58</v>
      </c>
      <c r="T45" s="90">
        <f>SUM(T39:T44)</f>
        <v>157.86500000000001</v>
      </c>
      <c r="U45" s="78">
        <f>SUM(U39:U44)</f>
        <v>1</v>
      </c>
    </row>
    <row r="46" spans="1:48" x14ac:dyDescent="0.2">
      <c r="A46" s="6"/>
      <c r="B46" s="93">
        <f>B45/B23</f>
        <v>7.9901579901579908E-2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7"/>
      <c r="G51" s="16"/>
      <c r="H51" s="17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7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7"/>
      <c r="B53" s="7"/>
      <c r="C53" s="18"/>
      <c r="D53" s="18"/>
      <c r="E53" s="18"/>
      <c r="F53" s="18"/>
      <c r="G53" s="18"/>
      <c r="H53" s="18"/>
      <c r="I53" s="18"/>
      <c r="J53" s="18"/>
      <c r="K53" s="18"/>
      <c r="L53" s="6"/>
      <c r="M53" s="29"/>
      <c r="N53" s="19"/>
      <c r="O53" s="7"/>
      <c r="P53" s="6"/>
      <c r="Q53" s="12"/>
      <c r="R53" s="7"/>
      <c r="S53" s="7"/>
      <c r="T53" s="6"/>
      <c r="U53" s="20"/>
    </row>
    <row r="54" spans="1:48" x14ac:dyDescent="0.2">
      <c r="A54" s="7"/>
      <c r="B54" s="7"/>
      <c r="C54" s="18"/>
      <c r="D54" s="18"/>
      <c r="E54" s="18"/>
      <c r="F54" s="18"/>
      <c r="G54" s="18"/>
      <c r="H54" s="18"/>
      <c r="I54" s="18"/>
      <c r="J54" s="18"/>
      <c r="K54" s="18"/>
      <c r="L54" s="6"/>
      <c r="M54" s="29"/>
      <c r="N54" s="19"/>
      <c r="O54" s="7"/>
      <c r="P54" s="6"/>
      <c r="Q54" s="12"/>
      <c r="R54" s="7"/>
      <c r="S54" s="7"/>
      <c r="T54" s="6"/>
      <c r="U54" s="20"/>
    </row>
    <row r="55" spans="1:48" x14ac:dyDescent="0.2">
      <c r="A55" s="7"/>
      <c r="B55" s="7"/>
      <c r="C55" s="18"/>
      <c r="D55" s="18"/>
      <c r="E55" s="18"/>
      <c r="F55" s="18"/>
      <c r="G55" s="18"/>
      <c r="H55" s="18"/>
      <c r="I55" s="18"/>
      <c r="J55" s="18"/>
      <c r="K55" s="18"/>
      <c r="L55" s="6"/>
      <c r="M55" s="29"/>
      <c r="N55" s="19"/>
      <c r="O55" s="7"/>
      <c r="P55" s="6"/>
      <c r="Q55" s="12"/>
      <c r="R55" s="7"/>
      <c r="S55" s="7"/>
      <c r="T55" s="6"/>
      <c r="U55" s="20"/>
    </row>
    <row r="56" spans="1:48" x14ac:dyDescent="0.2">
      <c r="A56" s="15"/>
      <c r="B56" s="7"/>
      <c r="C56" s="18"/>
      <c r="D56" s="18"/>
      <c r="E56" s="18"/>
      <c r="F56" s="18"/>
      <c r="G56" s="18"/>
      <c r="H56" s="18"/>
      <c r="I56" s="18"/>
      <c r="J56" s="18"/>
      <c r="K56" s="18"/>
      <c r="L56" s="6"/>
      <c r="M56" s="29"/>
      <c r="N56" s="19"/>
      <c r="O56" s="7"/>
      <c r="P56" s="6"/>
      <c r="Q56" s="12"/>
      <c r="R56" s="7"/>
      <c r="S56" s="7"/>
      <c r="T56" s="6"/>
      <c r="U56" s="20"/>
    </row>
    <row r="57" spans="1:48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6"/>
      <c r="M57" s="29"/>
      <c r="N57" s="19"/>
      <c r="O57" s="7"/>
      <c r="P57" s="6"/>
      <c r="Q57" s="12"/>
      <c r="R57" s="7"/>
      <c r="S57" s="7"/>
      <c r="T57" s="21"/>
      <c r="U57" s="22"/>
    </row>
    <row r="58" spans="1:48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6"/>
    </row>
    <row r="59" spans="1:48" x14ac:dyDescent="0.2">
      <c r="A59" s="7"/>
      <c r="B59" s="23"/>
      <c r="C59" s="23"/>
      <c r="D59" s="23"/>
      <c r="E59" s="23"/>
      <c r="F59" s="23"/>
      <c r="G59" s="23"/>
      <c r="H59" s="23"/>
      <c r="I59" s="23"/>
      <c r="J59" s="7"/>
      <c r="K59" s="7"/>
      <c r="L59" s="7"/>
      <c r="M59" s="7"/>
      <c r="N59" s="7"/>
      <c r="O59" s="7"/>
      <c r="P59" s="7"/>
      <c r="Q59" s="7"/>
      <c r="R59" s="7"/>
      <c r="S59" s="7"/>
      <c r="T59" s="23"/>
      <c r="U59" s="24"/>
    </row>
    <row r="60" spans="1:48" x14ac:dyDescent="0.2">
      <c r="A60" s="7"/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7"/>
      <c r="N60" s="7"/>
      <c r="O60" s="7"/>
      <c r="P60" s="6"/>
      <c r="Q60" s="19"/>
      <c r="R60" s="7"/>
      <c r="S60" s="7"/>
      <c r="T60" s="6"/>
      <c r="U60" s="20"/>
    </row>
    <row r="61" spans="1:48" x14ac:dyDescent="0.2">
      <c r="A61" s="7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  <c r="N61" s="7"/>
      <c r="O61" s="7"/>
      <c r="P61" s="6"/>
      <c r="Q61" s="19"/>
      <c r="R61" s="7"/>
      <c r="S61" s="7"/>
      <c r="T61" s="6"/>
      <c r="U61" s="20"/>
    </row>
    <row r="62" spans="1:48" x14ac:dyDescent="0.2">
      <c r="A62" s="7"/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7"/>
      <c r="N62" s="7"/>
      <c r="O62" s="7"/>
      <c r="P62" s="6"/>
      <c r="Q62" s="19"/>
      <c r="R62" s="7"/>
      <c r="S62" s="7"/>
      <c r="T62" s="6"/>
      <c r="U62" s="20"/>
    </row>
    <row r="63" spans="1:48" x14ac:dyDescent="0.2">
      <c r="A63" s="7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19"/>
      <c r="R63" s="7"/>
      <c r="S63" s="7"/>
      <c r="T63" s="6"/>
      <c r="U63" s="20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21"/>
      <c r="C66" s="21"/>
      <c r="D66" s="21"/>
      <c r="E66" s="21"/>
      <c r="F66" s="21"/>
      <c r="G66" s="21"/>
      <c r="H66" s="21"/>
      <c r="I66" s="21"/>
      <c r="J66" s="7"/>
      <c r="K66" s="7"/>
      <c r="L66" s="7"/>
      <c r="M66" s="7"/>
      <c r="N66" s="7"/>
      <c r="O66" s="7"/>
      <c r="P66" s="21"/>
      <c r="Q66" s="25"/>
      <c r="R66" s="7"/>
      <c r="S66" s="26"/>
      <c r="T66" s="21"/>
      <c r="U66" s="25"/>
    </row>
  </sheetData>
  <pageMargins left="0.75" right="0.75" top="0.75" bottom="0.5" header="0.5" footer="0.75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75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62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4720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13082.4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17864.400000000001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A16" s="7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0</v>
      </c>
      <c r="C17" s="119">
        <v>0</v>
      </c>
      <c r="D17" s="10">
        <v>0</v>
      </c>
      <c r="E17" s="10">
        <v>0</v>
      </c>
      <c r="F17" s="10">
        <v>0</v>
      </c>
      <c r="G17" s="119">
        <v>0</v>
      </c>
      <c r="H17" s="10">
        <v>0</v>
      </c>
      <c r="I17" s="10"/>
      <c r="J17" s="10"/>
      <c r="K17" s="10"/>
      <c r="L17" s="10"/>
      <c r="M17" s="10"/>
      <c r="N17" s="10"/>
      <c r="O17" s="119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15700</v>
      </c>
      <c r="C18" s="119">
        <v>200</v>
      </c>
      <c r="D18" s="10">
        <v>0</v>
      </c>
      <c r="E18" s="10">
        <v>0</v>
      </c>
      <c r="F18" s="10">
        <v>0</v>
      </c>
      <c r="G18" s="119">
        <v>15600</v>
      </c>
      <c r="H18" s="10">
        <v>0</v>
      </c>
      <c r="I18" s="10"/>
      <c r="J18" s="10"/>
      <c r="K18" s="10"/>
      <c r="L18" s="10"/>
      <c r="M18" s="10"/>
      <c r="N18" s="10"/>
      <c r="O18" s="119">
        <f>SUM(C18:H18)</f>
        <v>15800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59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59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59">
        <v>0</v>
      </c>
      <c r="P21" s="75"/>
      <c r="Q21" s="75"/>
      <c r="R21" s="75"/>
      <c r="S21" s="75" t="s">
        <v>26</v>
      </c>
      <c r="T21" s="76">
        <f>O42/1000</f>
        <v>171.67752000000002</v>
      </c>
      <c r="U21" s="75"/>
    </row>
    <row r="22" spans="1:21" x14ac:dyDescent="0.2">
      <c r="A22" s="8" t="s">
        <v>25</v>
      </c>
      <c r="B22" s="119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59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B18</f>
        <v>15700</v>
      </c>
      <c r="C23" s="119">
        <f>C18</f>
        <v>200</v>
      </c>
      <c r="D23" s="119">
        <f t="shared" ref="D23:H23" si="0">D18</f>
        <v>0</v>
      </c>
      <c r="E23" s="119">
        <f t="shared" si="0"/>
        <v>0</v>
      </c>
      <c r="F23" s="119">
        <f t="shared" si="0"/>
        <v>0</v>
      </c>
      <c r="G23" s="119">
        <f t="shared" si="0"/>
        <v>15600</v>
      </c>
      <c r="H23" s="119">
        <f t="shared" si="0"/>
        <v>0</v>
      </c>
      <c r="I23" s="10"/>
      <c r="J23" s="10"/>
      <c r="K23" s="10"/>
      <c r="L23" s="10"/>
      <c r="M23" s="10"/>
      <c r="N23" s="10"/>
      <c r="O23" s="119">
        <f t="shared" ref="O23" si="1">SUM(C23:H23)</f>
        <v>15800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81.128520000000009</v>
      </c>
      <c r="U24" s="78">
        <f>N43</f>
        <v>0.47256344336754164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29.768000000000001</v>
      </c>
      <c r="U25" s="79">
        <f>G43</f>
        <v>0.1733948626471305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4.0069999999999997</v>
      </c>
      <c r="U27" s="78">
        <f>F43</f>
        <v>2.3340271923778952E-2</v>
      </c>
    </row>
    <row r="28" spans="1:21" x14ac:dyDescent="0.2">
      <c r="A28" s="4" t="s">
        <v>75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0.51400000000000001</v>
      </c>
      <c r="U28" s="78">
        <f>E43</f>
        <v>2.9939854676372304E-3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1625</v>
      </c>
      <c r="D31" s="10">
        <v>0</v>
      </c>
      <c r="E31" s="10">
        <v>0</v>
      </c>
      <c r="F31" s="10">
        <v>168</v>
      </c>
      <c r="G31" s="10">
        <v>0</v>
      </c>
      <c r="H31" s="10">
        <v>0</v>
      </c>
      <c r="I31" s="10"/>
      <c r="J31" s="10"/>
      <c r="K31" s="10"/>
      <c r="L31" s="10"/>
      <c r="N31" s="10">
        <v>3670</v>
      </c>
      <c r="O31" s="10">
        <v>5463</v>
      </c>
      <c r="P31" s="80">
        <f>O31/O$39</f>
        <v>3.3215784033562352E-2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289</v>
      </c>
      <c r="C32" s="10">
        <v>1323</v>
      </c>
      <c r="D32" s="10">
        <v>0</v>
      </c>
      <c r="E32" s="121">
        <f>E39</f>
        <v>514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21">
        <f>O32-E32-C32-B32</f>
        <v>9007</v>
      </c>
      <c r="O32" s="10">
        <v>11133</v>
      </c>
      <c r="P32" s="80">
        <f>O32/O$39</f>
        <v>6.7690156259500214E-2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4063</v>
      </c>
      <c r="C33" s="10">
        <v>582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19140</v>
      </c>
      <c r="O33" s="10">
        <v>23785</v>
      </c>
      <c r="P33" s="80">
        <f>O33/O$39</f>
        <v>0.14461603939928255</v>
      </c>
      <c r="Q33" s="81" t="s">
        <v>39</v>
      </c>
      <c r="R33" s="75"/>
      <c r="S33" s="75" t="s">
        <v>35</v>
      </c>
      <c r="T33" s="77">
        <f>C42/1000</f>
        <v>56.26</v>
      </c>
      <c r="U33" s="79">
        <f>C43</f>
        <v>0.32770743659391161</v>
      </c>
    </row>
    <row r="34" spans="1:48" x14ac:dyDescent="0.2">
      <c r="A34" s="8" t="s">
        <v>40</v>
      </c>
      <c r="B34" s="10">
        <v>0</v>
      </c>
      <c r="C34" s="10">
        <v>51775</v>
      </c>
      <c r="D34" s="10">
        <v>0</v>
      </c>
      <c r="E34" s="10">
        <v>0</v>
      </c>
      <c r="F34" s="10">
        <v>3839</v>
      </c>
      <c r="G34" s="10">
        <v>0</v>
      </c>
      <c r="H34" s="10">
        <v>0</v>
      </c>
      <c r="I34" s="10"/>
      <c r="J34" s="10"/>
      <c r="K34" s="10"/>
      <c r="L34" s="10"/>
      <c r="N34" s="10">
        <v>169</v>
      </c>
      <c r="O34" s="10">
        <v>55783</v>
      </c>
      <c r="P34" s="80">
        <f>O34/O$39</f>
        <v>0.33916823736851703</v>
      </c>
      <c r="Q34" s="81" t="s">
        <v>41</v>
      </c>
      <c r="R34" s="75"/>
      <c r="S34" s="75"/>
      <c r="T34" s="77">
        <f>SUM(T24:T33)</f>
        <v>171.67752000000002</v>
      </c>
      <c r="U34" s="78">
        <f>SUM(U24:U33)</f>
        <v>0.99999999999999978</v>
      </c>
    </row>
    <row r="35" spans="1:48" x14ac:dyDescent="0.2">
      <c r="A35" s="8" t="s">
        <v>42</v>
      </c>
      <c r="B35" s="10">
        <v>509</v>
      </c>
      <c r="C35" s="10">
        <v>464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9959</v>
      </c>
      <c r="O35" s="10">
        <v>10932</v>
      </c>
      <c r="P35" s="80">
        <f>O35/O$39</f>
        <v>6.6468048884295014E-2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954</v>
      </c>
      <c r="C36" s="121">
        <v>291</v>
      </c>
      <c r="D36" s="10">
        <v>0</v>
      </c>
      <c r="E36" s="10">
        <v>0</v>
      </c>
      <c r="F36" s="10">
        <v>0</v>
      </c>
      <c r="G36" s="10">
        <v>14168</v>
      </c>
      <c r="H36" s="10">
        <v>0</v>
      </c>
      <c r="I36" s="10"/>
      <c r="J36" s="10"/>
      <c r="K36" s="10"/>
      <c r="L36" s="10"/>
      <c r="N36" s="121">
        <f>N39-N38-N37-SUM(N31:N35)</f>
        <v>26342</v>
      </c>
      <c r="O36" s="10">
        <v>41755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8787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3073</v>
      </c>
      <c r="O37" s="10">
        <v>11860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3759</v>
      </c>
      <c r="O38" s="10">
        <v>3759</v>
      </c>
      <c r="P38" s="81">
        <f>SUM(P31:P35)</f>
        <v>0.65115826594515713</v>
      </c>
      <c r="Q38" s="81"/>
      <c r="R38" s="75"/>
      <c r="S38" s="83" t="s">
        <v>47</v>
      </c>
      <c r="T38" s="86">
        <f>O45/1000</f>
        <v>7.1075200000000001</v>
      </c>
      <c r="U38" s="83"/>
    </row>
    <row r="39" spans="1:48" x14ac:dyDescent="0.2">
      <c r="A39" s="8" t="s">
        <v>16</v>
      </c>
      <c r="B39" s="10">
        <v>14602</v>
      </c>
      <c r="C39" s="121">
        <f>SUM(C31:C38)</f>
        <v>56060</v>
      </c>
      <c r="D39" s="10">
        <v>0</v>
      </c>
      <c r="E39" s="121">
        <f>O39-SUM(B39,C39,F39,G39,N39)</f>
        <v>514</v>
      </c>
      <c r="F39" s="10">
        <v>4007</v>
      </c>
      <c r="G39" s="10">
        <v>14168</v>
      </c>
      <c r="H39" s="10">
        <v>0</v>
      </c>
      <c r="I39" s="10"/>
      <c r="J39" s="10"/>
      <c r="K39" s="10"/>
      <c r="L39" s="10"/>
      <c r="N39" s="10">
        <v>75119</v>
      </c>
      <c r="O39" s="10">
        <v>164470</v>
      </c>
      <c r="P39" s="75"/>
      <c r="Q39" s="75"/>
      <c r="R39" s="75"/>
      <c r="S39" s="83" t="s">
        <v>48</v>
      </c>
      <c r="T39" s="90">
        <f>O41/1000</f>
        <v>57.374000000000002</v>
      </c>
      <c r="U39" s="78">
        <f>P41</f>
        <v>0.34884173405484281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10.932</v>
      </c>
      <c r="U40" s="79">
        <f>P35</f>
        <v>6.6468048884295014E-2</v>
      </c>
    </row>
    <row r="41" spans="1:48" x14ac:dyDescent="0.2">
      <c r="A41" s="14" t="s">
        <v>50</v>
      </c>
      <c r="B41" s="85">
        <f>B38+B37+B36</f>
        <v>9741</v>
      </c>
      <c r="C41" s="85">
        <f t="shared" ref="C41:O41" si="2">C38+C37+C36</f>
        <v>291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14168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33174</v>
      </c>
      <c r="O41" s="85">
        <f t="shared" si="2"/>
        <v>57374</v>
      </c>
      <c r="P41" s="80">
        <f>O41/O$39</f>
        <v>0.34884173405484281</v>
      </c>
      <c r="Q41" s="80" t="s">
        <v>51</v>
      </c>
      <c r="R41" s="83"/>
      <c r="S41" s="83" t="s">
        <v>52</v>
      </c>
      <c r="T41" s="90">
        <f>O33/1000</f>
        <v>23.785</v>
      </c>
      <c r="U41" s="78">
        <f>P33</f>
        <v>0.14461603939928255</v>
      </c>
    </row>
    <row r="42" spans="1:48" x14ac:dyDescent="0.2">
      <c r="A42" s="15" t="s">
        <v>53</v>
      </c>
      <c r="B42" s="85"/>
      <c r="C42" s="88">
        <f>C39+C23+C10</f>
        <v>56260</v>
      </c>
      <c r="D42" s="88">
        <f t="shared" ref="D42:M42" si="3">D39+D23+D10</f>
        <v>0</v>
      </c>
      <c r="E42" s="88">
        <f t="shared" si="3"/>
        <v>514</v>
      </c>
      <c r="F42" s="88">
        <f t="shared" si="3"/>
        <v>4007</v>
      </c>
      <c r="G42" s="88">
        <f t="shared" si="3"/>
        <v>29768</v>
      </c>
      <c r="H42" s="88">
        <f t="shared" si="3"/>
        <v>0</v>
      </c>
      <c r="I42" s="88">
        <f t="shared" si="3"/>
        <v>0</v>
      </c>
      <c r="J42" s="88">
        <f t="shared" si="3"/>
        <v>0</v>
      </c>
      <c r="K42" s="88">
        <f t="shared" si="3"/>
        <v>0</v>
      </c>
      <c r="L42" s="88">
        <f t="shared" si="3"/>
        <v>0</v>
      </c>
      <c r="M42" s="88">
        <f t="shared" si="3"/>
        <v>0</v>
      </c>
      <c r="N42" s="88">
        <f>N39+N23-B6+N45</f>
        <v>81128.52</v>
      </c>
      <c r="O42" s="89">
        <f>SUM(C42:N42)</f>
        <v>171677.52000000002</v>
      </c>
      <c r="P42" s="83"/>
      <c r="Q42" s="83"/>
      <c r="R42" s="83"/>
      <c r="S42" s="83" t="s">
        <v>34</v>
      </c>
      <c r="T42" s="90">
        <f>O31/1000</f>
        <v>5.4630000000000001</v>
      </c>
      <c r="U42" s="78">
        <f>P31</f>
        <v>3.3215784033562352E-2</v>
      </c>
    </row>
    <row r="43" spans="1:48" x14ac:dyDescent="0.2">
      <c r="A43" s="15" t="s">
        <v>54</v>
      </c>
      <c r="B43" s="85"/>
      <c r="C43" s="80">
        <f t="shared" ref="C43:N43" si="4">C42/$O42</f>
        <v>0.32770743659391161</v>
      </c>
      <c r="D43" s="80">
        <f t="shared" si="4"/>
        <v>0</v>
      </c>
      <c r="E43" s="80">
        <f t="shared" si="4"/>
        <v>2.9939854676372304E-3</v>
      </c>
      <c r="F43" s="80">
        <f t="shared" si="4"/>
        <v>2.3340271923778952E-2</v>
      </c>
      <c r="G43" s="80">
        <f t="shared" si="4"/>
        <v>0.1733948626471305</v>
      </c>
      <c r="H43" s="80">
        <f t="shared" si="4"/>
        <v>0</v>
      </c>
      <c r="I43" s="80">
        <f t="shared" si="4"/>
        <v>0</v>
      </c>
      <c r="J43" s="80">
        <f t="shared" si="4"/>
        <v>0</v>
      </c>
      <c r="K43" s="80">
        <f t="shared" si="4"/>
        <v>0</v>
      </c>
      <c r="L43" s="80">
        <f t="shared" si="4"/>
        <v>0</v>
      </c>
      <c r="M43" s="80">
        <f t="shared" si="4"/>
        <v>0</v>
      </c>
      <c r="N43" s="80">
        <f t="shared" si="4"/>
        <v>0.47256344336754164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11.132999999999999</v>
      </c>
      <c r="U43" s="79">
        <f>P32</f>
        <v>6.7690156259500214E-2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55.783000000000001</v>
      </c>
      <c r="U44" s="79">
        <f>P34</f>
        <v>0.33916823736851703</v>
      </c>
    </row>
    <row r="45" spans="1:48" x14ac:dyDescent="0.2">
      <c r="A45" s="6" t="s">
        <v>57</v>
      </c>
      <c r="B45" s="91">
        <f>B23-B39</f>
        <v>1098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6009.52</v>
      </c>
      <c r="O45" s="89">
        <f>B45+N45</f>
        <v>7107.52</v>
      </c>
      <c r="P45" s="83"/>
      <c r="Q45" s="83"/>
      <c r="R45" s="83"/>
      <c r="S45" s="83" t="s">
        <v>58</v>
      </c>
      <c r="T45" s="90">
        <f>SUM(T39:T44)</f>
        <v>164.46999999999997</v>
      </c>
      <c r="U45" s="78">
        <f>SUM(U39:U44)</f>
        <v>1</v>
      </c>
    </row>
    <row r="46" spans="1:48" x14ac:dyDescent="0.2">
      <c r="A46" s="6"/>
      <c r="B46" s="93">
        <f>B45/B23</f>
        <v>6.9936305732484078E-2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7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/>
  <dimension ref="A1:AP70"/>
  <sheetViews>
    <sheetView workbookViewId="0">
      <selection activeCell="U35" sqref="U35"/>
    </sheetView>
  </sheetViews>
  <sheetFormatPr baseColWidth="10" defaultColWidth="8.83203125" defaultRowHeight="16" x14ac:dyDescent="0.2"/>
  <cols>
    <col min="1" max="1" width="15.5" style="2" customWidth="1"/>
    <col min="2" max="2" width="12" style="2" customWidth="1"/>
    <col min="3" max="3" width="11" style="2" customWidth="1"/>
    <col min="4" max="11" width="8.83203125" style="2"/>
    <col min="12" max="13" width="5.5" style="2" customWidth="1"/>
    <col min="14" max="16" width="8.83203125" style="2"/>
    <col min="17" max="17" width="10.6640625" style="2" bestFit="1" customWidth="1"/>
    <col min="18" max="16384" width="8.83203125" style="2"/>
  </cols>
  <sheetData>
    <row r="1" spans="1:29" ht="19" x14ac:dyDescent="0.25">
      <c r="A1" s="1" t="s">
        <v>0</v>
      </c>
      <c r="P1" s="3"/>
      <c r="Q1" s="3"/>
      <c r="R1" s="3"/>
      <c r="S1" s="3"/>
      <c r="T1" s="3"/>
      <c r="U1" s="3"/>
    </row>
    <row r="2" spans="1:29" x14ac:dyDescent="0.2">
      <c r="A2" s="8" t="s">
        <v>1</v>
      </c>
      <c r="R2" s="8"/>
      <c r="AC2" s="8"/>
    </row>
    <row r="3" spans="1:29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29" x14ac:dyDescent="0.2">
      <c r="A4" s="8" t="s">
        <v>124</v>
      </c>
      <c r="B4" s="163">
        <v>317</v>
      </c>
      <c r="Q4" s="8"/>
      <c r="R4" s="10"/>
    </row>
    <row r="5" spans="1:29" x14ac:dyDescent="0.2">
      <c r="Q5" s="8"/>
      <c r="R5" s="10"/>
    </row>
    <row r="6" spans="1:29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29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29" x14ac:dyDescent="0.2">
      <c r="A8" s="8" t="s">
        <v>14</v>
      </c>
      <c r="B8" s="121">
        <v>912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29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</row>
    <row r="10" spans="1:29" x14ac:dyDescent="0.2">
      <c r="A10" s="8" t="s">
        <v>16</v>
      </c>
      <c r="B10" s="155">
        <f>SUM(B4:B9)</f>
        <v>1229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</row>
    <row r="11" spans="1:29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29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</row>
    <row r="13" spans="1:29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</row>
    <row r="14" spans="1:29" x14ac:dyDescent="0.2">
      <c r="A14" s="4" t="s">
        <v>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</row>
    <row r="15" spans="1:29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</row>
    <row r="16" spans="1:29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</row>
    <row r="18" spans="1:21" x14ac:dyDescent="0.2">
      <c r="A18" s="8" t="s">
        <v>21</v>
      </c>
      <c r="B18" s="119">
        <v>65981</v>
      </c>
      <c r="C18" s="119">
        <v>791</v>
      </c>
      <c r="D18" s="10">
        <v>0</v>
      </c>
      <c r="E18" s="10">
        <v>0</v>
      </c>
      <c r="F18" s="10">
        <v>0</v>
      </c>
      <c r="G18" s="119">
        <v>64755</v>
      </c>
      <c r="H18" s="10">
        <v>0</v>
      </c>
      <c r="I18" s="10"/>
      <c r="J18" s="10"/>
      <c r="K18" s="10"/>
      <c r="L18" s="10"/>
      <c r="M18" s="10"/>
      <c r="N18" s="10"/>
      <c r="O18" s="119">
        <v>65546</v>
      </c>
      <c r="P18" s="168"/>
      <c r="Q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646.57848000000001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B18</f>
        <v>65981</v>
      </c>
      <c r="C23" s="119">
        <f t="shared" ref="C23:H23" si="0">C18</f>
        <v>791</v>
      </c>
      <c r="D23" s="10">
        <f t="shared" si="0"/>
        <v>0</v>
      </c>
      <c r="E23" s="10">
        <f t="shared" si="0"/>
        <v>0</v>
      </c>
      <c r="F23" s="10">
        <f t="shared" si="0"/>
        <v>0</v>
      </c>
      <c r="G23" s="119">
        <f t="shared" si="0"/>
        <v>64755</v>
      </c>
      <c r="H23" s="10">
        <f t="shared" si="0"/>
        <v>0</v>
      </c>
      <c r="I23" s="10"/>
      <c r="J23" s="10"/>
      <c r="K23" s="10"/>
      <c r="L23" s="10"/>
      <c r="M23" s="10"/>
      <c r="N23" s="10"/>
      <c r="O23" s="119">
        <v>65546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4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340.63847999999996</v>
      </c>
      <c r="U24" s="78">
        <f>N43</f>
        <v>0.52683238081168426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91.941999999999993</v>
      </c>
      <c r="U25" s="79">
        <f>G43</f>
        <v>0.14219774218282055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15.188000000000001</v>
      </c>
      <c r="U27" s="78">
        <f>F43</f>
        <v>2.34898012689813E-2</v>
      </c>
    </row>
    <row r="28" spans="1:21" x14ac:dyDescent="0.2">
      <c r="A28" s="4" t="s">
        <v>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3.0350000000000001</v>
      </c>
      <c r="U28" s="78">
        <f>E43</f>
        <v>4.6939390868684649E-3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9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696</v>
      </c>
      <c r="D31" s="10">
        <v>0</v>
      </c>
      <c r="E31" s="10">
        <v>0</v>
      </c>
      <c r="F31" s="10">
        <v>67</v>
      </c>
      <c r="G31" s="10">
        <v>0</v>
      </c>
      <c r="H31" s="10">
        <v>0</v>
      </c>
      <c r="I31" s="10"/>
      <c r="J31" s="10"/>
      <c r="K31" s="10"/>
      <c r="L31" s="10"/>
      <c r="N31" s="10">
        <v>1907</v>
      </c>
      <c r="O31" s="10">
        <v>2670</v>
      </c>
      <c r="P31" s="80">
        <f>O31/O$39</f>
        <v>4.365791164750569E-3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1896</v>
      </c>
      <c r="C32" s="121">
        <v>3268</v>
      </c>
      <c r="D32" s="10">
        <v>0</v>
      </c>
      <c r="E32" s="121">
        <f>O32-SUM(F32:N32,B32:D32)</f>
        <v>3035</v>
      </c>
      <c r="F32" s="10">
        <v>0</v>
      </c>
      <c r="G32" s="10">
        <v>110</v>
      </c>
      <c r="H32" s="10">
        <v>0</v>
      </c>
      <c r="I32" s="10"/>
      <c r="J32" s="10"/>
      <c r="K32" s="10"/>
      <c r="L32" s="10"/>
      <c r="N32" s="121">
        <v>39541</v>
      </c>
      <c r="O32" s="10">
        <v>47850</v>
      </c>
      <c r="P32" s="80">
        <f>O32/O$39</f>
        <v>7.8240864132327614E-2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2" x14ac:dyDescent="0.2">
      <c r="A33" s="8" t="s">
        <v>38</v>
      </c>
      <c r="B33" s="10">
        <v>9088</v>
      </c>
      <c r="C33" s="10">
        <v>753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23490</v>
      </c>
      <c r="O33" s="10">
        <v>33331</v>
      </c>
      <c r="P33" s="80">
        <f>O33/O$39</f>
        <v>5.4500443937191473E-2</v>
      </c>
      <c r="Q33" s="81" t="s">
        <v>39</v>
      </c>
      <c r="R33" s="75"/>
      <c r="S33" s="75" t="s">
        <v>35</v>
      </c>
      <c r="T33" s="77">
        <f>C42/1000</f>
        <v>195.77500000000001</v>
      </c>
      <c r="U33" s="79">
        <f>C43</f>
        <v>0.30278613664964538</v>
      </c>
    </row>
    <row r="34" spans="1:42" x14ac:dyDescent="0.2">
      <c r="A34" s="8" t="s">
        <v>40</v>
      </c>
      <c r="B34" s="10">
        <v>0</v>
      </c>
      <c r="C34" s="10">
        <v>188959</v>
      </c>
      <c r="D34" s="10">
        <v>0</v>
      </c>
      <c r="E34" s="10">
        <v>0</v>
      </c>
      <c r="F34" s="10">
        <v>15121</v>
      </c>
      <c r="G34" s="10">
        <v>0</v>
      </c>
      <c r="H34" s="10">
        <v>0</v>
      </c>
      <c r="I34" s="10"/>
      <c r="J34" s="10"/>
      <c r="K34" s="10"/>
      <c r="L34" s="10"/>
      <c r="N34" s="10">
        <v>369</v>
      </c>
      <c r="O34" s="10">
        <v>204449</v>
      </c>
      <c r="P34" s="80">
        <f>O34/O$39</f>
        <v>0.33430023889216826</v>
      </c>
      <c r="Q34" s="81" t="s">
        <v>41</v>
      </c>
      <c r="R34" s="75"/>
      <c r="S34" s="75"/>
      <c r="T34" s="77">
        <f>SUM(T24:T33)</f>
        <v>646.57848000000001</v>
      </c>
      <c r="U34" s="78">
        <f>SUM(U24:U33)</f>
        <v>0.99999999999999989</v>
      </c>
    </row>
    <row r="35" spans="1:42" x14ac:dyDescent="0.2">
      <c r="A35" s="8" t="s">
        <v>42</v>
      </c>
      <c r="B35" s="119">
        <f>26545-5724</f>
        <v>20821</v>
      </c>
      <c r="C35" s="10">
        <v>1035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88519</v>
      </c>
      <c r="O35" s="119">
        <v>110375</v>
      </c>
      <c r="P35" s="80">
        <f>O35/O$39</f>
        <v>0.18047722839301278</v>
      </c>
      <c r="Q35" s="81" t="s">
        <v>43</v>
      </c>
      <c r="R35" s="81"/>
      <c r="S35" s="82"/>
      <c r="T35" s="82"/>
      <c r="U35" s="82"/>
    </row>
    <row r="36" spans="1:42" x14ac:dyDescent="0.2">
      <c r="A36" s="8" t="s">
        <v>44</v>
      </c>
      <c r="B36" s="10">
        <v>9945</v>
      </c>
      <c r="C36" s="10">
        <v>213</v>
      </c>
      <c r="D36" s="10">
        <v>0</v>
      </c>
      <c r="E36" s="10">
        <v>0</v>
      </c>
      <c r="F36" s="10">
        <v>0</v>
      </c>
      <c r="G36" s="10">
        <v>27077</v>
      </c>
      <c r="H36" s="10">
        <v>0</v>
      </c>
      <c r="I36" s="10"/>
      <c r="J36" s="10"/>
      <c r="K36" s="10"/>
      <c r="L36" s="10"/>
      <c r="N36" s="10">
        <v>135087</v>
      </c>
      <c r="O36" s="10">
        <v>172322</v>
      </c>
      <c r="P36" s="81"/>
      <c r="Q36" s="81"/>
      <c r="R36" s="75"/>
      <c r="S36" s="83"/>
      <c r="T36" s="83"/>
      <c r="U36" s="83"/>
    </row>
    <row r="37" spans="1:42" x14ac:dyDescent="0.2">
      <c r="A37" s="8" t="s">
        <v>45</v>
      </c>
      <c r="B37" s="10">
        <v>14023</v>
      </c>
      <c r="C37" s="10">
        <v>60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14040</v>
      </c>
      <c r="O37" s="10">
        <v>28123</v>
      </c>
      <c r="P37" s="81"/>
      <c r="Q37" s="81"/>
      <c r="R37" s="75"/>
      <c r="S37" s="83"/>
      <c r="T37" s="83" t="s">
        <v>27</v>
      </c>
      <c r="U37" s="83" t="s">
        <v>28</v>
      </c>
    </row>
    <row r="38" spans="1:42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12453</v>
      </c>
      <c r="O38" s="10">
        <v>12453</v>
      </c>
      <c r="P38" s="81">
        <f>SUM(P31:P35)</f>
        <v>0.6518845665194507</v>
      </c>
      <c r="Q38" s="81"/>
      <c r="R38" s="75"/>
      <c r="S38" s="83" t="s">
        <v>47</v>
      </c>
      <c r="T38" s="86">
        <f>O45/1000</f>
        <v>35.440479999999994</v>
      </c>
      <c r="U38" s="83"/>
    </row>
    <row r="39" spans="1:42" x14ac:dyDescent="0.2">
      <c r="A39" s="8" t="s">
        <v>16</v>
      </c>
      <c r="B39" s="119">
        <v>55773</v>
      </c>
      <c r="C39" s="121">
        <f>SUM(C31:C38)</f>
        <v>194984</v>
      </c>
      <c r="D39" s="10">
        <v>0</v>
      </c>
      <c r="E39" s="121">
        <f>E32</f>
        <v>3035</v>
      </c>
      <c r="F39" s="10">
        <v>15188</v>
      </c>
      <c r="G39" s="10">
        <v>27187</v>
      </c>
      <c r="H39" s="10">
        <v>0</v>
      </c>
      <c r="I39" s="10"/>
      <c r="J39" s="10"/>
      <c r="K39" s="10"/>
      <c r="L39" s="10"/>
      <c r="N39" s="121">
        <f>SUM(N31:N38)</f>
        <v>315406</v>
      </c>
      <c r="O39" s="119">
        <v>611573</v>
      </c>
      <c r="P39" s="75"/>
      <c r="Q39" s="75"/>
      <c r="R39" s="75"/>
      <c r="S39" s="83" t="s">
        <v>48</v>
      </c>
      <c r="T39" s="90">
        <f>O41/1000</f>
        <v>212.898</v>
      </c>
      <c r="U39" s="78">
        <f>P41</f>
        <v>0.34811543348054935</v>
      </c>
    </row>
    <row r="40" spans="1:42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110.375</v>
      </c>
      <c r="U40" s="79">
        <f>P35</f>
        <v>0.18047722839301278</v>
      </c>
    </row>
    <row r="41" spans="1:42" x14ac:dyDescent="0.2">
      <c r="A41" s="14" t="s">
        <v>50</v>
      </c>
      <c r="B41" s="85">
        <f>B38+B37+B36</f>
        <v>23968</v>
      </c>
      <c r="C41" s="85">
        <f t="shared" ref="C41:O41" si="1">C38+C37+C36</f>
        <v>273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27077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161580</v>
      </c>
      <c r="O41" s="85">
        <f t="shared" si="1"/>
        <v>212898</v>
      </c>
      <c r="P41" s="80">
        <f>O41/O$39</f>
        <v>0.34811543348054935</v>
      </c>
      <c r="Q41" s="80" t="s">
        <v>51</v>
      </c>
      <c r="R41" s="83"/>
      <c r="S41" s="83" t="s">
        <v>52</v>
      </c>
      <c r="T41" s="90">
        <f>O33/1000</f>
        <v>33.331000000000003</v>
      </c>
      <c r="U41" s="78">
        <f>P33</f>
        <v>5.4500443937191473E-2</v>
      </c>
    </row>
    <row r="42" spans="1:42" x14ac:dyDescent="0.2">
      <c r="A42" s="15" t="s">
        <v>53</v>
      </c>
      <c r="B42" s="85"/>
      <c r="C42" s="88">
        <f>C39+C23+C10</f>
        <v>195775</v>
      </c>
      <c r="D42" s="88">
        <f t="shared" ref="D42:M42" si="2">D39+D23+D10</f>
        <v>0</v>
      </c>
      <c r="E42" s="88">
        <f t="shared" si="2"/>
        <v>3035</v>
      </c>
      <c r="F42" s="88">
        <f t="shared" si="2"/>
        <v>15188</v>
      </c>
      <c r="G42" s="88">
        <f t="shared" si="2"/>
        <v>91942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f t="shared" si="2"/>
        <v>0</v>
      </c>
      <c r="M42" s="88">
        <f t="shared" si="2"/>
        <v>0</v>
      </c>
      <c r="N42" s="88">
        <f>N39+N23-B6+N45</f>
        <v>340638.48</v>
      </c>
      <c r="O42" s="89">
        <f>SUM(C42:N42)</f>
        <v>646578.48</v>
      </c>
      <c r="P42" s="83"/>
      <c r="Q42" s="83"/>
      <c r="R42" s="83"/>
      <c r="S42" s="83" t="s">
        <v>34</v>
      </c>
      <c r="T42" s="90">
        <f>O31/1000</f>
        <v>2.67</v>
      </c>
      <c r="U42" s="78">
        <f>P31</f>
        <v>4.365791164750569E-3</v>
      </c>
    </row>
    <row r="43" spans="1:42" x14ac:dyDescent="0.2">
      <c r="A43" s="15" t="s">
        <v>54</v>
      </c>
      <c r="B43" s="85"/>
      <c r="C43" s="80">
        <f t="shared" ref="C43:N43" si="3">C42/$O42</f>
        <v>0.30278613664964538</v>
      </c>
      <c r="D43" s="80">
        <f t="shared" si="3"/>
        <v>0</v>
      </c>
      <c r="E43" s="80">
        <f t="shared" si="3"/>
        <v>4.6939390868684649E-3</v>
      </c>
      <c r="F43" s="80">
        <f t="shared" si="3"/>
        <v>2.34898012689813E-2</v>
      </c>
      <c r="G43" s="80">
        <f t="shared" si="3"/>
        <v>0.14219774218282055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0</v>
      </c>
      <c r="N43" s="80">
        <f t="shared" si="3"/>
        <v>0.52683238081168426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47.85</v>
      </c>
      <c r="U43" s="79">
        <f>P32</f>
        <v>7.8240864132327614E-2</v>
      </c>
    </row>
    <row r="44" spans="1:42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204.44900000000001</v>
      </c>
      <c r="U44" s="79">
        <f>P34</f>
        <v>0.33430023889216826</v>
      </c>
    </row>
    <row r="45" spans="1:42" x14ac:dyDescent="0.2">
      <c r="A45" s="6" t="s">
        <v>57</v>
      </c>
      <c r="B45" s="91">
        <f>B23-B39</f>
        <v>10208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25232.48</v>
      </c>
      <c r="O45" s="89">
        <f>B45+N45</f>
        <v>35440.479999999996</v>
      </c>
      <c r="P45" s="83"/>
      <c r="Q45" s="83"/>
      <c r="R45" s="83"/>
      <c r="S45" s="83" t="s">
        <v>58</v>
      </c>
      <c r="T45" s="90">
        <f>SUM(T39:T44)</f>
        <v>611.57300000000009</v>
      </c>
      <c r="U45" s="78">
        <f>SUM(U39:U44)</f>
        <v>1</v>
      </c>
    </row>
    <row r="46" spans="1:42" x14ac:dyDescent="0.2">
      <c r="A46" s="6"/>
      <c r="B46" s="93">
        <f>B45/B23</f>
        <v>0.1547112047407587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2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4"/>
      <c r="AC47" s="4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</row>
    <row r="48" spans="1:42" x14ac:dyDescent="0.2">
      <c r="A48" s="16"/>
      <c r="B48" s="4"/>
      <c r="C48" s="16"/>
      <c r="D48" s="17"/>
      <c r="E48" s="16"/>
      <c r="F48" s="17"/>
      <c r="G48" s="16"/>
      <c r="H48" s="17"/>
      <c r="I48" s="17"/>
      <c r="J48" s="17"/>
      <c r="K48" s="17"/>
      <c r="L48" s="17"/>
      <c r="M48" s="17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4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</row>
    <row r="49" spans="1:42" x14ac:dyDescent="0.2">
      <c r="A49" s="16"/>
      <c r="B49" s="4"/>
      <c r="C49" s="16"/>
      <c r="D49" s="16"/>
      <c r="E49" s="16"/>
      <c r="F49" s="16"/>
      <c r="G49" s="16"/>
      <c r="H49" s="16"/>
      <c r="I49" s="16"/>
      <c r="J49" s="9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4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</row>
    <row r="50" spans="1:42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4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</row>
    <row r="51" spans="1:42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4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</row>
    <row r="52" spans="1:42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4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</row>
    <row r="53" spans="1:42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4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</row>
    <row r="54" spans="1:42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4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</row>
    <row r="55" spans="1:42" x14ac:dyDescent="0.2">
      <c r="A55" s="16"/>
      <c r="B55" s="4"/>
      <c r="C55" s="16"/>
      <c r="D55" s="16"/>
      <c r="E55" s="16"/>
      <c r="F55" s="17"/>
      <c r="G55" s="16"/>
      <c r="H55" s="17"/>
      <c r="I55" s="17"/>
      <c r="J55" s="17"/>
      <c r="K55" s="17"/>
      <c r="L55" s="17"/>
      <c r="M55" s="17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4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</row>
    <row r="56" spans="1:42" x14ac:dyDescent="0.2">
      <c r="A56" s="16"/>
      <c r="B56" s="4"/>
      <c r="C56" s="16"/>
      <c r="D56" s="16"/>
      <c r="E56" s="16"/>
      <c r="F56" s="17"/>
      <c r="G56" s="16"/>
      <c r="H56" s="17"/>
      <c r="I56" s="17"/>
      <c r="J56" s="17"/>
      <c r="K56" s="17"/>
      <c r="L56" s="17"/>
      <c r="M56" s="17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4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</row>
    <row r="57" spans="1:42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2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2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2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2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2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2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2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76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90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116378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24253.887640449437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140721.88764044945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2888</v>
      </c>
      <c r="C18" s="10">
        <v>0</v>
      </c>
      <c r="D18" s="10">
        <v>0</v>
      </c>
      <c r="E18" s="10">
        <v>0</v>
      </c>
      <c r="F18" s="10">
        <v>0</v>
      </c>
      <c r="G18" s="10">
        <v>3004</v>
      </c>
      <c r="H18" s="10">
        <v>0</v>
      </c>
      <c r="I18" s="10"/>
      <c r="J18" s="10"/>
      <c r="K18" s="10"/>
      <c r="L18" s="10"/>
      <c r="M18" s="10"/>
      <c r="N18" s="10"/>
      <c r="O18" s="10">
        <v>3004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295.04347999999999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2888</v>
      </c>
      <c r="C23" s="10">
        <v>0</v>
      </c>
      <c r="D23" s="10">
        <v>0</v>
      </c>
      <c r="E23" s="10">
        <v>0</v>
      </c>
      <c r="F23" s="10">
        <v>0</v>
      </c>
      <c r="G23" s="10">
        <v>3004</v>
      </c>
      <c r="H23" s="10">
        <v>0</v>
      </c>
      <c r="I23" s="10"/>
      <c r="J23" s="10"/>
      <c r="K23" s="10"/>
      <c r="L23" s="10"/>
      <c r="M23" s="10"/>
      <c r="N23" s="10"/>
      <c r="O23" s="10">
        <v>3004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76.821479999999994</v>
      </c>
      <c r="U24" s="78">
        <f>N43</f>
        <v>0.26037342021589494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96.668000000000006</v>
      </c>
      <c r="U25" s="79">
        <f>G43</f>
        <v>0.32763984481202568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9.6199999999999992</v>
      </c>
      <c r="U27" s="78">
        <f>F43</f>
        <v>3.2605363792482384E-2</v>
      </c>
    </row>
    <row r="28" spans="1:21" x14ac:dyDescent="0.2">
      <c r="A28" s="4" t="s">
        <v>76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21">
        <v>4106</v>
      </c>
      <c r="D31" s="10">
        <v>0</v>
      </c>
      <c r="E31" s="10">
        <v>0</v>
      </c>
      <c r="F31" s="10">
        <v>396</v>
      </c>
      <c r="G31" s="10">
        <v>0</v>
      </c>
      <c r="H31" s="10">
        <v>0</v>
      </c>
      <c r="I31" s="10"/>
      <c r="J31" s="10"/>
      <c r="K31" s="10"/>
      <c r="L31" s="10"/>
      <c r="N31" s="10">
        <v>5942</v>
      </c>
      <c r="O31" s="121">
        <f>SUM(C31,F31,N31)</f>
        <v>10444</v>
      </c>
      <c r="P31" s="80">
        <f>O31/O$39</f>
        <v>3.6138908497003422E-2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2647</v>
      </c>
      <c r="C32" s="10">
        <v>2784</v>
      </c>
      <c r="D32" s="10">
        <v>0</v>
      </c>
      <c r="E32" s="10">
        <v>0</v>
      </c>
      <c r="F32" s="10">
        <v>0</v>
      </c>
      <c r="G32" s="121">
        <f>G39-G36</f>
        <v>72273</v>
      </c>
      <c r="H32" s="10">
        <v>0</v>
      </c>
      <c r="I32" s="10"/>
      <c r="J32" s="10"/>
      <c r="K32" s="10"/>
      <c r="L32" s="10"/>
      <c r="N32" s="10">
        <v>27466</v>
      </c>
      <c r="O32" s="121">
        <f>O39-SUM(O33:O38,O31)</f>
        <v>105169</v>
      </c>
      <c r="P32" s="80">
        <f>O32/O$39</f>
        <v>0.36391161123337346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3780</v>
      </c>
      <c r="O33" s="10">
        <v>3780</v>
      </c>
      <c r="P33" s="80">
        <f>O33/O$39</f>
        <v>1.3079765809907403E-2</v>
      </c>
      <c r="Q33" s="81" t="s">
        <v>39</v>
      </c>
      <c r="R33" s="75"/>
      <c r="S33" s="75" t="s">
        <v>35</v>
      </c>
      <c r="T33" s="77">
        <f>C42/1000</f>
        <v>111.934</v>
      </c>
      <c r="U33" s="79">
        <f>C43</f>
        <v>0.37938137117959703</v>
      </c>
    </row>
    <row r="34" spans="1:48" x14ac:dyDescent="0.2">
      <c r="A34" s="8" t="s">
        <v>40</v>
      </c>
      <c r="B34" s="10">
        <v>0</v>
      </c>
      <c r="C34" s="10">
        <v>103372</v>
      </c>
      <c r="D34" s="10">
        <v>0</v>
      </c>
      <c r="E34" s="10">
        <v>0</v>
      </c>
      <c r="F34" s="10">
        <v>9225</v>
      </c>
      <c r="G34" s="10">
        <v>0</v>
      </c>
      <c r="H34" s="10">
        <v>0</v>
      </c>
      <c r="I34" s="10"/>
      <c r="J34" s="10"/>
      <c r="K34" s="10"/>
      <c r="L34" s="10"/>
      <c r="N34" s="10">
        <v>10</v>
      </c>
      <c r="O34" s="10">
        <v>112607</v>
      </c>
      <c r="P34" s="80">
        <f>O34/O$39</f>
        <v>0.38964899168154576</v>
      </c>
      <c r="Q34" s="81" t="s">
        <v>41</v>
      </c>
      <c r="R34" s="75"/>
      <c r="S34" s="75"/>
      <c r="T34" s="77">
        <f>SUM(T24:T33)</f>
        <v>295.04348000000005</v>
      </c>
      <c r="U34" s="78">
        <f>SUM(U24:U33)</f>
        <v>1</v>
      </c>
    </row>
    <row r="35" spans="1:48" x14ac:dyDescent="0.2">
      <c r="A35" s="8" t="s">
        <v>42</v>
      </c>
      <c r="B35" s="10">
        <v>0</v>
      </c>
      <c r="C35" s="10">
        <v>1444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9475</v>
      </c>
      <c r="O35" s="10">
        <v>10919</v>
      </c>
      <c r="P35" s="80">
        <f>O35/O$39</f>
        <v>3.7782529862005011E-2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0">
        <v>193</v>
      </c>
      <c r="D36" s="10">
        <v>0</v>
      </c>
      <c r="E36" s="10">
        <v>0</v>
      </c>
      <c r="F36" s="10">
        <v>0</v>
      </c>
      <c r="G36" s="10">
        <v>21391</v>
      </c>
      <c r="H36" s="10">
        <v>0</v>
      </c>
      <c r="I36" s="10"/>
      <c r="J36" s="10"/>
      <c r="K36" s="10"/>
      <c r="L36" s="10"/>
      <c r="N36" s="10">
        <v>20777</v>
      </c>
      <c r="O36" s="10">
        <v>42361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35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1559</v>
      </c>
      <c r="O37" s="10">
        <v>1594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2122</v>
      </c>
      <c r="O38" s="10">
        <v>2122</v>
      </c>
      <c r="P38" s="81">
        <f>SUM(P31:P35)</f>
        <v>0.8405618070838351</v>
      </c>
      <c r="Q38" s="81"/>
      <c r="R38" s="75"/>
      <c r="S38" s="83" t="s">
        <v>47</v>
      </c>
      <c r="T38" s="86">
        <f>O45/1000</f>
        <v>5.9314800000000005</v>
      </c>
      <c r="U38" s="83"/>
    </row>
    <row r="39" spans="1:48" x14ac:dyDescent="0.2">
      <c r="A39" s="8" t="s">
        <v>16</v>
      </c>
      <c r="B39" s="10">
        <v>2647</v>
      </c>
      <c r="C39" s="121">
        <f>SUM(C31:C38)</f>
        <v>111934</v>
      </c>
      <c r="D39" s="10">
        <v>0</v>
      </c>
      <c r="E39" s="10">
        <v>0</v>
      </c>
      <c r="F39" s="10">
        <v>9620</v>
      </c>
      <c r="G39" s="121">
        <f>O39-F39-C39-B39-N39</f>
        <v>93664</v>
      </c>
      <c r="H39" s="10">
        <v>0</v>
      </c>
      <c r="I39" s="10"/>
      <c r="J39" s="10"/>
      <c r="K39" s="10"/>
      <c r="L39" s="10"/>
      <c r="N39" s="10">
        <v>71131</v>
      </c>
      <c r="O39" s="10">
        <v>288996</v>
      </c>
      <c r="P39" s="75"/>
      <c r="Q39" s="75"/>
      <c r="R39" s="75"/>
      <c r="S39" s="83" t="s">
        <v>48</v>
      </c>
      <c r="T39" s="90">
        <f>O41/1000</f>
        <v>46.076999999999998</v>
      </c>
      <c r="U39" s="78">
        <f>P41</f>
        <v>0.15943819291616493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10.919</v>
      </c>
      <c r="U40" s="79">
        <f>P35</f>
        <v>3.7782529862005011E-2</v>
      </c>
    </row>
    <row r="41" spans="1:48" x14ac:dyDescent="0.2">
      <c r="A41" s="14" t="s">
        <v>50</v>
      </c>
      <c r="B41" s="85">
        <f>B38+B37+B36</f>
        <v>0</v>
      </c>
      <c r="C41" s="85">
        <f t="shared" ref="C41:O41" si="0">C38+C37+C36</f>
        <v>228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21391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24458</v>
      </c>
      <c r="O41" s="85">
        <f t="shared" si="0"/>
        <v>46077</v>
      </c>
      <c r="P41" s="80">
        <f>O41/O$39</f>
        <v>0.15943819291616493</v>
      </c>
      <c r="Q41" s="80" t="s">
        <v>51</v>
      </c>
      <c r="R41" s="83"/>
      <c r="S41" s="83" t="s">
        <v>52</v>
      </c>
      <c r="T41" s="90">
        <f>O33/1000</f>
        <v>3.78</v>
      </c>
      <c r="U41" s="78">
        <f>P33</f>
        <v>1.3079765809907403E-2</v>
      </c>
    </row>
    <row r="42" spans="1:48" x14ac:dyDescent="0.2">
      <c r="A42" s="15" t="s">
        <v>53</v>
      </c>
      <c r="B42" s="85"/>
      <c r="C42" s="88">
        <f>C39+C23+C10</f>
        <v>111934</v>
      </c>
      <c r="D42" s="88">
        <f t="shared" ref="D42:M42" si="1">D39+D23+D10</f>
        <v>0</v>
      </c>
      <c r="E42" s="88">
        <f t="shared" si="1"/>
        <v>0</v>
      </c>
      <c r="F42" s="88">
        <f t="shared" si="1"/>
        <v>9620</v>
      </c>
      <c r="G42" s="88">
        <f t="shared" si="1"/>
        <v>96668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76821.48</v>
      </c>
      <c r="O42" s="89">
        <f>SUM(C42:N42)</f>
        <v>295043.48</v>
      </c>
      <c r="P42" s="83"/>
      <c r="Q42" s="83"/>
      <c r="R42" s="83"/>
      <c r="S42" s="83" t="s">
        <v>34</v>
      </c>
      <c r="T42" s="90">
        <f>O31/1000</f>
        <v>10.444000000000001</v>
      </c>
      <c r="U42" s="78">
        <f>P31</f>
        <v>3.6138908497003422E-2</v>
      </c>
    </row>
    <row r="43" spans="1:48" x14ac:dyDescent="0.2">
      <c r="A43" s="15" t="s">
        <v>54</v>
      </c>
      <c r="B43" s="85"/>
      <c r="C43" s="80">
        <f t="shared" ref="C43:N43" si="2">C42/$O42</f>
        <v>0.37938137117959703</v>
      </c>
      <c r="D43" s="80">
        <f t="shared" si="2"/>
        <v>0</v>
      </c>
      <c r="E43" s="80">
        <f t="shared" si="2"/>
        <v>0</v>
      </c>
      <c r="F43" s="80">
        <f t="shared" si="2"/>
        <v>3.2605363792482384E-2</v>
      </c>
      <c r="G43" s="80">
        <f t="shared" si="2"/>
        <v>0.32763984481202568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0.26037342021589494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105.169</v>
      </c>
      <c r="U43" s="79">
        <f>P32</f>
        <v>0.36391161123337346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112.607</v>
      </c>
      <c r="U44" s="79">
        <f>P34</f>
        <v>0.38964899168154576</v>
      </c>
    </row>
    <row r="45" spans="1:48" x14ac:dyDescent="0.2">
      <c r="A45" s="6" t="s">
        <v>57</v>
      </c>
      <c r="B45" s="91">
        <f>B23-B39</f>
        <v>241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5690.4800000000005</v>
      </c>
      <c r="O45" s="89">
        <f>B45+N45</f>
        <v>5931.4800000000005</v>
      </c>
      <c r="P45" s="83"/>
      <c r="Q45" s="83"/>
      <c r="R45" s="83"/>
      <c r="S45" s="83" t="s">
        <v>58</v>
      </c>
      <c r="T45" s="90">
        <f>SUM(T39:T44)</f>
        <v>288.99599999999998</v>
      </c>
      <c r="U45" s="78">
        <f>SUM(U39:U44)</f>
        <v>1</v>
      </c>
    </row>
    <row r="46" spans="1:48" x14ac:dyDescent="0.2">
      <c r="A46" s="6"/>
      <c r="B46" s="93">
        <f>B45/B23</f>
        <v>8.3448753462603872E-2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7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7"/>
      <c r="H48" s="17"/>
      <c r="I48" s="16"/>
      <c r="J48" s="16"/>
      <c r="K48" s="16"/>
      <c r="L48" s="16"/>
      <c r="M48" s="16"/>
      <c r="N48" s="16"/>
      <c r="O48" s="16"/>
      <c r="P48" s="17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7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7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 enableFormatConditionsCalculation="0"/>
  <dimension ref="A1:AV70"/>
  <sheetViews>
    <sheetView topLeftCell="E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9" width="8.83203125" style="2"/>
    <col min="10" max="10" width="8.83203125" style="2" customWidth="1"/>
    <col min="11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77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245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428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673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  <c r="V15" s="73"/>
      <c r="W15" s="7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  <c r="V16" s="73"/>
      <c r="W16" s="73"/>
    </row>
    <row r="17" spans="1:23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  <c r="V17" s="73"/>
      <c r="W17" s="73"/>
    </row>
    <row r="18" spans="1:23" x14ac:dyDescent="0.2">
      <c r="A18" s="8" t="s">
        <v>21</v>
      </c>
      <c r="B18" s="119">
        <f>18301+9698</f>
        <v>27999</v>
      </c>
      <c r="C18" s="10">
        <v>149</v>
      </c>
      <c r="D18" s="10">
        <v>0</v>
      </c>
      <c r="E18" s="10">
        <v>0</v>
      </c>
      <c r="F18" s="10">
        <v>0</v>
      </c>
      <c r="G18" s="146">
        <f>B18/0.9</f>
        <v>31110</v>
      </c>
      <c r="H18" s="10">
        <v>0</v>
      </c>
      <c r="I18" s="10"/>
      <c r="J18" s="10"/>
      <c r="K18" s="10"/>
      <c r="L18" s="10"/>
      <c r="M18" s="10"/>
      <c r="N18" s="10"/>
      <c r="O18" s="146">
        <f>SUM(C18:H18)</f>
        <v>31259</v>
      </c>
      <c r="P18" s="168"/>
      <c r="Q18" s="3"/>
      <c r="R18" s="3"/>
      <c r="S18" s="3"/>
      <c r="T18" s="3"/>
      <c r="U18" s="3"/>
      <c r="V18" s="73"/>
      <c r="W18" s="73"/>
    </row>
    <row r="19" spans="1:23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  <c r="V19" s="73"/>
      <c r="W19" s="73"/>
    </row>
    <row r="20" spans="1:23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  <c r="V20" s="72"/>
      <c r="W20" s="73"/>
    </row>
    <row r="21" spans="1:23" x14ac:dyDescent="0.2">
      <c r="A21" s="8" t="s">
        <v>24</v>
      </c>
      <c r="B21" s="119">
        <v>14574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640.68716000000006</v>
      </c>
      <c r="U21" s="75"/>
    </row>
    <row r="22" spans="1:23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3" x14ac:dyDescent="0.2">
      <c r="A23" s="8" t="s">
        <v>16</v>
      </c>
      <c r="B23" s="119">
        <f>SUM(B17:B22)</f>
        <v>42573</v>
      </c>
      <c r="C23" s="10">
        <v>149</v>
      </c>
      <c r="D23" s="10">
        <v>0</v>
      </c>
      <c r="E23" s="10">
        <v>0</v>
      </c>
      <c r="F23" s="10">
        <v>0</v>
      </c>
      <c r="G23" s="146">
        <f>G18</f>
        <v>31110</v>
      </c>
      <c r="H23" s="10">
        <v>0</v>
      </c>
      <c r="I23" s="10"/>
      <c r="J23" s="10"/>
      <c r="K23" s="10"/>
      <c r="L23" s="10"/>
      <c r="M23" s="10"/>
      <c r="N23" s="10"/>
      <c r="O23" s="146">
        <f t="shared" ref="O23" si="0">SUM(C23:H23)</f>
        <v>31259</v>
      </c>
      <c r="P23" s="75"/>
      <c r="Q23" s="75"/>
      <c r="R23" s="75"/>
      <c r="S23" s="75"/>
      <c r="T23" s="75" t="s">
        <v>27</v>
      </c>
      <c r="U23" s="75" t="s">
        <v>28</v>
      </c>
    </row>
    <row r="24" spans="1:23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242.81316000000001</v>
      </c>
      <c r="U24" s="78">
        <f>N43</f>
        <v>0.37898864712693786</v>
      </c>
    </row>
    <row r="25" spans="1:23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67.198999999999998</v>
      </c>
      <c r="U25" s="79">
        <f>G43</f>
        <v>0.1048858229030218</v>
      </c>
    </row>
    <row r="26" spans="1:23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3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6.5190000000000001</v>
      </c>
      <c r="U27" s="78">
        <f>F43</f>
        <v>1.0175012716034453E-2</v>
      </c>
    </row>
    <row r="28" spans="1:23" x14ac:dyDescent="0.2">
      <c r="A28" s="4" t="s">
        <v>77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240.036</v>
      </c>
      <c r="U28" s="78">
        <f>E43</f>
        <v>0.37465398869551247</v>
      </c>
    </row>
    <row r="29" spans="1:23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0.21</v>
      </c>
      <c r="U29" s="96">
        <f>D43</f>
        <v>3.2777307414745132E-4</v>
      </c>
    </row>
    <row r="30" spans="1:23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3" x14ac:dyDescent="0.2">
      <c r="A31" s="8" t="s">
        <v>33</v>
      </c>
      <c r="B31" s="10">
        <v>0</v>
      </c>
      <c r="C31" s="10">
        <v>6341</v>
      </c>
      <c r="D31" s="10">
        <v>0</v>
      </c>
      <c r="E31" s="10">
        <v>0</v>
      </c>
      <c r="F31" s="10">
        <v>649</v>
      </c>
      <c r="G31" s="10">
        <v>0</v>
      </c>
      <c r="H31" s="10">
        <v>0</v>
      </c>
      <c r="I31" s="10"/>
      <c r="J31" s="10"/>
      <c r="K31" s="10"/>
      <c r="L31" s="10"/>
      <c r="N31" s="10">
        <v>9651</v>
      </c>
      <c r="O31" s="10">
        <v>16641</v>
      </c>
      <c r="P31" s="80">
        <f>O31/O$39</f>
        <v>2.6579797692616085E-2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3" x14ac:dyDescent="0.2">
      <c r="A32" s="8" t="s">
        <v>36</v>
      </c>
      <c r="B32" s="119">
        <v>9181</v>
      </c>
      <c r="C32" s="10">
        <v>1755</v>
      </c>
      <c r="D32" s="10">
        <v>210</v>
      </c>
      <c r="E32" s="150">
        <v>240036</v>
      </c>
      <c r="F32" s="10">
        <v>0</v>
      </c>
      <c r="G32" s="10">
        <v>3544</v>
      </c>
      <c r="H32" s="10">
        <v>0</v>
      </c>
      <c r="I32" s="10"/>
      <c r="J32" s="10"/>
      <c r="K32" s="10"/>
      <c r="L32" s="10"/>
      <c r="N32" s="121">
        <f>O32-SUM(B32:M32)</f>
        <v>138885</v>
      </c>
      <c r="O32" s="10">
        <v>393611</v>
      </c>
      <c r="P32" s="80">
        <f>O32/O$39</f>
        <v>0.62869423409580616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6727</v>
      </c>
      <c r="C33" s="10">
        <v>473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11754</v>
      </c>
      <c r="O33" s="10">
        <v>18954</v>
      </c>
      <c r="P33" s="80">
        <f>O33/O$39</f>
        <v>3.0274231444375053E-2</v>
      </c>
      <c r="Q33" s="81" t="s">
        <v>39</v>
      </c>
      <c r="R33" s="75"/>
      <c r="S33" s="75" t="s">
        <v>35</v>
      </c>
      <c r="T33" s="77">
        <f>C42/1000</f>
        <v>83.91</v>
      </c>
      <c r="U33" s="79">
        <f>C43</f>
        <v>0.13096875548434589</v>
      </c>
    </row>
    <row r="34" spans="1:48" x14ac:dyDescent="0.2">
      <c r="A34" s="8" t="s">
        <v>40</v>
      </c>
      <c r="B34" s="10">
        <v>0</v>
      </c>
      <c r="C34" s="10">
        <v>74822</v>
      </c>
      <c r="D34" s="10">
        <v>0</v>
      </c>
      <c r="E34" s="10">
        <v>0</v>
      </c>
      <c r="F34" s="10">
        <v>5870</v>
      </c>
      <c r="G34" s="10">
        <v>0</v>
      </c>
      <c r="H34" s="10">
        <v>0</v>
      </c>
      <c r="I34" s="10"/>
      <c r="J34" s="10"/>
      <c r="K34" s="10"/>
      <c r="L34" s="10"/>
      <c r="N34" s="10">
        <v>161</v>
      </c>
      <c r="O34" s="10">
        <v>80853</v>
      </c>
      <c r="P34" s="80">
        <f>O34/O$39</f>
        <v>0.12914226205402851</v>
      </c>
      <c r="Q34" s="81" t="s">
        <v>41</v>
      </c>
      <c r="R34" s="75"/>
      <c r="S34" s="75"/>
      <c r="T34" s="77">
        <f>SUM(T24:T33)</f>
        <v>640.68716000000006</v>
      </c>
      <c r="U34" s="78">
        <f>SUM(U24:U33)</f>
        <v>0.99999999999999978</v>
      </c>
    </row>
    <row r="35" spans="1:48" x14ac:dyDescent="0.2">
      <c r="A35" s="8" t="s">
        <v>42</v>
      </c>
      <c r="B35" s="119">
        <v>1591</v>
      </c>
      <c r="C35" s="10">
        <v>144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15401</v>
      </c>
      <c r="O35" s="10">
        <v>17136</v>
      </c>
      <c r="P35" s="80">
        <f>O35/O$39</f>
        <v>2.7370435265949716E-2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9794</v>
      </c>
      <c r="C36" s="10">
        <v>206</v>
      </c>
      <c r="D36" s="10">
        <v>0</v>
      </c>
      <c r="E36" s="10">
        <v>0</v>
      </c>
      <c r="F36" s="10">
        <v>0</v>
      </c>
      <c r="G36" s="10">
        <v>32544</v>
      </c>
      <c r="H36" s="10">
        <v>0</v>
      </c>
      <c r="I36" s="10"/>
      <c r="J36" s="10"/>
      <c r="K36" s="10"/>
      <c r="L36" s="10"/>
      <c r="N36" s="10">
        <v>42336</v>
      </c>
      <c r="O36" s="10">
        <v>84880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7342</v>
      </c>
      <c r="C37" s="10">
        <v>20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3401</v>
      </c>
      <c r="O37" s="10">
        <v>10763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3238</v>
      </c>
      <c r="O38" s="10">
        <v>3238</v>
      </c>
      <c r="P38" s="81">
        <f>SUM(P31:P35)</f>
        <v>0.84206096055277546</v>
      </c>
      <c r="Q38" s="81"/>
      <c r="R38" s="75"/>
      <c r="S38" s="83" t="s">
        <v>47</v>
      </c>
      <c r="T38" s="86">
        <f>O45/1000</f>
        <v>25.924160000000001</v>
      </c>
      <c r="U38" s="83"/>
    </row>
    <row r="39" spans="1:48" x14ac:dyDescent="0.2">
      <c r="A39" s="8" t="s">
        <v>16</v>
      </c>
      <c r="B39" s="119">
        <f>SUM(B31:B38)</f>
        <v>34635</v>
      </c>
      <c r="C39" s="10">
        <v>83761</v>
      </c>
      <c r="D39" s="10">
        <v>210</v>
      </c>
      <c r="E39" s="150">
        <f>O39-SUM(F39:N39,B39:D39)</f>
        <v>240036</v>
      </c>
      <c r="F39" s="10">
        <v>6519</v>
      </c>
      <c r="G39" s="10">
        <v>36089</v>
      </c>
      <c r="H39" s="10">
        <v>0</v>
      </c>
      <c r="I39" s="10"/>
      <c r="J39" s="10"/>
      <c r="K39" s="10"/>
      <c r="L39" s="10"/>
      <c r="N39" s="121">
        <f>SUM(N31:N38)</f>
        <v>224827</v>
      </c>
      <c r="O39" s="10">
        <v>626077</v>
      </c>
      <c r="P39" s="75"/>
      <c r="Q39" s="75"/>
      <c r="R39" s="75"/>
      <c r="S39" s="83" t="s">
        <v>48</v>
      </c>
      <c r="T39" s="90">
        <f>O41/1000</f>
        <v>98.881</v>
      </c>
      <c r="U39" s="78">
        <f>P41</f>
        <v>0.15793744219960165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17.135999999999999</v>
      </c>
      <c r="U40" s="79">
        <f>P35</f>
        <v>2.7370435265949716E-2</v>
      </c>
    </row>
    <row r="41" spans="1:48" x14ac:dyDescent="0.2">
      <c r="A41" s="14" t="s">
        <v>50</v>
      </c>
      <c r="B41" s="85">
        <f>B38+B37+B36</f>
        <v>17136</v>
      </c>
      <c r="C41" s="85">
        <f t="shared" ref="C41:O41" si="1">C38+C37+C36</f>
        <v>226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32544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48975</v>
      </c>
      <c r="O41" s="85">
        <f t="shared" si="1"/>
        <v>98881</v>
      </c>
      <c r="P41" s="80">
        <f>O41/O$39</f>
        <v>0.15793744219960165</v>
      </c>
      <c r="Q41" s="80" t="s">
        <v>51</v>
      </c>
      <c r="R41" s="83"/>
      <c r="S41" s="83" t="s">
        <v>52</v>
      </c>
      <c r="T41" s="90">
        <f>O33/1000</f>
        <v>18.954000000000001</v>
      </c>
      <c r="U41" s="78">
        <f>P33</f>
        <v>3.0274231444375053E-2</v>
      </c>
    </row>
    <row r="42" spans="1:48" x14ac:dyDescent="0.2">
      <c r="A42" s="15" t="s">
        <v>53</v>
      </c>
      <c r="B42" s="85"/>
      <c r="C42" s="88">
        <f>C39+C23+C10</f>
        <v>83910</v>
      </c>
      <c r="D42" s="88">
        <f t="shared" ref="D42:M42" si="2">D39+D23+D10</f>
        <v>210</v>
      </c>
      <c r="E42" s="88">
        <f t="shared" si="2"/>
        <v>240036</v>
      </c>
      <c r="F42" s="88">
        <f t="shared" si="2"/>
        <v>6519</v>
      </c>
      <c r="G42" s="88">
        <f t="shared" si="2"/>
        <v>67199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f t="shared" si="2"/>
        <v>0</v>
      </c>
      <c r="M42" s="88">
        <f t="shared" si="2"/>
        <v>0</v>
      </c>
      <c r="N42" s="88">
        <f>N39+N23-B6+N45</f>
        <v>242813.16</v>
      </c>
      <c r="O42" s="89">
        <f>SUM(C42:N42)</f>
        <v>640687.16</v>
      </c>
      <c r="P42" s="83"/>
      <c r="Q42" s="83"/>
      <c r="R42" s="83"/>
      <c r="S42" s="83" t="s">
        <v>34</v>
      </c>
      <c r="T42" s="90">
        <f>O31/1000</f>
        <v>16.640999999999998</v>
      </c>
      <c r="U42" s="78">
        <f>P31</f>
        <v>2.6579797692616085E-2</v>
      </c>
    </row>
    <row r="43" spans="1:48" x14ac:dyDescent="0.2">
      <c r="A43" s="15" t="s">
        <v>54</v>
      </c>
      <c r="B43" s="85"/>
      <c r="C43" s="80">
        <f t="shared" ref="C43:N43" si="3">C42/$O42</f>
        <v>0.13096875548434589</v>
      </c>
      <c r="D43" s="80">
        <f t="shared" si="3"/>
        <v>3.2777307414745132E-4</v>
      </c>
      <c r="E43" s="80">
        <f t="shared" si="3"/>
        <v>0.37465398869551247</v>
      </c>
      <c r="F43" s="80">
        <f t="shared" si="3"/>
        <v>1.0175012716034453E-2</v>
      </c>
      <c r="G43" s="80">
        <f t="shared" si="3"/>
        <v>0.1048858229030218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0</v>
      </c>
      <c r="N43" s="80">
        <f t="shared" si="3"/>
        <v>0.37898864712693786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393.61099999999999</v>
      </c>
      <c r="U43" s="79">
        <f>P32</f>
        <v>0.62869423409580616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80.852999999999994</v>
      </c>
      <c r="U44" s="79">
        <f>P34</f>
        <v>0.12914226205402851</v>
      </c>
    </row>
    <row r="45" spans="1:48" x14ac:dyDescent="0.2">
      <c r="A45" s="6" t="s">
        <v>57</v>
      </c>
      <c r="B45" s="91">
        <f>B23-B39</f>
        <v>7938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17986.16</v>
      </c>
      <c r="O45" s="89">
        <f>B45+N45</f>
        <v>25924.16</v>
      </c>
      <c r="P45" s="83"/>
      <c r="Q45" s="83"/>
      <c r="R45" s="83"/>
      <c r="S45" s="83" t="s">
        <v>58</v>
      </c>
      <c r="T45" s="90">
        <f>SUM(T39:T44)</f>
        <v>626.07599999999991</v>
      </c>
      <c r="U45" s="78">
        <f>SUM(U39:U44)</f>
        <v>0.99999840275237717</v>
      </c>
    </row>
    <row r="46" spans="1:48" x14ac:dyDescent="0.2">
      <c r="A46" s="6"/>
      <c r="B46" s="93">
        <f>B45/B23</f>
        <v>0.18645620463674159</v>
      </c>
      <c r="C46" s="6"/>
      <c r="D46" s="6"/>
      <c r="E46" s="16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E47" s="16"/>
      <c r="F47" s="16"/>
      <c r="G47" s="16"/>
      <c r="H47" s="16"/>
      <c r="I47" s="10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9"/>
      <c r="E48" s="17"/>
      <c r="F48" s="17"/>
      <c r="G48" s="16"/>
      <c r="H48" s="16"/>
      <c r="J48" s="16"/>
      <c r="K48" s="16"/>
      <c r="L48" s="16"/>
      <c r="M48" s="16"/>
      <c r="N48" s="16"/>
      <c r="O48" s="17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4"/>
      <c r="B49" s="10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B50" s="91"/>
      <c r="C50" s="16"/>
      <c r="D50" s="16"/>
      <c r="E50" s="16"/>
      <c r="F50" s="16"/>
      <c r="G50" s="16"/>
      <c r="H50" s="16"/>
      <c r="I50" s="9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B51" s="10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8"/>
      <c r="B52" s="10"/>
      <c r="C52" s="16"/>
      <c r="D52" s="16"/>
      <c r="E52" s="9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8"/>
      <c r="B53" s="10"/>
      <c r="C53" s="16"/>
      <c r="D53" s="16"/>
      <c r="E53" s="9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8"/>
      <c r="B54" s="10"/>
      <c r="C54" s="16"/>
      <c r="D54" s="16"/>
      <c r="E54" s="9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8"/>
      <c r="B55" s="10"/>
      <c r="C55" s="16"/>
      <c r="D55" s="16"/>
      <c r="E55" s="9"/>
      <c r="F55" s="17"/>
      <c r="G55" s="16"/>
      <c r="H55" s="16"/>
      <c r="I55" s="16"/>
      <c r="J55" s="16"/>
      <c r="K55" s="16"/>
      <c r="L55" s="16"/>
      <c r="M55" s="16"/>
      <c r="N55" s="16"/>
      <c r="O55" s="17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8"/>
      <c r="B56" s="10"/>
      <c r="C56" s="16"/>
      <c r="D56" s="16"/>
      <c r="E56" s="9"/>
      <c r="F56" s="17"/>
      <c r="G56" s="16"/>
      <c r="H56" s="16"/>
      <c r="I56" s="16"/>
      <c r="J56" s="16"/>
      <c r="K56" s="16"/>
      <c r="L56" s="16"/>
      <c r="M56" s="16"/>
      <c r="N56" s="16"/>
      <c r="O56" s="17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8"/>
      <c r="B57" s="10"/>
      <c r="C57" s="18"/>
      <c r="D57" s="18"/>
      <c r="E57" s="9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8"/>
      <c r="B58" s="10"/>
      <c r="C58" s="18"/>
      <c r="D58" s="18"/>
      <c r="E58" s="9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8"/>
      <c r="B59" s="10"/>
      <c r="C59" s="18"/>
      <c r="D59" s="18"/>
      <c r="E59" s="9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8"/>
      <c r="B60" s="10"/>
      <c r="C60" s="18"/>
      <c r="D60" s="18"/>
      <c r="E60" s="9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55" customWidth="1"/>
    <col min="2" max="2" width="12" style="55" customWidth="1"/>
    <col min="3" max="3" width="13.83203125" style="55" customWidth="1"/>
    <col min="4" max="11" width="8.83203125" style="55"/>
    <col min="12" max="12" width="7.1640625" style="55" customWidth="1"/>
    <col min="13" max="13" width="5.5" style="55" customWidth="1"/>
    <col min="14" max="14" width="8.83203125" style="55"/>
    <col min="15" max="15" width="9.6640625" style="55" customWidth="1"/>
    <col min="16" max="16384" width="8.83203125" style="55"/>
  </cols>
  <sheetData>
    <row r="1" spans="1:35" ht="19" x14ac:dyDescent="0.25">
      <c r="A1" s="54" t="s">
        <v>0</v>
      </c>
      <c r="P1" s="56"/>
      <c r="Q1" s="56"/>
      <c r="R1" s="56"/>
      <c r="S1" s="56"/>
      <c r="T1" s="56"/>
      <c r="U1" s="56"/>
    </row>
    <row r="2" spans="1:35" x14ac:dyDescent="0.2">
      <c r="A2" s="8" t="s">
        <v>78</v>
      </c>
      <c r="Q2" s="2"/>
      <c r="R2" s="8"/>
      <c r="AH2" s="2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  <c r="Q3" s="2"/>
      <c r="R3" s="2"/>
      <c r="AH3" s="2"/>
      <c r="AI3" s="2"/>
    </row>
    <row r="4" spans="1:35" x14ac:dyDescent="0.2">
      <c r="A4" s="8" t="s">
        <v>124</v>
      </c>
      <c r="B4" s="163">
        <v>119</v>
      </c>
      <c r="Q4" s="8"/>
      <c r="R4" s="10"/>
      <c r="AH4" s="2"/>
      <c r="AI4" s="2"/>
    </row>
    <row r="5" spans="1:35" x14ac:dyDescent="0.2">
      <c r="A5" s="2"/>
      <c r="Q5" s="8"/>
      <c r="R5" s="10"/>
      <c r="AH5" s="2"/>
      <c r="AI5" s="2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  <c r="AH6" s="2"/>
      <c r="AI6" s="2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  <c r="AH7" s="2"/>
      <c r="AI7" s="2"/>
    </row>
    <row r="8" spans="1:35" x14ac:dyDescent="0.2">
      <c r="A8" s="8" t="s">
        <v>14</v>
      </c>
      <c r="B8" s="10">
        <v>27380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  <c r="AH8" s="2"/>
      <c r="AI8" s="2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"/>
      <c r="AI9" s="2"/>
    </row>
    <row r="10" spans="1:35" x14ac:dyDescent="0.2">
      <c r="A10" s="8" t="s">
        <v>16</v>
      </c>
      <c r="B10" s="128">
        <f>SUM(B4:B9)</f>
        <v>27499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2"/>
      <c r="AI10" s="2"/>
    </row>
    <row r="11" spans="1:35" x14ac:dyDescent="0.2"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8"/>
      <c r="R11" s="10"/>
      <c r="S11" s="56"/>
      <c r="T11" s="56"/>
      <c r="U11" s="56"/>
    </row>
    <row r="12" spans="1:35" x14ac:dyDescent="0.2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6"/>
      <c r="Q12" s="8"/>
      <c r="R12" s="10"/>
      <c r="S12" s="56"/>
      <c r="T12" s="56"/>
      <c r="U12" s="56"/>
    </row>
    <row r="13" spans="1:35" ht="19" x14ac:dyDescent="0.25">
      <c r="A13" s="54" t="s">
        <v>17</v>
      </c>
      <c r="B13" s="60"/>
      <c r="C13" s="60"/>
      <c r="D13" s="60"/>
      <c r="E13" s="60"/>
      <c r="F13" s="60"/>
      <c r="G13" s="60"/>
      <c r="H13" s="60"/>
      <c r="I13" s="59"/>
      <c r="J13" s="59"/>
      <c r="K13" s="59"/>
      <c r="L13" s="59"/>
      <c r="M13" s="59"/>
      <c r="N13" s="59"/>
      <c r="O13" s="60"/>
      <c r="P13" s="56"/>
      <c r="Q13" s="56"/>
      <c r="R13" s="56"/>
      <c r="S13" s="56"/>
      <c r="T13" s="56"/>
      <c r="U13" s="56"/>
    </row>
    <row r="14" spans="1:35" x14ac:dyDescent="0.2">
      <c r="A14" s="4" t="s">
        <v>78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6"/>
      <c r="Q14" s="56"/>
      <c r="R14" s="56"/>
      <c r="S14" s="56"/>
      <c r="T14" s="56"/>
      <c r="U14" s="56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56"/>
      <c r="Q15" s="56"/>
      <c r="R15" s="56"/>
      <c r="S15" s="56"/>
      <c r="T15" s="56"/>
      <c r="U15" s="56"/>
    </row>
    <row r="16" spans="1:35" x14ac:dyDescent="0.2"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6"/>
      <c r="Q16" s="56"/>
      <c r="R16" s="56"/>
      <c r="S16" s="56"/>
      <c r="T16" s="56"/>
      <c r="U16" s="56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56"/>
      <c r="Q17" s="56"/>
      <c r="R17" s="56"/>
      <c r="S17" s="56"/>
      <c r="T17" s="56"/>
      <c r="U17" s="56"/>
    </row>
    <row r="18" spans="1:21" x14ac:dyDescent="0.2">
      <c r="A18" s="8" t="s">
        <v>21</v>
      </c>
      <c r="B18" s="10">
        <v>22117</v>
      </c>
      <c r="C18" s="10">
        <v>348</v>
      </c>
      <c r="D18" s="10">
        <v>0</v>
      </c>
      <c r="E18" s="10">
        <v>0</v>
      </c>
      <c r="F18" s="10">
        <v>0</v>
      </c>
      <c r="G18" s="10">
        <v>24637</v>
      </c>
      <c r="H18" s="10">
        <v>0</v>
      </c>
      <c r="I18" s="10"/>
      <c r="J18" s="10"/>
      <c r="K18" s="10"/>
      <c r="L18" s="10"/>
      <c r="M18" s="10"/>
      <c r="N18" s="10"/>
      <c r="O18" s="10">
        <v>24986</v>
      </c>
      <c r="P18" s="170"/>
      <c r="Q18" s="56"/>
      <c r="R18" s="56"/>
      <c r="S18" s="56"/>
      <c r="T18" s="56"/>
      <c r="U18" s="56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56"/>
      <c r="Q19" s="56"/>
      <c r="R19" s="56"/>
      <c r="S19" s="56"/>
      <c r="T19" s="56"/>
      <c r="U19" s="56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56"/>
      <c r="Q20" s="56"/>
      <c r="R20" s="56"/>
      <c r="S20" s="56"/>
      <c r="T20" s="56"/>
      <c r="U20" s="56"/>
    </row>
    <row r="21" spans="1:21" x14ac:dyDescent="0.2">
      <c r="A21" s="8" t="s">
        <v>24</v>
      </c>
      <c r="B21" s="10">
        <v>4393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1007.55808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26510</v>
      </c>
      <c r="C23" s="10">
        <v>348</v>
      </c>
      <c r="D23" s="10">
        <v>0</v>
      </c>
      <c r="E23" s="10">
        <v>0</v>
      </c>
      <c r="F23" s="10">
        <v>0</v>
      </c>
      <c r="G23" s="10">
        <v>24637</v>
      </c>
      <c r="H23" s="10">
        <v>0</v>
      </c>
      <c r="I23" s="10"/>
      <c r="J23" s="10"/>
      <c r="K23" s="10"/>
      <c r="L23" s="10"/>
      <c r="M23" s="10"/>
      <c r="N23" s="10"/>
      <c r="O23" s="10">
        <v>24986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75"/>
      <c r="Q24" s="75"/>
      <c r="R24" s="75"/>
      <c r="S24" s="75" t="s">
        <v>10</v>
      </c>
      <c r="T24" s="77">
        <f>N42/1000</f>
        <v>258.28308000000004</v>
      </c>
      <c r="U24" s="78">
        <f>N43</f>
        <v>0.2563455994516961</v>
      </c>
    </row>
    <row r="25" spans="1:21" x14ac:dyDescent="0.2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75"/>
      <c r="Q25" s="75"/>
      <c r="R25" s="75"/>
      <c r="S25" s="75" t="s">
        <v>111</v>
      </c>
      <c r="T25" s="77">
        <f>G42/1000</f>
        <v>128.11000000000001</v>
      </c>
      <c r="U25" s="79">
        <f>G43</f>
        <v>0.1271489977034376</v>
      </c>
    </row>
    <row r="26" spans="1:21" x14ac:dyDescent="0.2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54" t="s">
        <v>29</v>
      </c>
      <c r="B27" s="60"/>
      <c r="C27" s="60"/>
      <c r="D27" s="60"/>
      <c r="E27" s="60"/>
      <c r="F27" s="60"/>
      <c r="G27" s="60"/>
      <c r="H27" s="59"/>
      <c r="I27" s="59"/>
      <c r="J27" s="59"/>
      <c r="K27" s="59"/>
      <c r="L27" s="59"/>
      <c r="M27" s="59"/>
      <c r="N27" s="59"/>
      <c r="O27" s="59"/>
      <c r="P27" s="75"/>
      <c r="Q27" s="75"/>
      <c r="R27" s="75"/>
      <c r="S27" s="75" t="s">
        <v>31</v>
      </c>
      <c r="T27" s="77">
        <f>F42/1000</f>
        <v>6.2240000000000002</v>
      </c>
      <c r="U27" s="78">
        <f>F43</f>
        <v>6.1773113863570024E-3</v>
      </c>
    </row>
    <row r="28" spans="1:21" x14ac:dyDescent="0.2">
      <c r="A28" s="4" t="s">
        <v>78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75"/>
      <c r="Q28" s="75"/>
      <c r="R28" s="75"/>
      <c r="S28" s="75" t="s">
        <v>4</v>
      </c>
      <c r="T28" s="76">
        <f>E42/1000</f>
        <v>92.23</v>
      </c>
      <c r="U28" s="78">
        <f>E43</f>
        <v>9.1538147359207317E-2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59"/>
      <c r="C30" s="59"/>
      <c r="D30" s="59"/>
      <c r="E30" s="59"/>
      <c r="F30" s="9"/>
      <c r="G30" s="59"/>
      <c r="H30" s="59"/>
      <c r="I30" s="59"/>
      <c r="J30" s="59"/>
      <c r="K30" s="59"/>
      <c r="L30" s="59"/>
      <c r="M30" s="59"/>
      <c r="N30" s="59"/>
      <c r="O30" s="59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3627</v>
      </c>
      <c r="D31" s="10">
        <v>0</v>
      </c>
      <c r="E31" s="10">
        <v>0</v>
      </c>
      <c r="F31" s="10">
        <v>261</v>
      </c>
      <c r="G31" s="10">
        <v>0</v>
      </c>
      <c r="H31" s="10">
        <v>0</v>
      </c>
      <c r="I31" s="10"/>
      <c r="J31" s="10"/>
      <c r="K31" s="10"/>
      <c r="L31" s="10"/>
      <c r="M31" s="2"/>
      <c r="N31" s="10">
        <v>12735</v>
      </c>
      <c r="O31" s="10">
        <v>16623</v>
      </c>
      <c r="P31" s="80">
        <f>O31/O$39</f>
        <v>1.6860582467550251E-2</v>
      </c>
      <c r="Q31" s="81" t="s">
        <v>34</v>
      </c>
      <c r="R31" s="75"/>
      <c r="S31" s="75" t="s">
        <v>5</v>
      </c>
      <c r="T31" s="77">
        <f>I42/1000</f>
        <v>320.96699999999998</v>
      </c>
      <c r="U31" s="78">
        <f>I43</f>
        <v>0.31855930330090743</v>
      </c>
    </row>
    <row r="32" spans="1:21" x14ac:dyDescent="0.2">
      <c r="A32" s="8" t="s">
        <v>36</v>
      </c>
      <c r="B32" s="10">
        <v>2244</v>
      </c>
      <c r="C32" s="147">
        <v>26301</v>
      </c>
      <c r="D32" s="10">
        <v>0</v>
      </c>
      <c r="E32" s="10">
        <v>92230</v>
      </c>
      <c r="F32" s="147">
        <v>0</v>
      </c>
      <c r="G32" s="147">
        <v>78698</v>
      </c>
      <c r="H32" s="149">
        <v>23970</v>
      </c>
      <c r="I32" s="149">
        <v>320967</v>
      </c>
      <c r="J32" s="10"/>
      <c r="K32" s="10"/>
      <c r="L32" s="149">
        <v>15351</v>
      </c>
      <c r="M32" s="2"/>
      <c r="N32" s="147">
        <v>160597</v>
      </c>
      <c r="O32" s="149">
        <f>SUM(B32:N32)</f>
        <v>720358</v>
      </c>
      <c r="P32" s="80">
        <f>O32/O$39</f>
        <v>0.73065364044754633</v>
      </c>
      <c r="Q32" s="81" t="s">
        <v>37</v>
      </c>
      <c r="R32" s="75"/>
      <c r="S32" s="75" t="s">
        <v>6</v>
      </c>
      <c r="T32" s="77">
        <f>H42/1000</f>
        <v>23.97</v>
      </c>
      <c r="U32" s="78">
        <f>H43</f>
        <v>2.3790191826956516E-2</v>
      </c>
    </row>
    <row r="33" spans="1:48" x14ac:dyDescent="0.2">
      <c r="A33" s="8" t="s">
        <v>38</v>
      </c>
      <c r="B33" s="10">
        <v>8638</v>
      </c>
      <c r="C33" s="10">
        <v>406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M33" s="2"/>
      <c r="N33" s="10">
        <v>10621</v>
      </c>
      <c r="O33" s="10">
        <v>19665</v>
      </c>
      <c r="P33" s="80">
        <f>O33/O$39</f>
        <v>1.99460599304804E-2</v>
      </c>
      <c r="Q33" s="81" t="s">
        <v>39</v>
      </c>
      <c r="R33" s="75"/>
      <c r="S33" s="75" t="s">
        <v>35</v>
      </c>
      <c r="T33" s="77">
        <f>C42/1000</f>
        <v>162.423</v>
      </c>
      <c r="U33" s="79">
        <f>C43</f>
        <v>0.16120460271630196</v>
      </c>
    </row>
    <row r="34" spans="1:48" x14ac:dyDescent="0.2">
      <c r="A34" s="8" t="s">
        <v>40</v>
      </c>
      <c r="B34" s="10">
        <v>0</v>
      </c>
      <c r="C34" s="121">
        <f>C39-SUM(C35:C38,C31:C33)</f>
        <v>128337</v>
      </c>
      <c r="D34" s="10">
        <v>0</v>
      </c>
      <c r="E34" s="10">
        <v>0</v>
      </c>
      <c r="F34" s="121">
        <f>O34-N34-C34</f>
        <v>5963</v>
      </c>
      <c r="G34" s="10">
        <v>0</v>
      </c>
      <c r="H34" s="10">
        <v>0</v>
      </c>
      <c r="I34" s="10"/>
      <c r="J34" s="10"/>
      <c r="K34" s="10"/>
      <c r="L34" s="10"/>
      <c r="M34" s="2"/>
      <c r="N34" s="10">
        <v>171</v>
      </c>
      <c r="O34" s="10">
        <v>134471</v>
      </c>
      <c r="P34" s="80">
        <f>O34/O$39</f>
        <v>0.13639291253046681</v>
      </c>
      <c r="Q34" s="81" t="s">
        <v>41</v>
      </c>
      <c r="R34" s="75"/>
      <c r="S34" s="75"/>
      <c r="T34" s="77">
        <f>SUM(T24:T33)</f>
        <v>992.20708000000013</v>
      </c>
      <c r="U34" s="78">
        <f>SUM(U24:U33)</f>
        <v>0.98476415374486392</v>
      </c>
    </row>
    <row r="35" spans="1:48" x14ac:dyDescent="0.2">
      <c r="A35" s="8" t="s">
        <v>42</v>
      </c>
      <c r="B35" s="10">
        <v>1371</v>
      </c>
      <c r="C35" s="10">
        <v>3071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M35" s="2"/>
      <c r="N35" s="10">
        <v>18758</v>
      </c>
      <c r="O35" s="10">
        <v>23200</v>
      </c>
      <c r="P35" s="80">
        <f>O35/O$39</f>
        <v>2.3531583543714481E-2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2347</v>
      </c>
      <c r="C36" s="10">
        <v>333</v>
      </c>
      <c r="D36" s="10">
        <v>0</v>
      </c>
      <c r="E36" s="10">
        <v>0</v>
      </c>
      <c r="F36" s="10">
        <v>0</v>
      </c>
      <c r="G36" s="10">
        <v>24775</v>
      </c>
      <c r="H36" s="10">
        <v>0</v>
      </c>
      <c r="I36" s="10"/>
      <c r="J36" s="10"/>
      <c r="K36" s="10"/>
      <c r="L36" s="10"/>
      <c r="M36" s="2"/>
      <c r="N36" s="10">
        <v>25659</v>
      </c>
      <c r="O36" s="10">
        <v>53114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7868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M37" s="2"/>
      <c r="N37" s="10">
        <v>4583</v>
      </c>
      <c r="O37" s="10">
        <v>12451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M38" s="2"/>
      <c r="N38" s="10">
        <v>6027</v>
      </c>
      <c r="O38" s="10">
        <v>6027</v>
      </c>
      <c r="P38" s="81">
        <f>SUM(P31:P35)</f>
        <v>0.92738477891975823</v>
      </c>
      <c r="Q38" s="81"/>
      <c r="R38" s="75"/>
      <c r="S38" s="83" t="s">
        <v>47</v>
      </c>
      <c r="T38" s="86">
        <f>O45/1000</f>
        <v>23.17408</v>
      </c>
      <c r="U38" s="83"/>
    </row>
    <row r="39" spans="1:48" x14ac:dyDescent="0.2">
      <c r="A39" s="8" t="s">
        <v>16</v>
      </c>
      <c r="B39" s="10">
        <v>22468</v>
      </c>
      <c r="C39" s="10">
        <v>162075</v>
      </c>
      <c r="D39" s="10">
        <v>0</v>
      </c>
      <c r="E39" s="10">
        <v>92230</v>
      </c>
      <c r="F39" s="121">
        <f>F34+F31</f>
        <v>6224</v>
      </c>
      <c r="G39" s="147">
        <f>G36+G32</f>
        <v>103473</v>
      </c>
      <c r="H39" s="149">
        <f>H32</f>
        <v>23970</v>
      </c>
      <c r="I39" s="149">
        <f>I32</f>
        <v>320967</v>
      </c>
      <c r="J39" s="149"/>
      <c r="K39" s="149"/>
      <c r="L39" s="149">
        <f>L32</f>
        <v>15351</v>
      </c>
      <c r="M39" s="2"/>
      <c r="N39" s="147">
        <f>SUM(N31:N38)</f>
        <v>239151</v>
      </c>
      <c r="O39" s="149">
        <f>SUM(O31:O38)</f>
        <v>985909</v>
      </c>
      <c r="P39" s="75"/>
      <c r="Q39" s="75"/>
      <c r="R39" s="75"/>
      <c r="S39" s="83" t="s">
        <v>48</v>
      </c>
      <c r="T39" s="90">
        <f>O41/1000</f>
        <v>71.591999999999999</v>
      </c>
      <c r="U39" s="78">
        <f>P41</f>
        <v>7.2615221080241682E-2</v>
      </c>
    </row>
    <row r="40" spans="1:48" x14ac:dyDescent="0.2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82"/>
      <c r="Q40" s="82"/>
      <c r="R40" s="82"/>
      <c r="S40" s="83" t="s">
        <v>49</v>
      </c>
      <c r="T40" s="90">
        <f>O35/1000</f>
        <v>23.2</v>
      </c>
      <c r="U40" s="79">
        <f>P35</f>
        <v>2.3531583543714481E-2</v>
      </c>
    </row>
    <row r="41" spans="1:48" x14ac:dyDescent="0.2">
      <c r="A41" s="63" t="s">
        <v>50</v>
      </c>
      <c r="B41" s="85">
        <f>B38+B37+B36</f>
        <v>10215</v>
      </c>
      <c r="C41" s="85">
        <f t="shared" ref="C41:O41" si="0">C38+C37+C36</f>
        <v>333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24775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36269</v>
      </c>
      <c r="O41" s="85">
        <f t="shared" si="0"/>
        <v>71592</v>
      </c>
      <c r="P41" s="80">
        <f>O41/O$39</f>
        <v>7.2615221080241682E-2</v>
      </c>
      <c r="Q41" s="80" t="s">
        <v>51</v>
      </c>
      <c r="R41" s="83"/>
      <c r="S41" s="83" t="s">
        <v>52</v>
      </c>
      <c r="T41" s="90">
        <f>O33/1000</f>
        <v>19.664999999999999</v>
      </c>
      <c r="U41" s="78">
        <f>P33</f>
        <v>1.99460599304804E-2</v>
      </c>
    </row>
    <row r="42" spans="1:48" x14ac:dyDescent="0.2">
      <c r="A42" s="64" t="s">
        <v>53</v>
      </c>
      <c r="B42" s="85"/>
      <c r="C42" s="88">
        <f>C39+C23+C10</f>
        <v>162423</v>
      </c>
      <c r="D42" s="88">
        <f t="shared" ref="D42:H42" si="1">D39+D23+D10</f>
        <v>0</v>
      </c>
      <c r="E42" s="88">
        <f t="shared" si="1"/>
        <v>92230</v>
      </c>
      <c r="F42" s="88">
        <f t="shared" si="1"/>
        <v>6224</v>
      </c>
      <c r="G42" s="88">
        <f t="shared" si="1"/>
        <v>128110</v>
      </c>
      <c r="H42" s="88">
        <f t="shared" si="1"/>
        <v>23970</v>
      </c>
      <c r="I42" s="88">
        <f>I39+I23+I10</f>
        <v>320967</v>
      </c>
      <c r="J42" s="88">
        <f>J39+J23+J10</f>
        <v>0</v>
      </c>
      <c r="K42" s="88">
        <f>K39+K23+K10</f>
        <v>0</v>
      </c>
      <c r="L42" s="88">
        <f>L39+L23+L10</f>
        <v>15351</v>
      </c>
      <c r="M42" s="88">
        <f>M39+M23+M10</f>
        <v>0</v>
      </c>
      <c r="N42" s="88">
        <f>N39+N23-B6+N45</f>
        <v>258283.08000000002</v>
      </c>
      <c r="O42" s="89">
        <f>SUM(C42:N42)</f>
        <v>1007558.0800000001</v>
      </c>
      <c r="P42" s="83"/>
      <c r="Q42" s="83"/>
      <c r="R42" s="83"/>
      <c r="S42" s="83" t="s">
        <v>34</v>
      </c>
      <c r="T42" s="90">
        <f>O31/1000</f>
        <v>16.623000000000001</v>
      </c>
      <c r="U42" s="78">
        <f>P31</f>
        <v>1.6860582467550251E-2</v>
      </c>
    </row>
    <row r="43" spans="1:48" x14ac:dyDescent="0.2">
      <c r="A43" s="64" t="s">
        <v>54</v>
      </c>
      <c r="B43" s="85"/>
      <c r="C43" s="80">
        <f t="shared" ref="C43:N43" si="2">C42/$O42</f>
        <v>0.16120460271630196</v>
      </c>
      <c r="D43" s="80">
        <f t="shared" si="2"/>
        <v>0</v>
      </c>
      <c r="E43" s="80">
        <f t="shared" si="2"/>
        <v>9.1538147359207317E-2</v>
      </c>
      <c r="F43" s="80">
        <f t="shared" si="2"/>
        <v>6.1773113863570024E-3</v>
      </c>
      <c r="G43" s="80">
        <f t="shared" si="2"/>
        <v>0.1271489977034376</v>
      </c>
      <c r="H43" s="80">
        <f t="shared" si="2"/>
        <v>2.3790191826956516E-2</v>
      </c>
      <c r="I43" s="80">
        <f t="shared" si="2"/>
        <v>0.31855930330090743</v>
      </c>
      <c r="J43" s="80">
        <f t="shared" si="2"/>
        <v>0</v>
      </c>
      <c r="K43" s="80">
        <f t="shared" si="2"/>
        <v>0</v>
      </c>
      <c r="L43" s="80">
        <f t="shared" si="2"/>
        <v>1.5235846255135981E-2</v>
      </c>
      <c r="M43" s="80">
        <f t="shared" si="2"/>
        <v>0</v>
      </c>
      <c r="N43" s="80">
        <f t="shared" si="2"/>
        <v>0.2563455994516961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720.35799999999995</v>
      </c>
      <c r="U43" s="79">
        <f>P32</f>
        <v>0.73065364044754633</v>
      </c>
    </row>
    <row r="44" spans="1:48" x14ac:dyDescent="0.2">
      <c r="A44" s="57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134.471</v>
      </c>
      <c r="U44" s="79">
        <f>P34</f>
        <v>0.13639291253046681</v>
      </c>
    </row>
    <row r="45" spans="1:48" x14ac:dyDescent="0.2">
      <c r="A45" s="57" t="s">
        <v>57</v>
      </c>
      <c r="B45" s="91">
        <f>B23-B39</f>
        <v>4042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19132.080000000002</v>
      </c>
      <c r="O45" s="89">
        <f>B45+N45</f>
        <v>23174.080000000002</v>
      </c>
      <c r="P45" s="83"/>
      <c r="Q45" s="83"/>
      <c r="R45" s="83"/>
      <c r="S45" s="83" t="s">
        <v>58</v>
      </c>
      <c r="T45" s="90">
        <f>SUM(T39:T44)</f>
        <v>985.90899999999988</v>
      </c>
      <c r="U45" s="78">
        <f>SUM(U39:U44)</f>
        <v>1</v>
      </c>
    </row>
    <row r="46" spans="1:48" x14ac:dyDescent="0.2">
      <c r="A46" s="57"/>
      <c r="B46" s="93">
        <f>B45/B23</f>
        <v>0.15247076574877405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8"/>
      <c r="O46" s="57"/>
      <c r="P46" s="58"/>
      <c r="Q46" s="58"/>
      <c r="R46" s="58"/>
    </row>
    <row r="47" spans="1:48" x14ac:dyDescent="0.2">
      <c r="A47" s="4"/>
      <c r="B47" s="4"/>
      <c r="C47" s="16"/>
      <c r="D47" s="17"/>
      <c r="E47" s="16"/>
      <c r="F47" s="16"/>
      <c r="G47" s="17"/>
      <c r="H47" s="16"/>
      <c r="I47" s="9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7"/>
      <c r="H48" s="17"/>
      <c r="I48" s="9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9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6"/>
      <c r="G55" s="17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6"/>
      <c r="G56" s="17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58"/>
      <c r="B57" s="58"/>
      <c r="C57" s="65"/>
      <c r="D57" s="65"/>
      <c r="E57" s="65"/>
      <c r="F57" s="65"/>
      <c r="G57" s="65"/>
      <c r="H57" s="65"/>
      <c r="I57" s="65"/>
      <c r="J57" s="65"/>
      <c r="K57" s="65"/>
      <c r="L57" s="57"/>
      <c r="M57" s="57"/>
      <c r="N57" s="62"/>
      <c r="O57" s="58"/>
      <c r="P57" s="57"/>
      <c r="Q57" s="61"/>
      <c r="R57" s="58"/>
      <c r="S57" s="58"/>
      <c r="T57" s="57"/>
      <c r="U57" s="61"/>
    </row>
    <row r="58" spans="1:48" x14ac:dyDescent="0.2">
      <c r="A58" s="58"/>
      <c r="B58" s="58"/>
      <c r="C58" s="65"/>
      <c r="D58" s="65"/>
      <c r="E58" s="65"/>
      <c r="F58" s="65"/>
      <c r="G58" s="65"/>
      <c r="H58" s="65"/>
      <c r="I58" s="65"/>
      <c r="J58" s="65"/>
      <c r="K58" s="65"/>
      <c r="L58" s="57"/>
      <c r="M58" s="57"/>
      <c r="N58" s="62"/>
      <c r="O58" s="58"/>
      <c r="P58" s="57"/>
      <c r="Q58" s="61"/>
      <c r="R58" s="58"/>
      <c r="S58" s="58"/>
      <c r="T58" s="57"/>
      <c r="U58" s="61"/>
    </row>
    <row r="59" spans="1:48" x14ac:dyDescent="0.2">
      <c r="A59" s="58"/>
      <c r="B59" s="58"/>
      <c r="C59" s="65"/>
      <c r="D59" s="65"/>
      <c r="E59" s="65"/>
      <c r="F59" s="65"/>
      <c r="G59" s="65"/>
      <c r="H59" s="65"/>
      <c r="I59" s="65"/>
      <c r="J59" s="65"/>
      <c r="K59" s="65"/>
      <c r="L59" s="57"/>
      <c r="M59" s="57"/>
      <c r="N59" s="62"/>
      <c r="O59" s="58"/>
      <c r="P59" s="57"/>
      <c r="Q59" s="61"/>
      <c r="R59" s="58"/>
      <c r="S59" s="58"/>
      <c r="T59" s="57"/>
      <c r="U59" s="61"/>
    </row>
    <row r="60" spans="1:48" x14ac:dyDescent="0.2">
      <c r="A60" s="64"/>
      <c r="B60" s="58"/>
      <c r="C60" s="65"/>
      <c r="D60" s="65"/>
      <c r="E60" s="65"/>
      <c r="F60" s="65"/>
      <c r="G60" s="65"/>
      <c r="H60" s="65"/>
      <c r="I60" s="65"/>
      <c r="J60" s="65"/>
      <c r="K60" s="65"/>
      <c r="L60" s="57"/>
      <c r="M60" s="57"/>
      <c r="N60" s="62"/>
      <c r="O60" s="58"/>
      <c r="P60" s="57"/>
      <c r="Q60" s="61"/>
      <c r="R60" s="58"/>
      <c r="S60" s="58"/>
      <c r="T60" s="57"/>
      <c r="U60" s="61"/>
    </row>
    <row r="61" spans="1:48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7"/>
      <c r="M61" s="57"/>
      <c r="N61" s="62"/>
      <c r="O61" s="58"/>
      <c r="P61" s="57"/>
      <c r="Q61" s="61"/>
      <c r="R61" s="58"/>
      <c r="S61" s="58"/>
      <c r="T61" s="66"/>
      <c r="U61" s="67"/>
    </row>
    <row r="62" spans="1:48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7"/>
    </row>
    <row r="63" spans="1:48" x14ac:dyDescent="0.2">
      <c r="A63" s="58"/>
      <c r="B63" s="68"/>
      <c r="C63" s="68"/>
      <c r="D63" s="68"/>
      <c r="E63" s="68"/>
      <c r="F63" s="68"/>
      <c r="G63" s="68"/>
      <c r="H63" s="68"/>
      <c r="I63" s="6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68"/>
      <c r="U63" s="69"/>
    </row>
    <row r="64" spans="1:48" x14ac:dyDescent="0.2">
      <c r="A64" s="58"/>
      <c r="B64" s="57"/>
      <c r="C64" s="57"/>
      <c r="D64" s="57"/>
      <c r="E64" s="57"/>
      <c r="F64" s="57"/>
      <c r="G64" s="57"/>
      <c r="H64" s="57"/>
      <c r="I64" s="57"/>
      <c r="J64" s="58"/>
      <c r="K64" s="58"/>
      <c r="L64" s="58"/>
      <c r="M64" s="58"/>
      <c r="N64" s="58"/>
      <c r="O64" s="58"/>
      <c r="P64" s="57"/>
      <c r="Q64" s="62"/>
      <c r="R64" s="58"/>
      <c r="S64" s="58"/>
      <c r="T64" s="57"/>
      <c r="U64" s="61"/>
    </row>
    <row r="65" spans="1:21" x14ac:dyDescent="0.2">
      <c r="A65" s="58"/>
      <c r="B65" s="57"/>
      <c r="C65" s="57"/>
      <c r="D65" s="57"/>
      <c r="E65" s="57"/>
      <c r="F65" s="57"/>
      <c r="G65" s="57"/>
      <c r="H65" s="57"/>
      <c r="I65" s="57"/>
      <c r="J65" s="58"/>
      <c r="K65" s="58"/>
      <c r="L65" s="58"/>
      <c r="M65" s="58"/>
      <c r="N65" s="58"/>
      <c r="O65" s="58"/>
      <c r="P65" s="57"/>
      <c r="Q65" s="62"/>
      <c r="R65" s="58"/>
      <c r="S65" s="58"/>
      <c r="T65" s="57"/>
      <c r="U65" s="61"/>
    </row>
    <row r="66" spans="1:21" x14ac:dyDescent="0.2">
      <c r="A66" s="58"/>
      <c r="B66" s="57"/>
      <c r="C66" s="57"/>
      <c r="D66" s="57"/>
      <c r="E66" s="57"/>
      <c r="F66" s="57"/>
      <c r="G66" s="57"/>
      <c r="H66" s="57"/>
      <c r="I66" s="57"/>
      <c r="J66" s="58"/>
      <c r="K66" s="58"/>
      <c r="L66" s="58"/>
      <c r="M66" s="58"/>
      <c r="N66" s="58"/>
      <c r="O66" s="58"/>
      <c r="P66" s="57"/>
      <c r="Q66" s="62"/>
      <c r="R66" s="58"/>
      <c r="S66" s="58"/>
      <c r="T66" s="57"/>
      <c r="U66" s="61"/>
    </row>
    <row r="67" spans="1:21" x14ac:dyDescent="0.2">
      <c r="A67" s="58"/>
      <c r="B67" s="57"/>
      <c r="C67" s="57"/>
      <c r="D67" s="57"/>
      <c r="E67" s="57"/>
      <c r="F67" s="57"/>
      <c r="G67" s="57"/>
      <c r="H67" s="57"/>
      <c r="I67" s="57"/>
      <c r="J67" s="58"/>
      <c r="K67" s="58"/>
      <c r="L67" s="58"/>
      <c r="M67" s="58"/>
      <c r="N67" s="58"/>
      <c r="O67" s="58"/>
      <c r="P67" s="57"/>
      <c r="Q67" s="62"/>
      <c r="R67" s="58"/>
      <c r="S67" s="58"/>
      <c r="T67" s="57"/>
      <c r="U67" s="61"/>
    </row>
    <row r="68" spans="1:21" x14ac:dyDescent="0.2">
      <c r="A68" s="58"/>
      <c r="B68" s="57"/>
      <c r="C68" s="57"/>
      <c r="D68" s="57"/>
      <c r="E68" s="57"/>
      <c r="F68" s="57"/>
      <c r="G68" s="57"/>
      <c r="H68" s="57"/>
      <c r="I68" s="57"/>
      <c r="J68" s="58"/>
      <c r="K68" s="58"/>
      <c r="L68" s="58"/>
      <c r="M68" s="58"/>
      <c r="N68" s="58"/>
      <c r="O68" s="58"/>
      <c r="P68" s="57"/>
      <c r="Q68" s="62"/>
      <c r="R68" s="58"/>
      <c r="S68" s="58"/>
      <c r="T68" s="57"/>
      <c r="U68" s="61"/>
    </row>
    <row r="69" spans="1:21" x14ac:dyDescent="0.2">
      <c r="A69" s="58"/>
      <c r="B69" s="57"/>
      <c r="C69" s="57"/>
      <c r="D69" s="57"/>
      <c r="E69" s="57"/>
      <c r="F69" s="57"/>
      <c r="G69" s="57"/>
      <c r="H69" s="57"/>
      <c r="I69" s="57"/>
      <c r="J69" s="58"/>
      <c r="K69" s="58"/>
      <c r="L69" s="58"/>
      <c r="M69" s="58"/>
      <c r="N69" s="58"/>
      <c r="O69" s="58"/>
      <c r="P69" s="57"/>
      <c r="Q69" s="62"/>
      <c r="R69" s="58"/>
      <c r="S69" s="58"/>
      <c r="T69" s="57"/>
      <c r="U69" s="61"/>
    </row>
    <row r="70" spans="1:21" x14ac:dyDescent="0.2">
      <c r="A70" s="58"/>
      <c r="B70" s="66"/>
      <c r="C70" s="66"/>
      <c r="D70" s="66"/>
      <c r="E70" s="66"/>
      <c r="F70" s="66"/>
      <c r="G70" s="66"/>
      <c r="H70" s="66"/>
      <c r="I70" s="66"/>
      <c r="J70" s="58"/>
      <c r="K70" s="58"/>
      <c r="L70" s="58"/>
      <c r="M70" s="58"/>
      <c r="N70" s="58"/>
      <c r="O70" s="58"/>
      <c r="P70" s="66"/>
      <c r="Q70" s="70"/>
      <c r="R70" s="58"/>
      <c r="S70" s="58"/>
      <c r="T70" s="66"/>
      <c r="U70" s="70"/>
    </row>
  </sheetData>
  <pageMargins left="0.75" right="0.75" top="0.75" bottom="0.5" header="0.5" footer="0.75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V70"/>
  <sheetViews>
    <sheetView topLeftCell="F12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79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109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37192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170084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207385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79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16134</v>
      </c>
      <c r="C18" s="119">
        <v>930</v>
      </c>
      <c r="D18" s="10">
        <v>0</v>
      </c>
      <c r="E18" s="10">
        <v>0</v>
      </c>
      <c r="F18" s="10">
        <v>0</v>
      </c>
      <c r="G18" s="119">
        <v>20101</v>
      </c>
      <c r="H18" s="10">
        <v>0</v>
      </c>
      <c r="I18" s="10"/>
      <c r="J18" s="10"/>
      <c r="K18" s="10"/>
      <c r="L18" s="10"/>
      <c r="M18" s="10"/>
      <c r="N18" s="119">
        <v>126</v>
      </c>
      <c r="O18" s="119">
        <v>21157</v>
      </c>
      <c r="P18" s="134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304.79220000000004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B18</f>
        <v>16134</v>
      </c>
      <c r="C23" s="119">
        <f t="shared" ref="C23:G23" si="0">C18</f>
        <v>930</v>
      </c>
      <c r="D23" s="59">
        <f t="shared" si="0"/>
        <v>0</v>
      </c>
      <c r="E23" s="59">
        <f t="shared" si="0"/>
        <v>0</v>
      </c>
      <c r="F23" s="59">
        <f t="shared" si="0"/>
        <v>0</v>
      </c>
      <c r="G23" s="119">
        <f t="shared" si="0"/>
        <v>20101</v>
      </c>
      <c r="H23" s="10">
        <v>0</v>
      </c>
      <c r="I23" s="10"/>
      <c r="J23" s="10"/>
      <c r="K23" s="10"/>
      <c r="L23" s="10"/>
      <c r="M23" s="10"/>
      <c r="N23" s="119">
        <f>N18</f>
        <v>126</v>
      </c>
      <c r="O23" s="119">
        <f>O18</f>
        <v>21157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75"/>
      <c r="Q24" s="75"/>
      <c r="R24" s="75"/>
      <c r="S24" s="75" t="s">
        <v>10</v>
      </c>
      <c r="T24" s="77">
        <f>N42/1000</f>
        <v>150.5592</v>
      </c>
      <c r="U24" s="78">
        <f>N43</f>
        <v>0.4939732709695327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50.106000000000002</v>
      </c>
      <c r="U25" s="79">
        <f>G43</f>
        <v>0.16439397071184891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7.6239999999999997</v>
      </c>
      <c r="U27" s="78">
        <f>F43</f>
        <v>2.5013763475574505E-2</v>
      </c>
    </row>
    <row r="28" spans="1:21" x14ac:dyDescent="0.2">
      <c r="A28" s="4" t="s">
        <v>79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0.03</v>
      </c>
      <c r="U28" s="78">
        <f>E43</f>
        <v>9.842771566988918E-5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17722</v>
      </c>
      <c r="D31" s="10">
        <v>0</v>
      </c>
      <c r="E31" s="10">
        <v>0</v>
      </c>
      <c r="F31" s="10">
        <v>1801</v>
      </c>
      <c r="G31" s="10">
        <v>0</v>
      </c>
      <c r="H31" s="10">
        <v>0</v>
      </c>
      <c r="I31" s="10"/>
      <c r="J31" s="10"/>
      <c r="K31" s="10"/>
      <c r="L31" s="10"/>
      <c r="N31" s="10">
        <v>16377</v>
      </c>
      <c r="O31" s="10">
        <v>35900</v>
      </c>
      <c r="P31" s="80">
        <f>O31/O$39</f>
        <v>0.1248365649428325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0">
        <v>1779</v>
      </c>
      <c r="D32" s="10">
        <v>0</v>
      </c>
      <c r="E32" s="121">
        <v>30</v>
      </c>
      <c r="F32" s="10">
        <v>0</v>
      </c>
      <c r="G32" s="121">
        <v>5</v>
      </c>
      <c r="H32" s="10">
        <v>0</v>
      </c>
      <c r="I32" s="10"/>
      <c r="J32" s="10"/>
      <c r="K32" s="10"/>
      <c r="L32" s="10"/>
      <c r="N32" s="121">
        <f>O32-G32-E32-C32</f>
        <v>19136</v>
      </c>
      <c r="O32" s="121">
        <v>20950</v>
      </c>
      <c r="P32" s="80">
        <f>O32/O$39</f>
        <v>7.2850307397001143E-2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1435</v>
      </c>
      <c r="C33" s="10">
        <v>147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8427</v>
      </c>
      <c r="O33" s="119">
        <v>10009</v>
      </c>
      <c r="P33" s="80">
        <f>O33/O$39</f>
        <v>3.480471249339305E-2</v>
      </c>
      <c r="Q33" s="81" t="s">
        <v>39</v>
      </c>
      <c r="R33" s="75"/>
      <c r="S33" s="75" t="s">
        <v>35</v>
      </c>
      <c r="T33" s="77">
        <f>C42/1000</f>
        <v>96.472999999999999</v>
      </c>
      <c r="U33" s="79">
        <f>C43</f>
        <v>0.31652056712737398</v>
      </c>
    </row>
    <row r="34" spans="1:48" x14ac:dyDescent="0.2">
      <c r="A34" s="8" t="s">
        <v>40</v>
      </c>
      <c r="B34" s="10">
        <v>0</v>
      </c>
      <c r="C34" s="10">
        <v>73992</v>
      </c>
      <c r="D34" s="10">
        <v>0</v>
      </c>
      <c r="E34" s="10">
        <v>0</v>
      </c>
      <c r="F34" s="10">
        <v>5823</v>
      </c>
      <c r="G34" s="10">
        <v>0</v>
      </c>
      <c r="H34" s="10">
        <v>0</v>
      </c>
      <c r="I34" s="10"/>
      <c r="J34" s="10"/>
      <c r="K34" s="10"/>
      <c r="L34" s="10"/>
      <c r="N34" s="10">
        <v>29162</v>
      </c>
      <c r="O34" s="10">
        <v>108977</v>
      </c>
      <c r="P34" s="80">
        <f>O34/O$39</f>
        <v>0.37895026010515481</v>
      </c>
      <c r="Q34" s="81" t="s">
        <v>41</v>
      </c>
      <c r="R34" s="75"/>
      <c r="S34" s="75"/>
      <c r="T34" s="77">
        <f>SUM(T24:T33)</f>
        <v>304.79219999999998</v>
      </c>
      <c r="U34" s="78">
        <f>SUM(U24:U33)</f>
        <v>1</v>
      </c>
    </row>
    <row r="35" spans="1:48" x14ac:dyDescent="0.2">
      <c r="A35" s="8" t="s">
        <v>42</v>
      </c>
      <c r="B35" s="119">
        <v>5603</v>
      </c>
      <c r="C35" s="10">
        <v>1821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22478</v>
      </c>
      <c r="O35" s="119">
        <v>29902</v>
      </c>
      <c r="P35" s="80">
        <f>O35/O$39</f>
        <v>0.10397946977494645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273</v>
      </c>
      <c r="C36" s="10">
        <v>82</v>
      </c>
      <c r="D36" s="10">
        <v>0</v>
      </c>
      <c r="E36" s="10">
        <v>0</v>
      </c>
      <c r="F36" s="10">
        <v>0</v>
      </c>
      <c r="G36" s="121">
        <v>30000</v>
      </c>
      <c r="H36" s="10">
        <v>0</v>
      </c>
      <c r="I36" s="10"/>
      <c r="J36" s="10"/>
      <c r="K36" s="10"/>
      <c r="L36" s="10"/>
      <c r="N36" s="10">
        <v>32881</v>
      </c>
      <c r="O36" s="119">
        <f>(SUM(C36:N36))+273</f>
        <v>63236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7773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4247</v>
      </c>
      <c r="O37" s="119">
        <v>12020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6582</v>
      </c>
      <c r="O38" s="10">
        <v>6582</v>
      </c>
      <c r="P38" s="81">
        <f>SUM(P31:P35)</f>
        <v>0.71542131471332793</v>
      </c>
      <c r="Q38" s="81"/>
      <c r="R38" s="75"/>
      <c r="S38" s="83" t="s">
        <v>47</v>
      </c>
      <c r="T38" s="86">
        <f>O45/1000</f>
        <v>12.193200000000001</v>
      </c>
      <c r="U38" s="83"/>
    </row>
    <row r="39" spans="1:48" x14ac:dyDescent="0.2">
      <c r="A39" s="8" t="s">
        <v>16</v>
      </c>
      <c r="B39" s="119">
        <v>15084</v>
      </c>
      <c r="C39" s="10">
        <v>95543</v>
      </c>
      <c r="D39" s="10">
        <v>0</v>
      </c>
      <c r="E39" s="121">
        <v>30</v>
      </c>
      <c r="F39" s="10">
        <v>7624</v>
      </c>
      <c r="G39" s="121">
        <v>30005</v>
      </c>
      <c r="H39" s="10">
        <v>0</v>
      </c>
      <c r="I39" s="10"/>
      <c r="J39" s="10"/>
      <c r="K39" s="10"/>
      <c r="L39" s="10"/>
      <c r="N39" s="121">
        <f>SUM(N31:N38)</f>
        <v>139290</v>
      </c>
      <c r="O39" s="119">
        <v>287576</v>
      </c>
      <c r="P39" s="75"/>
      <c r="Q39" s="75"/>
      <c r="R39" s="75"/>
      <c r="S39" s="83" t="s">
        <v>48</v>
      </c>
      <c r="T39" s="90">
        <f>O41/1000</f>
        <v>81.837999999999994</v>
      </c>
      <c r="U39" s="78">
        <f>P41</f>
        <v>0.28457868528667202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29.902000000000001</v>
      </c>
      <c r="U40" s="79">
        <f>P35</f>
        <v>0.10397946977494645</v>
      </c>
    </row>
    <row r="41" spans="1:48" x14ac:dyDescent="0.2">
      <c r="A41" s="14" t="s">
        <v>50</v>
      </c>
      <c r="B41" s="85">
        <f>B38+B37+B36</f>
        <v>8046</v>
      </c>
      <c r="C41" s="85">
        <f t="shared" ref="C41:O41" si="1">C38+C37+C36</f>
        <v>82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30000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43710</v>
      </c>
      <c r="O41" s="85">
        <f t="shared" si="1"/>
        <v>81838</v>
      </c>
      <c r="P41" s="80">
        <f>O41/O$39</f>
        <v>0.28457868528667202</v>
      </c>
      <c r="Q41" s="80" t="s">
        <v>51</v>
      </c>
      <c r="R41" s="83"/>
      <c r="S41" s="83" t="s">
        <v>52</v>
      </c>
      <c r="T41" s="90">
        <f>O33/1000</f>
        <v>10.009</v>
      </c>
      <c r="U41" s="78">
        <f>P33</f>
        <v>3.480471249339305E-2</v>
      </c>
    </row>
    <row r="42" spans="1:48" x14ac:dyDescent="0.2">
      <c r="A42" s="15" t="s">
        <v>53</v>
      </c>
      <c r="B42" s="85"/>
      <c r="C42" s="88">
        <f>C39+C23+C10</f>
        <v>96473</v>
      </c>
      <c r="D42" s="88">
        <f t="shared" ref="D42:M42" si="2">D39+D23+D10</f>
        <v>0</v>
      </c>
      <c r="E42" s="88">
        <f t="shared" si="2"/>
        <v>30</v>
      </c>
      <c r="F42" s="88">
        <f t="shared" si="2"/>
        <v>7624</v>
      </c>
      <c r="G42" s="88">
        <f t="shared" si="2"/>
        <v>50106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f t="shared" si="2"/>
        <v>0</v>
      </c>
      <c r="M42" s="88">
        <f t="shared" si="2"/>
        <v>0</v>
      </c>
      <c r="N42" s="88">
        <f>N39+N23-B6+N45</f>
        <v>150559.20000000001</v>
      </c>
      <c r="O42" s="89">
        <f>SUM(C42:N42)</f>
        <v>304792.2</v>
      </c>
      <c r="P42" s="83"/>
      <c r="Q42" s="83"/>
      <c r="R42" s="83"/>
      <c r="S42" s="83" t="s">
        <v>34</v>
      </c>
      <c r="T42" s="90">
        <f>O31/1000</f>
        <v>35.9</v>
      </c>
      <c r="U42" s="78">
        <f>P31</f>
        <v>0.1248365649428325</v>
      </c>
    </row>
    <row r="43" spans="1:48" x14ac:dyDescent="0.2">
      <c r="A43" s="15" t="s">
        <v>54</v>
      </c>
      <c r="B43" s="85"/>
      <c r="C43" s="80">
        <f t="shared" ref="C43:N43" si="3">C42/$O42</f>
        <v>0.31652056712737398</v>
      </c>
      <c r="D43" s="80">
        <f t="shared" si="3"/>
        <v>0</v>
      </c>
      <c r="E43" s="80">
        <f t="shared" si="3"/>
        <v>9.842771566988918E-5</v>
      </c>
      <c r="F43" s="80">
        <f t="shared" si="3"/>
        <v>2.5013763475574505E-2</v>
      </c>
      <c r="G43" s="80">
        <f t="shared" si="3"/>
        <v>0.16439397071184891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0</v>
      </c>
      <c r="N43" s="80">
        <f t="shared" si="3"/>
        <v>0.4939732709695327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20.95</v>
      </c>
      <c r="U43" s="79">
        <f>P32</f>
        <v>7.2850307397001143E-2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108.977</v>
      </c>
      <c r="U44" s="79">
        <f>P34</f>
        <v>0.37895026010515481</v>
      </c>
    </row>
    <row r="45" spans="1:48" x14ac:dyDescent="0.2">
      <c r="A45" s="6" t="s">
        <v>57</v>
      </c>
      <c r="B45" s="91">
        <f>B23-B39</f>
        <v>1050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11143.2</v>
      </c>
      <c r="O45" s="89">
        <f>B45+N45</f>
        <v>12193.2</v>
      </c>
      <c r="P45" s="83"/>
      <c r="Q45" s="83"/>
      <c r="R45" s="83"/>
      <c r="S45" s="83" t="s">
        <v>58</v>
      </c>
      <c r="T45" s="90">
        <f>SUM(T39:T44)</f>
        <v>287.57600000000002</v>
      </c>
      <c r="U45" s="78">
        <f>SUM(U39:U44)</f>
        <v>1</v>
      </c>
    </row>
    <row r="46" spans="1:48" x14ac:dyDescent="0.2">
      <c r="A46" s="6"/>
      <c r="B46" s="93">
        <f>B45/B23</f>
        <v>6.5079955373744891E-2</v>
      </c>
      <c r="C46" s="6"/>
      <c r="D46" s="52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V70"/>
  <sheetViews>
    <sheetView zoomScale="70" zoomScaleNormal="70" zoomScalePageLayoutView="70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5.5" style="2" customWidth="1"/>
    <col min="13" max="13" width="11.8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80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4">
        <v>85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21">
        <v>0</v>
      </c>
      <c r="C6" s="10">
        <v>0</v>
      </c>
      <c r="D6" s="10">
        <v>0</v>
      </c>
      <c r="E6" s="10">
        <v>0</v>
      </c>
      <c r="F6" s="10">
        <v>0</v>
      </c>
      <c r="G6" s="121">
        <v>0</v>
      </c>
      <c r="H6" s="10">
        <v>0</v>
      </c>
      <c r="I6" s="10"/>
      <c r="J6" s="10"/>
      <c r="K6" s="10"/>
      <c r="L6" s="10"/>
      <c r="M6" s="10"/>
      <c r="N6" s="10"/>
      <c r="O6" s="125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95"/>
      <c r="Q7" s="8"/>
      <c r="R7" s="10"/>
    </row>
    <row r="8" spans="1:35" x14ac:dyDescent="0.2">
      <c r="A8" s="8" t="s">
        <v>14</v>
      </c>
      <c r="B8" s="10">
        <v>206847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95"/>
      <c r="Q8" s="8"/>
      <c r="R8" s="10"/>
    </row>
    <row r="9" spans="1:35" x14ac:dyDescent="0.2">
      <c r="A9" s="8" t="s">
        <v>15</v>
      </c>
      <c r="B9" s="121">
        <f>52036</f>
        <v>52036</v>
      </c>
      <c r="C9" s="10">
        <v>0</v>
      </c>
      <c r="D9" s="10">
        <v>0</v>
      </c>
      <c r="E9" s="10">
        <v>0</v>
      </c>
      <c r="F9" s="10">
        <v>0</v>
      </c>
      <c r="G9" s="124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95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258968</v>
      </c>
      <c r="C10" s="10">
        <v>0</v>
      </c>
      <c r="D10" s="10">
        <v>0</v>
      </c>
      <c r="E10" s="10">
        <v>0</v>
      </c>
      <c r="F10" s="10">
        <v>0</v>
      </c>
      <c r="G10" s="121">
        <v>0</v>
      </c>
      <c r="H10" s="10">
        <v>0</v>
      </c>
      <c r="I10" s="10"/>
      <c r="J10" s="10"/>
      <c r="K10" s="10"/>
      <c r="L10" s="10"/>
      <c r="M10" s="10"/>
      <c r="N10" s="10"/>
      <c r="O10" s="125">
        <v>0</v>
      </c>
      <c r="P10" s="95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24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f>12135+101</f>
        <v>12236</v>
      </c>
      <c r="C18" s="59">
        <v>119</v>
      </c>
      <c r="D18" s="10">
        <v>0</v>
      </c>
      <c r="E18" s="10">
        <v>0</v>
      </c>
      <c r="F18" s="10">
        <v>0</v>
      </c>
      <c r="G18" s="119">
        <f>12135/0.9</f>
        <v>13483.333333333332</v>
      </c>
      <c r="H18" s="10">
        <v>0</v>
      </c>
      <c r="I18" s="10"/>
      <c r="J18" s="10"/>
      <c r="K18" s="10"/>
      <c r="L18" s="10"/>
      <c r="M18" s="10"/>
      <c r="N18" s="10"/>
      <c r="O18" s="119">
        <f>SUM(C18:H18)</f>
        <v>13602.333333333332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19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605.24261333333345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v>12236</v>
      </c>
      <c r="C23" s="59">
        <v>119</v>
      </c>
      <c r="D23" s="10">
        <v>0</v>
      </c>
      <c r="E23" s="10">
        <v>0</v>
      </c>
      <c r="F23" s="10">
        <v>0</v>
      </c>
      <c r="G23" s="119">
        <f>G18</f>
        <v>13483.333333333332</v>
      </c>
      <c r="H23" s="10">
        <v>0</v>
      </c>
      <c r="I23" s="10"/>
      <c r="J23" s="10"/>
      <c r="K23" s="10"/>
      <c r="L23" s="10"/>
      <c r="M23" s="10"/>
      <c r="N23" s="10"/>
      <c r="O23" s="119">
        <f>O18</f>
        <v>13602.333333333332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266.21028000000001</v>
      </c>
      <c r="U24" s="78">
        <f>N43</f>
        <v>0.4398406095926799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181.38333333333335</v>
      </c>
      <c r="U25" s="79">
        <f>G43</f>
        <v>0.29968698392596105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7.0670000000000002</v>
      </c>
      <c r="U27" s="78">
        <f>F43</f>
        <v>1.1676309374647248E-2</v>
      </c>
    </row>
    <row r="28" spans="1:21" x14ac:dyDescent="0.2">
      <c r="A28" s="4" t="s">
        <v>80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44</v>
      </c>
      <c r="U28" s="78">
        <f>E43</f>
        <v>7.2698119779889478E-2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3201</v>
      </c>
      <c r="D31" s="10">
        <v>0</v>
      </c>
      <c r="E31" s="10">
        <v>0</v>
      </c>
      <c r="F31" s="10">
        <v>328</v>
      </c>
      <c r="G31" s="10">
        <v>0</v>
      </c>
      <c r="H31" s="10">
        <v>0</v>
      </c>
      <c r="I31" s="10"/>
      <c r="J31" s="10"/>
      <c r="K31" s="10"/>
      <c r="L31" s="10"/>
      <c r="N31" s="10">
        <v>4218</v>
      </c>
      <c r="O31" s="10">
        <v>7747</v>
      </c>
      <c r="P31" s="80">
        <f>O31/O$39</f>
        <v>1.3295074455506034E-2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f>C39-SUM(C33:C38,C31)</f>
        <v>12313</v>
      </c>
      <c r="D32" s="10">
        <v>0</v>
      </c>
      <c r="E32" s="147">
        <v>44000</v>
      </c>
      <c r="F32" s="10">
        <v>0</v>
      </c>
      <c r="G32" s="147">
        <v>143600</v>
      </c>
      <c r="H32" s="10">
        <v>0</v>
      </c>
      <c r="I32" s="10"/>
      <c r="J32" s="10"/>
      <c r="K32" s="10"/>
      <c r="L32" s="10"/>
      <c r="N32" s="148">
        <f>350688-SUM(C32:E32)-140433</f>
        <v>153942</v>
      </c>
      <c r="O32" s="10">
        <f>SUM(C32:N32)</f>
        <v>353855</v>
      </c>
      <c r="P32" s="80">
        <f>O32/O$39</f>
        <v>0.60727101735550382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3199</v>
      </c>
      <c r="C33" s="10">
        <v>73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21">
        <f>0.18*29530</f>
        <v>5315.4</v>
      </c>
      <c r="O33" s="121">
        <f>SUM(B33:N33)</f>
        <v>8587.4</v>
      </c>
      <c r="P33" s="80">
        <f>O33/O$39</f>
        <v>1.4737333468337745E-2</v>
      </c>
      <c r="Q33" s="81" t="s">
        <v>39</v>
      </c>
      <c r="R33" s="75"/>
      <c r="S33" s="75" t="s">
        <v>35</v>
      </c>
      <c r="T33" s="77">
        <f>C42/1000</f>
        <v>106.58199999999999</v>
      </c>
      <c r="U33" s="79">
        <f>C43</f>
        <v>0.17609797732682225</v>
      </c>
    </row>
    <row r="34" spans="1:48" x14ac:dyDescent="0.2">
      <c r="A34" s="8" t="s">
        <v>40</v>
      </c>
      <c r="B34" s="10">
        <v>0</v>
      </c>
      <c r="C34" s="10">
        <v>90262</v>
      </c>
      <c r="D34" s="10">
        <v>0</v>
      </c>
      <c r="E34" s="10">
        <v>0</v>
      </c>
      <c r="F34" s="10">
        <v>6739</v>
      </c>
      <c r="G34" s="10">
        <v>0</v>
      </c>
      <c r="H34" s="10">
        <v>0</v>
      </c>
      <c r="I34" s="10"/>
      <c r="J34" s="10"/>
      <c r="K34" s="10"/>
      <c r="L34" s="10"/>
      <c r="N34" s="10">
        <v>99</v>
      </c>
      <c r="O34" s="10">
        <v>97100</v>
      </c>
      <c r="P34" s="80">
        <f>O34/O$39</f>
        <v>0.16663892211561068</v>
      </c>
      <c r="Q34" s="81" t="s">
        <v>41</v>
      </c>
      <c r="R34" s="75"/>
      <c r="S34" s="75"/>
      <c r="T34" s="77">
        <f>SUM(T24:T33)</f>
        <v>605.24261333333334</v>
      </c>
      <c r="U34" s="78">
        <f>SUM(U24:U33)</f>
        <v>1</v>
      </c>
    </row>
    <row r="35" spans="1:48" x14ac:dyDescent="0.2">
      <c r="A35" s="8" t="s">
        <v>42</v>
      </c>
      <c r="B35" s="10">
        <v>39</v>
      </c>
      <c r="C35" s="10">
        <v>119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1">
        <f>0.66*29530</f>
        <v>19489.8</v>
      </c>
      <c r="O35" s="121">
        <f>SUM(B35:N35)</f>
        <v>19647.8</v>
      </c>
      <c r="P35" s="80">
        <f>O35/O$39</f>
        <v>3.3718725169341872E-2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51</v>
      </c>
      <c r="C36" s="121">
        <v>495</v>
      </c>
      <c r="D36" s="10">
        <v>0</v>
      </c>
      <c r="E36" s="10">
        <v>0</v>
      </c>
      <c r="F36" s="10">
        <v>0</v>
      </c>
      <c r="G36" s="121">
        <v>24300</v>
      </c>
      <c r="H36" s="10">
        <v>0</v>
      </c>
      <c r="I36" s="10"/>
      <c r="J36" s="10"/>
      <c r="K36" s="149"/>
      <c r="L36" s="10"/>
      <c r="N36" s="121">
        <f>O36-G36-C36-B36</f>
        <v>53809</v>
      </c>
      <c r="O36" s="10">
        <v>78655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7487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21">
        <f>29530*0.16</f>
        <v>4724.8</v>
      </c>
      <c r="O37" s="121">
        <f>SUM(B37:N37)</f>
        <v>12211.8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4893</v>
      </c>
      <c r="O38" s="10">
        <v>4893</v>
      </c>
      <c r="P38" s="81">
        <f>SUM(P31:P35)</f>
        <v>0.83566107256430011</v>
      </c>
      <c r="Q38" s="81"/>
      <c r="R38" s="75"/>
      <c r="S38" s="83" t="s">
        <v>47</v>
      </c>
      <c r="T38" s="86">
        <f>O45/1000</f>
        <v>21.179279999999999</v>
      </c>
      <c r="U38" s="83"/>
    </row>
    <row r="39" spans="1:48" x14ac:dyDescent="0.2">
      <c r="A39" s="8" t="s">
        <v>16</v>
      </c>
      <c r="B39" s="10">
        <v>10776</v>
      </c>
      <c r="C39" s="10">
        <v>106463</v>
      </c>
      <c r="D39" s="10">
        <v>0</v>
      </c>
      <c r="E39" s="147">
        <f>E32</f>
        <v>44000</v>
      </c>
      <c r="F39" s="10">
        <v>7067</v>
      </c>
      <c r="G39" s="148">
        <f>SUM(G32:G36)</f>
        <v>167900</v>
      </c>
      <c r="H39" s="10">
        <v>0</v>
      </c>
      <c r="I39" s="10"/>
      <c r="J39" s="10"/>
      <c r="K39" s="10"/>
      <c r="L39" s="10"/>
      <c r="M39" s="10"/>
      <c r="N39" s="10">
        <v>246491</v>
      </c>
      <c r="O39" s="10">
        <v>582697</v>
      </c>
      <c r="P39" s="75"/>
      <c r="Q39" s="75"/>
      <c r="R39" s="75"/>
      <c r="S39" s="83" t="s">
        <v>48</v>
      </c>
      <c r="T39" s="90">
        <f>O41/1000</f>
        <v>95.759799999999998</v>
      </c>
      <c r="U39" s="78">
        <f>P41</f>
        <v>0.16433892743569986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19.6478</v>
      </c>
      <c r="U40" s="79">
        <f>P35</f>
        <v>3.3718725169341872E-2</v>
      </c>
    </row>
    <row r="41" spans="1:48" x14ac:dyDescent="0.2">
      <c r="A41" s="14" t="s">
        <v>50</v>
      </c>
      <c r="B41" s="85">
        <f>B38+B37+B36</f>
        <v>7538</v>
      </c>
      <c r="C41" s="85">
        <f t="shared" ref="C41:O41" si="0">C38+C37+C36</f>
        <v>495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24300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63426.8</v>
      </c>
      <c r="O41" s="85">
        <f t="shared" si="0"/>
        <v>95759.8</v>
      </c>
      <c r="P41" s="80">
        <f>O41/O$39</f>
        <v>0.16433892743569986</v>
      </c>
      <c r="Q41" s="80" t="s">
        <v>51</v>
      </c>
      <c r="R41" s="83"/>
      <c r="S41" s="83" t="s">
        <v>52</v>
      </c>
      <c r="T41" s="90">
        <f>O33/1000</f>
        <v>8.5873999999999988</v>
      </c>
      <c r="U41" s="78">
        <f>P33</f>
        <v>1.4737333468337745E-2</v>
      </c>
    </row>
    <row r="42" spans="1:48" x14ac:dyDescent="0.2">
      <c r="A42" s="15" t="s">
        <v>53</v>
      </c>
      <c r="B42" s="85"/>
      <c r="C42" s="88">
        <f>C39+C23+C10</f>
        <v>106582</v>
      </c>
      <c r="D42" s="88">
        <f t="shared" ref="D42:M42" si="1">D39+D23+D10</f>
        <v>0</v>
      </c>
      <c r="E42" s="88">
        <f t="shared" si="1"/>
        <v>44000</v>
      </c>
      <c r="F42" s="88">
        <f t="shared" si="1"/>
        <v>7067</v>
      </c>
      <c r="G42" s="88">
        <f t="shared" si="1"/>
        <v>181383.33333333334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266210.28000000003</v>
      </c>
      <c r="O42" s="89">
        <f>SUM(C42:N42)</f>
        <v>605242.6133333334</v>
      </c>
      <c r="P42" s="83"/>
      <c r="Q42" s="83"/>
      <c r="R42" s="83"/>
      <c r="S42" s="83" t="s">
        <v>34</v>
      </c>
      <c r="T42" s="90">
        <f>O31/1000</f>
        <v>7.7469999999999999</v>
      </c>
      <c r="U42" s="78">
        <f>P31</f>
        <v>1.3295074455506034E-2</v>
      </c>
    </row>
    <row r="43" spans="1:48" x14ac:dyDescent="0.2">
      <c r="A43" s="15" t="s">
        <v>54</v>
      </c>
      <c r="B43" s="85"/>
      <c r="C43" s="80">
        <f t="shared" ref="C43:N43" si="2">C42/$O42</f>
        <v>0.17609797732682225</v>
      </c>
      <c r="D43" s="80">
        <f t="shared" si="2"/>
        <v>0</v>
      </c>
      <c r="E43" s="80">
        <f t="shared" si="2"/>
        <v>7.2698119779889478E-2</v>
      </c>
      <c r="F43" s="80">
        <f t="shared" si="2"/>
        <v>1.1676309374647248E-2</v>
      </c>
      <c r="G43" s="80">
        <f t="shared" si="2"/>
        <v>0.29968698392596105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0.4398406095926799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353.85500000000002</v>
      </c>
      <c r="U43" s="79">
        <f>P32</f>
        <v>0.60727101735550382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97.1</v>
      </c>
      <c r="U44" s="79">
        <f>P34</f>
        <v>0.16663892211561068</v>
      </c>
    </row>
    <row r="45" spans="1:48" x14ac:dyDescent="0.2">
      <c r="A45" s="6" t="s">
        <v>57</v>
      </c>
      <c r="B45" s="91">
        <f>B23-B39</f>
        <v>1460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19719.28</v>
      </c>
      <c r="O45" s="89">
        <f>B45+N45</f>
        <v>21179.279999999999</v>
      </c>
      <c r="P45" s="83"/>
      <c r="Q45" s="83"/>
      <c r="R45" s="83"/>
      <c r="S45" s="83" t="s">
        <v>58</v>
      </c>
      <c r="T45" s="90">
        <f>SUM(T39:T44)</f>
        <v>582.697</v>
      </c>
      <c r="U45" s="78">
        <f>SUM(U39:U44)</f>
        <v>1</v>
      </c>
    </row>
    <row r="46" spans="1:48" x14ac:dyDescent="0.2">
      <c r="A46" s="6"/>
      <c r="B46" s="93">
        <f>B45/B23</f>
        <v>0.11932003922850605</v>
      </c>
      <c r="C46" s="6"/>
      <c r="D46" s="6"/>
      <c r="E46" s="6"/>
      <c r="F46" s="6"/>
      <c r="G46" s="6"/>
      <c r="H46" s="6"/>
      <c r="I46" s="29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17"/>
      <c r="I48" s="16"/>
      <c r="J48" s="16"/>
      <c r="K48" s="16"/>
      <c r="L48" s="16"/>
      <c r="M48" s="16"/>
      <c r="N48" s="9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V70"/>
  <sheetViews>
    <sheetView topLeftCell="D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8.6640625" style="2" customWidth="1"/>
    <col min="13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81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472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9838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74472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20150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104932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118570</v>
      </c>
      <c r="C17" s="10">
        <v>1224</v>
      </c>
      <c r="D17" s="10">
        <v>0</v>
      </c>
      <c r="E17" s="10">
        <v>0</v>
      </c>
      <c r="F17" s="10">
        <v>0</v>
      </c>
      <c r="G17" s="10">
        <v>131062</v>
      </c>
      <c r="H17" s="10">
        <v>0</v>
      </c>
      <c r="I17" s="10"/>
      <c r="J17" s="10"/>
      <c r="K17" s="10"/>
      <c r="L17" s="10"/>
      <c r="M17" s="10"/>
      <c r="N17" s="10"/>
      <c r="O17" s="10">
        <v>132286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7147</v>
      </c>
      <c r="C18" s="10">
        <v>239</v>
      </c>
      <c r="D18" s="10">
        <v>0</v>
      </c>
      <c r="E18" s="10">
        <v>0</v>
      </c>
      <c r="F18" s="10">
        <v>0</v>
      </c>
      <c r="G18" s="10">
        <v>8267</v>
      </c>
      <c r="H18" s="10">
        <v>0</v>
      </c>
      <c r="I18" s="10"/>
      <c r="J18" s="10"/>
      <c r="K18" s="10"/>
      <c r="L18" s="10"/>
      <c r="M18" s="10"/>
      <c r="N18" s="10"/>
      <c r="O18" s="10">
        <v>8506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789.36968000000002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125717</v>
      </c>
      <c r="C23" s="10">
        <v>1463</v>
      </c>
      <c r="D23" s="10">
        <v>0</v>
      </c>
      <c r="E23" s="10">
        <v>0</v>
      </c>
      <c r="F23" s="10">
        <v>0</v>
      </c>
      <c r="G23" s="10">
        <v>139329</v>
      </c>
      <c r="H23" s="10">
        <v>0</v>
      </c>
      <c r="I23" s="10"/>
      <c r="J23" s="10"/>
      <c r="K23" s="10"/>
      <c r="L23" s="10"/>
      <c r="M23" s="10"/>
      <c r="N23" s="10"/>
      <c r="O23" s="10">
        <f>O17+O18</f>
        <v>140792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293.20028000000002</v>
      </c>
      <c r="U24" s="78">
        <f>N43</f>
        <v>0.37143595381064043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18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214.887</v>
      </c>
      <c r="U25" s="79">
        <f>G43</f>
        <v>0.27222606269853178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18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19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23.071000000000002</v>
      </c>
      <c r="U27" s="78">
        <f>F43</f>
        <v>2.9227117008091823E-2</v>
      </c>
    </row>
    <row r="28" spans="1:21" x14ac:dyDescent="0.2">
      <c r="A28" s="4" t="s">
        <v>81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7.7910000000000004</v>
      </c>
      <c r="U28" s="78">
        <f>E43</f>
        <v>9.8699002474987377E-3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F30" s="10"/>
      <c r="G30" s="10"/>
      <c r="H30" s="10"/>
      <c r="I30" s="10"/>
      <c r="J30" s="10"/>
      <c r="K30" s="48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7066</v>
      </c>
      <c r="D31" s="10">
        <v>0</v>
      </c>
      <c r="E31" s="10">
        <v>0</v>
      </c>
      <c r="F31" s="10">
        <v>663</v>
      </c>
      <c r="G31" s="10">
        <v>0</v>
      </c>
      <c r="H31" s="10">
        <v>0</v>
      </c>
      <c r="I31" s="10"/>
      <c r="J31" s="10"/>
      <c r="K31" s="10"/>
      <c r="L31" s="10"/>
      <c r="N31" s="10">
        <v>21192</v>
      </c>
      <c r="O31" s="10">
        <v>28921</v>
      </c>
      <c r="P31" s="80">
        <f>O31/O$39</f>
        <v>3.9037834344385479E-2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16625</v>
      </c>
      <c r="C32" s="121">
        <v>12763</v>
      </c>
      <c r="D32" s="10">
        <v>0</v>
      </c>
      <c r="E32" s="147">
        <v>7791</v>
      </c>
      <c r="F32" s="149">
        <v>0</v>
      </c>
      <c r="G32" s="10">
        <v>3371</v>
      </c>
      <c r="H32" s="10">
        <v>0</v>
      </c>
      <c r="I32" s="10"/>
      <c r="J32" s="151"/>
      <c r="K32" s="10"/>
      <c r="L32" s="149">
        <v>16340.4</v>
      </c>
      <c r="N32" s="121">
        <v>51759</v>
      </c>
      <c r="O32" s="149">
        <v>108649.4</v>
      </c>
      <c r="P32" s="80">
        <f>O32/O$39</f>
        <v>0.14665596897814306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18211</v>
      </c>
      <c r="C33" s="10">
        <v>161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26979</v>
      </c>
      <c r="O33" s="10">
        <v>45351</v>
      </c>
      <c r="P33" s="80">
        <f>O33/O$39</f>
        <v>6.1215200904264237E-2</v>
      </c>
      <c r="Q33" s="81" t="s">
        <v>39</v>
      </c>
      <c r="R33" s="75"/>
      <c r="S33" s="75" t="s">
        <v>35</v>
      </c>
      <c r="T33" s="77">
        <f>C42/1000</f>
        <v>234.08</v>
      </c>
      <c r="U33" s="79">
        <f>C43</f>
        <v>0.29654039917013281</v>
      </c>
    </row>
    <row r="34" spans="1:48" x14ac:dyDescent="0.2">
      <c r="A34" s="8" t="s">
        <v>40</v>
      </c>
      <c r="B34" s="10">
        <v>0</v>
      </c>
      <c r="C34" s="121">
        <v>209485</v>
      </c>
      <c r="D34" s="10">
        <v>0</v>
      </c>
      <c r="E34" s="10">
        <v>0</v>
      </c>
      <c r="F34" s="121">
        <v>22408</v>
      </c>
      <c r="G34" s="10">
        <v>0</v>
      </c>
      <c r="H34" s="10">
        <v>0</v>
      </c>
      <c r="I34" s="46"/>
      <c r="J34" s="46"/>
      <c r="K34" s="10"/>
      <c r="L34" s="10"/>
      <c r="N34" s="10">
        <v>277</v>
      </c>
      <c r="O34" s="10">
        <v>232170</v>
      </c>
      <c r="P34" s="80">
        <f>O34/O$39</f>
        <v>0.31338522180201156</v>
      </c>
      <c r="Q34" s="81" t="s">
        <v>41</v>
      </c>
      <c r="R34" s="75"/>
      <c r="S34" s="75"/>
      <c r="T34" s="77">
        <f>SUM(T24:T33)</f>
        <v>773.02928000000009</v>
      </c>
      <c r="U34" s="78">
        <f>SUM(U24:U33)</f>
        <v>0.97929943293489563</v>
      </c>
    </row>
    <row r="35" spans="1:48" x14ac:dyDescent="0.2">
      <c r="A35" s="8" t="s">
        <v>42</v>
      </c>
      <c r="B35" s="10">
        <v>12837</v>
      </c>
      <c r="C35" s="10">
        <v>1347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49967</v>
      </c>
      <c r="O35" s="10">
        <v>64151</v>
      </c>
      <c r="P35" s="80">
        <f>O35/O$39</f>
        <v>8.6591615470650155E-2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12449</v>
      </c>
      <c r="C36" s="10">
        <v>1795</v>
      </c>
      <c r="D36" s="10">
        <v>0</v>
      </c>
      <c r="E36" s="10">
        <v>0</v>
      </c>
      <c r="F36" s="10">
        <v>0</v>
      </c>
      <c r="G36" s="10">
        <v>72187</v>
      </c>
      <c r="H36" s="10">
        <v>0</v>
      </c>
      <c r="I36" s="10"/>
      <c r="J36" s="10"/>
      <c r="K36" s="10"/>
      <c r="L36" s="10"/>
      <c r="N36" s="10">
        <v>107364</v>
      </c>
      <c r="O36" s="10">
        <v>193795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44755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13337</v>
      </c>
      <c r="O37" s="10">
        <v>58092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23"/>
      <c r="K38" s="10"/>
      <c r="L38" s="10"/>
      <c r="N38" s="10">
        <v>9716</v>
      </c>
      <c r="O38" s="10">
        <v>9716</v>
      </c>
      <c r="P38" s="81">
        <f>SUM(P31:P35)</f>
        <v>0.64688584149945461</v>
      </c>
      <c r="Q38" s="81"/>
      <c r="R38" s="75"/>
      <c r="S38" s="83" t="s">
        <v>47</v>
      </c>
      <c r="T38" s="86">
        <f>O45/1000</f>
        <v>43.287279999999996</v>
      </c>
      <c r="U38" s="83"/>
    </row>
    <row r="39" spans="1:48" x14ac:dyDescent="0.2">
      <c r="A39" s="8" t="s">
        <v>16</v>
      </c>
      <c r="B39" s="10">
        <v>104877</v>
      </c>
      <c r="C39" s="10">
        <v>232617</v>
      </c>
      <c r="D39" s="10">
        <v>0</v>
      </c>
      <c r="E39" s="147">
        <v>7791</v>
      </c>
      <c r="F39" s="10">
        <v>23071</v>
      </c>
      <c r="G39" s="10">
        <v>75558</v>
      </c>
      <c r="H39" s="10">
        <v>0</v>
      </c>
      <c r="I39" s="10"/>
      <c r="J39" s="10"/>
      <c r="K39" s="10"/>
      <c r="L39" s="149">
        <v>16340.4</v>
      </c>
      <c r="N39" s="121">
        <v>280591</v>
      </c>
      <c r="O39" s="149">
        <v>740845.4</v>
      </c>
      <c r="P39" s="75"/>
      <c r="Q39" s="75"/>
      <c r="R39" s="75"/>
      <c r="S39" s="83" t="s">
        <v>48</v>
      </c>
      <c r="T39" s="90">
        <f>O41/1000</f>
        <v>261.60300000000001</v>
      </c>
      <c r="U39" s="78">
        <f>P41</f>
        <v>0.35311415850054545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64.150999999999996</v>
      </c>
      <c r="U40" s="79">
        <f>P35</f>
        <v>8.6591615470650155E-2</v>
      </c>
    </row>
    <row r="41" spans="1:48" x14ac:dyDescent="0.2">
      <c r="A41" s="14" t="s">
        <v>50</v>
      </c>
      <c r="B41" s="85">
        <f>B38+B37+B36</f>
        <v>57204</v>
      </c>
      <c r="C41" s="85">
        <f t="shared" ref="C41:O41" si="0">C38+C37+C36</f>
        <v>1795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72187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130417</v>
      </c>
      <c r="O41" s="85">
        <f t="shared" si="0"/>
        <v>261603</v>
      </c>
      <c r="P41" s="80">
        <f>O41/O$39</f>
        <v>0.35311415850054545</v>
      </c>
      <c r="Q41" s="80" t="s">
        <v>51</v>
      </c>
      <c r="R41" s="83"/>
      <c r="S41" s="83" t="s">
        <v>52</v>
      </c>
      <c r="T41" s="90">
        <f>O33/1000</f>
        <v>45.350999999999999</v>
      </c>
      <c r="U41" s="78">
        <f>P33</f>
        <v>6.1215200904264237E-2</v>
      </c>
    </row>
    <row r="42" spans="1:48" x14ac:dyDescent="0.2">
      <c r="A42" s="15" t="s">
        <v>53</v>
      </c>
      <c r="B42" s="85"/>
      <c r="C42" s="88">
        <f>C39+C23+C10</f>
        <v>234080</v>
      </c>
      <c r="D42" s="88">
        <f t="shared" ref="D42:M42" si="1">D39+D23+D10</f>
        <v>0</v>
      </c>
      <c r="E42" s="88">
        <f t="shared" si="1"/>
        <v>7791</v>
      </c>
      <c r="F42" s="88">
        <f t="shared" si="1"/>
        <v>23071</v>
      </c>
      <c r="G42" s="88">
        <f t="shared" si="1"/>
        <v>214887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16340.4</v>
      </c>
      <c r="M42" s="88">
        <f t="shared" si="1"/>
        <v>0</v>
      </c>
      <c r="N42" s="88">
        <f>N39+N23-B6+N45</f>
        <v>293200.28000000003</v>
      </c>
      <c r="O42" s="89">
        <f>SUM(C42:N42)</f>
        <v>789369.68</v>
      </c>
      <c r="P42" s="83"/>
      <c r="Q42" s="83"/>
      <c r="R42" s="83"/>
      <c r="S42" s="83" t="s">
        <v>34</v>
      </c>
      <c r="T42" s="90">
        <f>O31/1000</f>
        <v>28.920999999999999</v>
      </c>
      <c r="U42" s="78">
        <f>P31</f>
        <v>3.9037834344385479E-2</v>
      </c>
    </row>
    <row r="43" spans="1:48" x14ac:dyDescent="0.2">
      <c r="A43" s="15" t="s">
        <v>54</v>
      </c>
      <c r="B43" s="85"/>
      <c r="C43" s="80">
        <f t="shared" ref="C43:N43" si="2">C42/$O42</f>
        <v>0.29654039917013281</v>
      </c>
      <c r="D43" s="80">
        <f t="shared" si="2"/>
        <v>0</v>
      </c>
      <c r="E43" s="80">
        <f t="shared" si="2"/>
        <v>9.8699002474987377E-3</v>
      </c>
      <c r="F43" s="80">
        <f t="shared" si="2"/>
        <v>2.9227117008091823E-2</v>
      </c>
      <c r="G43" s="80">
        <f t="shared" si="2"/>
        <v>0.27222606269853178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2.0700567065104401E-2</v>
      </c>
      <c r="M43" s="80">
        <f t="shared" si="2"/>
        <v>0</v>
      </c>
      <c r="N43" s="80">
        <f t="shared" si="2"/>
        <v>0.37143595381064043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108.6494</v>
      </c>
      <c r="U43" s="79">
        <f>P32</f>
        <v>0.14665596897814306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232.17</v>
      </c>
      <c r="U44" s="79">
        <f>P34</f>
        <v>0.31338522180201156</v>
      </c>
    </row>
    <row r="45" spans="1:48" x14ac:dyDescent="0.2">
      <c r="A45" s="6" t="s">
        <v>57</v>
      </c>
      <c r="B45" s="91">
        <f>B23-B39</f>
        <v>20840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22447.279999999999</v>
      </c>
      <c r="O45" s="89">
        <f>B45+N45</f>
        <v>43287.28</v>
      </c>
      <c r="P45" s="83"/>
      <c r="Q45" s="83"/>
      <c r="R45" s="83"/>
      <c r="S45" s="83" t="s">
        <v>58</v>
      </c>
      <c r="T45" s="90">
        <f>SUM(T39:T44)</f>
        <v>740.84540000000004</v>
      </c>
      <c r="U45" s="78">
        <f>SUM(U39:U44)</f>
        <v>0.99999999999999989</v>
      </c>
    </row>
    <row r="46" spans="1:48" x14ac:dyDescent="0.2">
      <c r="A46" s="6"/>
      <c r="B46" s="93">
        <f>B45/B23</f>
        <v>0.16576914816611915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9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V70"/>
  <sheetViews>
    <sheetView topLeftCell="A10" workbookViewId="0">
      <selection activeCell="U30" sqref="U30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8.1640625" style="2" customWidth="1"/>
    <col min="13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82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229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61939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62168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 t="s">
        <v>113</v>
      </c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f>38756+307</f>
        <v>39063</v>
      </c>
      <c r="C18" s="10">
        <v>1881</v>
      </c>
      <c r="D18" s="119">
        <v>0</v>
      </c>
      <c r="E18" s="10">
        <v>0</v>
      </c>
      <c r="F18" s="10">
        <v>0</v>
      </c>
      <c r="G18" s="119">
        <v>3622</v>
      </c>
      <c r="H18" s="10">
        <v>0</v>
      </c>
      <c r="I18" s="10"/>
      <c r="J18" s="10"/>
      <c r="K18" s="10"/>
      <c r="L18" s="119">
        <v>40878</v>
      </c>
      <c r="M18" s="10"/>
      <c r="N18" s="119">
        <f>1.015*307</f>
        <v>311.60499999999996</v>
      </c>
      <c r="O18" s="119">
        <f>SUM(C18:N18)</f>
        <v>46692.605000000003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282.36152500000003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39063</v>
      </c>
      <c r="C23" s="10">
        <v>1881</v>
      </c>
      <c r="D23" s="119">
        <v>0</v>
      </c>
      <c r="E23" s="10">
        <v>0</v>
      </c>
      <c r="F23" s="10">
        <v>0</v>
      </c>
      <c r="G23" s="119">
        <v>3622</v>
      </c>
      <c r="H23" s="10">
        <v>0</v>
      </c>
      <c r="I23" s="10"/>
      <c r="J23" s="10"/>
      <c r="K23" s="10"/>
      <c r="L23" s="119">
        <f>L18</f>
        <v>40878</v>
      </c>
      <c r="M23" s="10"/>
      <c r="N23" s="119">
        <f>N18</f>
        <v>311.60499999999996</v>
      </c>
      <c r="O23" s="119">
        <f>O18</f>
        <v>46692.605000000003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A24" s="156" t="s">
        <v>116</v>
      </c>
      <c r="B24" s="119">
        <v>8600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119.218525</v>
      </c>
      <c r="U24" s="78">
        <f>N43</f>
        <v>0.4222194401308747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38.433999999999997</v>
      </c>
      <c r="U25" s="79">
        <f>G43</f>
        <v>0.13611627859000974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5.9660000000000002</v>
      </c>
      <c r="U27" s="78">
        <f>F43</f>
        <v>2.1128940991517877E-2</v>
      </c>
    </row>
    <row r="28" spans="1:21" x14ac:dyDescent="0.2">
      <c r="A28" s="4" t="s">
        <v>82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1.04</v>
      </c>
      <c r="U28" s="78">
        <f>E43</f>
        <v>3.6832213595673134E-3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114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113</v>
      </c>
      <c r="T29" s="82">
        <f>L42/1000</f>
        <v>40.878</v>
      </c>
      <c r="U29" s="96">
        <f>L43</f>
        <v>0.14477184878499291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1990</v>
      </c>
      <c r="D31" s="10">
        <v>0</v>
      </c>
      <c r="E31" s="10">
        <v>0</v>
      </c>
      <c r="F31" s="10">
        <v>204</v>
      </c>
      <c r="G31" s="10">
        <v>0</v>
      </c>
      <c r="H31" s="10">
        <v>0</v>
      </c>
      <c r="I31" s="10"/>
      <c r="J31" s="10"/>
      <c r="K31" s="10"/>
      <c r="L31" s="10"/>
      <c r="N31" s="10">
        <v>11136</v>
      </c>
      <c r="O31" s="10">
        <v>13329</v>
      </c>
      <c r="P31" s="80">
        <f>O31/O$39</f>
        <v>5.0657687206169075E-2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19">
        <f>11485-8600</f>
        <v>2885</v>
      </c>
      <c r="C32" s="121">
        <v>1040</v>
      </c>
      <c r="D32" s="10">
        <v>0</v>
      </c>
      <c r="E32" s="121">
        <v>1040</v>
      </c>
      <c r="F32" s="10">
        <v>0</v>
      </c>
      <c r="G32" s="121">
        <f>G39-G36</f>
        <v>1412</v>
      </c>
      <c r="H32" s="10">
        <v>0</v>
      </c>
      <c r="I32" s="10"/>
      <c r="J32" s="10"/>
      <c r="K32" s="10"/>
      <c r="L32" s="128">
        <f>34500-25900</f>
        <v>8600</v>
      </c>
      <c r="N32" s="121">
        <f>N39-SUM(N33:N38,N31)</f>
        <v>18736</v>
      </c>
      <c r="O32" s="10">
        <v>33713</v>
      </c>
      <c r="P32" s="80">
        <f>O32/O$39</f>
        <v>0.12812833736826304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6393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14913</v>
      </c>
      <c r="O33" s="10">
        <v>21306</v>
      </c>
      <c r="P33" s="80">
        <f>O33/O$39</f>
        <v>8.0974768070720848E-2</v>
      </c>
      <c r="Q33" s="81" t="s">
        <v>39</v>
      </c>
      <c r="R33" s="75"/>
      <c r="S33" s="75" t="s">
        <v>35</v>
      </c>
      <c r="T33" s="77">
        <f>C42/1000</f>
        <v>76.825000000000003</v>
      </c>
      <c r="U33" s="79">
        <f>C43</f>
        <v>0.27208027014303737</v>
      </c>
    </row>
    <row r="34" spans="1:48" x14ac:dyDescent="0.2">
      <c r="A34" s="8" t="s">
        <v>40</v>
      </c>
      <c r="B34" s="10">
        <v>0</v>
      </c>
      <c r="C34" s="10">
        <v>70748</v>
      </c>
      <c r="D34" s="10">
        <v>0</v>
      </c>
      <c r="E34" s="10">
        <v>0</v>
      </c>
      <c r="F34" s="10">
        <v>5762</v>
      </c>
      <c r="G34" s="10">
        <v>0</v>
      </c>
      <c r="H34" s="10">
        <v>0</v>
      </c>
      <c r="I34" s="10"/>
      <c r="J34" s="10"/>
      <c r="K34" s="10"/>
      <c r="L34" s="10"/>
      <c r="N34" s="10">
        <v>60</v>
      </c>
      <c r="O34" s="10">
        <v>76571</v>
      </c>
      <c r="P34" s="80">
        <f>O34/O$39</f>
        <v>0.2910128116935683</v>
      </c>
      <c r="Q34" s="81" t="s">
        <v>41</v>
      </c>
      <c r="R34" s="75"/>
      <c r="S34" s="75"/>
      <c r="T34" s="77">
        <f>SUM(T24:T33)</f>
        <v>282.36152499999997</v>
      </c>
      <c r="U34" s="78">
        <f>SUM(U24:U33)</f>
        <v>0.99999999999999989</v>
      </c>
    </row>
    <row r="35" spans="1:48" x14ac:dyDescent="0.2">
      <c r="A35" s="8" t="s">
        <v>42</v>
      </c>
      <c r="B35" s="10">
        <v>6319</v>
      </c>
      <c r="C35" s="10">
        <v>806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17742</v>
      </c>
      <c r="O35" s="10">
        <v>24867</v>
      </c>
      <c r="P35" s="80">
        <f>O35/O$39</f>
        <v>9.4508568366404561E-2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5241</v>
      </c>
      <c r="C36" s="121">
        <v>360</v>
      </c>
      <c r="D36" s="10">
        <v>0</v>
      </c>
      <c r="E36" s="10">
        <v>0</v>
      </c>
      <c r="F36" s="10">
        <v>0</v>
      </c>
      <c r="G36" s="121">
        <v>33400</v>
      </c>
      <c r="H36" s="10">
        <v>0</v>
      </c>
      <c r="I36" s="10"/>
      <c r="J36" s="10"/>
      <c r="K36" s="10"/>
      <c r="L36" s="10"/>
      <c r="N36" s="10">
        <v>37649</v>
      </c>
      <c r="O36" s="121">
        <f>SUM(B36:N36)</f>
        <v>76650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6820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4141</v>
      </c>
      <c r="O37" s="10">
        <v>10961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f>O38</f>
        <v>5722</v>
      </c>
      <c r="O38" s="121">
        <f>O39-SUM(O31:O37)</f>
        <v>5722</v>
      </c>
      <c r="P38" s="81">
        <f>SUM(P31:P35)</f>
        <v>0.64528217270512578</v>
      </c>
      <c r="Q38" s="81"/>
      <c r="R38" s="75"/>
      <c r="S38" s="83" t="s">
        <v>47</v>
      </c>
      <c r="T38" s="86">
        <f>O45/1000</f>
        <v>11.612920000000001</v>
      </c>
      <c r="U38" s="83"/>
    </row>
    <row r="39" spans="1:48" x14ac:dyDescent="0.2">
      <c r="A39" s="8" t="s">
        <v>16</v>
      </c>
      <c r="B39" s="119">
        <f>SUM(B30:B37)</f>
        <v>27658</v>
      </c>
      <c r="C39" s="121">
        <f>SUM(C31:C37)</f>
        <v>74944</v>
      </c>
      <c r="D39" s="10">
        <v>0</v>
      </c>
      <c r="E39" s="121">
        <f>E32</f>
        <v>1040</v>
      </c>
      <c r="F39" s="10">
        <v>5966</v>
      </c>
      <c r="G39" s="10">
        <v>34812</v>
      </c>
      <c r="H39" s="10">
        <v>0</v>
      </c>
      <c r="I39" s="10"/>
      <c r="J39" s="10"/>
      <c r="K39" s="10"/>
      <c r="L39" s="119">
        <f>L32</f>
        <v>8600</v>
      </c>
      <c r="N39" s="10">
        <v>110099</v>
      </c>
      <c r="O39" s="10">
        <v>263119</v>
      </c>
      <c r="P39" s="75"/>
      <c r="Q39" s="75"/>
      <c r="R39" s="75"/>
      <c r="S39" s="83" t="s">
        <v>48</v>
      </c>
      <c r="T39" s="90">
        <f>O41/1000</f>
        <v>93.332999999999998</v>
      </c>
      <c r="U39" s="78">
        <f>P41</f>
        <v>0.35471782729487417</v>
      </c>
    </row>
    <row r="40" spans="1:48" x14ac:dyDescent="0.2">
      <c r="B40" s="119"/>
      <c r="C40" s="146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82"/>
      <c r="Q40" s="82"/>
      <c r="R40" s="82"/>
      <c r="S40" s="83" t="s">
        <v>49</v>
      </c>
      <c r="T40" s="90">
        <f>O35/1000</f>
        <v>24.867000000000001</v>
      </c>
      <c r="U40" s="79">
        <f>P35</f>
        <v>9.4508568366404561E-2</v>
      </c>
    </row>
    <row r="41" spans="1:48" x14ac:dyDescent="0.2">
      <c r="A41" s="14" t="s">
        <v>50</v>
      </c>
      <c r="B41" s="85">
        <f>B38+B37+B36</f>
        <v>12061</v>
      </c>
      <c r="C41" s="85">
        <f t="shared" ref="C41:O41" si="0">C38+C37+C36</f>
        <v>360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33400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47512</v>
      </c>
      <c r="O41" s="85">
        <f t="shared" si="0"/>
        <v>93333</v>
      </c>
      <c r="P41" s="80">
        <f>O41/O$39</f>
        <v>0.35471782729487417</v>
      </c>
      <c r="Q41" s="80" t="s">
        <v>51</v>
      </c>
      <c r="R41" s="83"/>
      <c r="S41" s="83" t="s">
        <v>52</v>
      </c>
      <c r="T41" s="90">
        <f>O33/1000</f>
        <v>21.306000000000001</v>
      </c>
      <c r="U41" s="78">
        <f>P33</f>
        <v>8.0974768070720848E-2</v>
      </c>
    </row>
    <row r="42" spans="1:48" x14ac:dyDescent="0.2">
      <c r="A42" s="15" t="s">
        <v>53</v>
      </c>
      <c r="B42" s="85"/>
      <c r="C42" s="88">
        <f>C39+C23+C10</f>
        <v>76825</v>
      </c>
      <c r="D42" s="88">
        <f t="shared" ref="D42:M42" si="1">D39+D23+D10</f>
        <v>0</v>
      </c>
      <c r="E42" s="88">
        <f t="shared" si="1"/>
        <v>1040</v>
      </c>
      <c r="F42" s="88">
        <f t="shared" si="1"/>
        <v>5966</v>
      </c>
      <c r="G42" s="88">
        <f t="shared" si="1"/>
        <v>38434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>L23</f>
        <v>40878</v>
      </c>
      <c r="M42" s="88">
        <f t="shared" si="1"/>
        <v>0</v>
      </c>
      <c r="N42" s="88">
        <f>N39+N23-B6+N45</f>
        <v>119218.52499999999</v>
      </c>
      <c r="O42" s="89">
        <f>SUM(C42:N42)</f>
        <v>282361.52500000002</v>
      </c>
      <c r="P42" s="83"/>
      <c r="Q42" s="83"/>
      <c r="R42" s="83"/>
      <c r="S42" s="83" t="s">
        <v>34</v>
      </c>
      <c r="T42" s="90">
        <f>O31/1000</f>
        <v>13.329000000000001</v>
      </c>
      <c r="U42" s="78">
        <f>P31</f>
        <v>5.0657687206169075E-2</v>
      </c>
    </row>
    <row r="43" spans="1:48" x14ac:dyDescent="0.2">
      <c r="A43" s="15" t="s">
        <v>54</v>
      </c>
      <c r="B43" s="85"/>
      <c r="C43" s="80">
        <f t="shared" ref="C43:N43" si="2">C42/$O42</f>
        <v>0.27208027014303737</v>
      </c>
      <c r="D43" s="80">
        <f t="shared" si="2"/>
        <v>0</v>
      </c>
      <c r="E43" s="80">
        <f t="shared" si="2"/>
        <v>3.6832213595673134E-3</v>
      </c>
      <c r="F43" s="80">
        <f t="shared" si="2"/>
        <v>2.1128940991517877E-2</v>
      </c>
      <c r="G43" s="80">
        <f t="shared" si="2"/>
        <v>0.13611627859000974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0.14477184878499291</v>
      </c>
      <c r="M43" s="80">
        <f t="shared" si="2"/>
        <v>0</v>
      </c>
      <c r="N43" s="80">
        <f t="shared" si="2"/>
        <v>0.4222194401308747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33.713000000000001</v>
      </c>
      <c r="U43" s="79">
        <f>P32</f>
        <v>0.12812833736826304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76.570999999999998</v>
      </c>
      <c r="U44" s="79">
        <f>P34</f>
        <v>0.2910128116935683</v>
      </c>
    </row>
    <row r="45" spans="1:48" x14ac:dyDescent="0.2">
      <c r="A45" s="6" t="s">
        <v>57</v>
      </c>
      <c r="B45" s="91">
        <f>B23-B39-L39</f>
        <v>2805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8807.92</v>
      </c>
      <c r="O45" s="89">
        <f>B45+N45</f>
        <v>11612.92</v>
      </c>
      <c r="P45" s="83"/>
      <c r="Q45" s="83"/>
      <c r="R45" s="83"/>
      <c r="S45" s="83" t="s">
        <v>58</v>
      </c>
      <c r="T45" s="90">
        <f>SUM(T39:T44)</f>
        <v>263.11900000000003</v>
      </c>
      <c r="U45" s="78">
        <f>SUM(U39:U44)</f>
        <v>1</v>
      </c>
    </row>
    <row r="46" spans="1:48" x14ac:dyDescent="0.2">
      <c r="A46" s="6"/>
      <c r="B46" s="93">
        <f>B45/B23</f>
        <v>7.1807080869364867E-2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V70"/>
  <sheetViews>
    <sheetView topLeftCell="E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15.1640625" style="2" bestFit="1" customWidth="1"/>
    <col min="15" max="15" width="10.16406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83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413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1249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</row>
    <row r="10" spans="1:35" x14ac:dyDescent="0.2">
      <c r="A10" s="8" t="s">
        <v>16</v>
      </c>
      <c r="B10" s="128">
        <f>SUM(B4:B9)</f>
        <v>1662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f>3736+480+21613</f>
        <v>25829</v>
      </c>
      <c r="C18" s="10">
        <v>517</v>
      </c>
      <c r="D18" s="10">
        <v>0</v>
      </c>
      <c r="E18" s="10">
        <v>0</v>
      </c>
      <c r="F18" s="10">
        <v>0</v>
      </c>
      <c r="G18" s="119">
        <f>21613/0.9+3990</f>
        <v>28004.444444444445</v>
      </c>
      <c r="H18" s="10">
        <v>0</v>
      </c>
      <c r="I18" s="10"/>
      <c r="J18" s="10"/>
      <c r="K18" s="10"/>
      <c r="L18" s="10"/>
      <c r="M18" s="10"/>
      <c r="N18" s="119">
        <f>0.33*480</f>
        <v>158.4</v>
      </c>
      <c r="O18" s="119">
        <f>SUM(C18:N18)</f>
        <v>28679.844444444447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f t="shared" ref="O19:O23" si="0">SUM(C19:N19)</f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f t="shared" si="0"/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f t="shared" si="0"/>
        <v>0</v>
      </c>
      <c r="P21" s="75"/>
      <c r="Q21" s="75"/>
      <c r="R21" s="75"/>
      <c r="S21" s="75" t="s">
        <v>26</v>
      </c>
      <c r="T21" s="76">
        <f>O42/1000</f>
        <v>234.77160444444445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f t="shared" si="0"/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v>25829</v>
      </c>
      <c r="C23" s="10">
        <v>517</v>
      </c>
      <c r="D23" s="10">
        <v>0</v>
      </c>
      <c r="E23" s="10">
        <v>0</v>
      </c>
      <c r="F23" s="10">
        <v>0</v>
      </c>
      <c r="G23" s="119">
        <f>G18</f>
        <v>28004.444444444445</v>
      </c>
      <c r="H23" s="10">
        <v>0</v>
      </c>
      <c r="I23" s="10"/>
      <c r="J23" s="10"/>
      <c r="K23" s="10"/>
      <c r="L23" s="10"/>
      <c r="M23" s="10"/>
      <c r="N23" s="119">
        <f>N18</f>
        <v>158.4</v>
      </c>
      <c r="O23" s="119">
        <f t="shared" si="0"/>
        <v>28679.844444444447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132.80616000000001</v>
      </c>
      <c r="U24" s="78">
        <f>N43</f>
        <v>0.56568238017654648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7"/>
      <c r="P25" s="75"/>
      <c r="Q25" s="75"/>
      <c r="R25" s="75"/>
      <c r="S25" s="75" t="s">
        <v>111</v>
      </c>
      <c r="T25" s="77">
        <f>G42/1000</f>
        <v>64.191444444444443</v>
      </c>
      <c r="U25" s="79">
        <f>G43</f>
        <v>0.27342081933777684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51"/>
      <c r="L26" s="51"/>
      <c r="M26" s="51"/>
      <c r="N26" s="51"/>
      <c r="O26" s="7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7"/>
      <c r="P27" s="75"/>
      <c r="Q27" s="75"/>
      <c r="R27" s="75"/>
      <c r="S27" s="75" t="s">
        <v>31</v>
      </c>
      <c r="T27" s="77">
        <f>F42/1000</f>
        <v>2.3519999999999999</v>
      </c>
      <c r="U27" s="78">
        <f>F43</f>
        <v>1.0018247332617984E-2</v>
      </c>
    </row>
    <row r="28" spans="1:21" x14ac:dyDescent="0.2">
      <c r="A28" s="4" t="s">
        <v>83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1.383</v>
      </c>
      <c r="U28" s="78">
        <f>E43</f>
        <v>5.8908316585929727E-3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9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8594</v>
      </c>
      <c r="D31" s="10">
        <v>0</v>
      </c>
      <c r="E31" s="10">
        <v>0</v>
      </c>
      <c r="F31" s="10">
        <v>888</v>
      </c>
      <c r="G31" s="10">
        <v>0</v>
      </c>
      <c r="H31" s="10">
        <v>0</v>
      </c>
      <c r="I31" s="10"/>
      <c r="J31" s="10"/>
      <c r="K31" s="10"/>
      <c r="L31" s="10"/>
      <c r="N31" s="121">
        <v>10787</v>
      </c>
      <c r="O31" s="121">
        <f>SUM(B31:N31)</f>
        <v>20269</v>
      </c>
      <c r="P31" s="80">
        <f>O31/O$39</f>
        <v>9.3428348859398838E-2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1898</v>
      </c>
      <c r="C32" s="10">
        <v>3325</v>
      </c>
      <c r="D32" s="10">
        <v>0</v>
      </c>
      <c r="E32" s="10">
        <v>1383</v>
      </c>
      <c r="F32" s="10">
        <v>0</v>
      </c>
      <c r="G32" s="10">
        <v>826</v>
      </c>
      <c r="H32" s="10">
        <v>0</v>
      </c>
      <c r="I32" s="10"/>
      <c r="J32" s="10"/>
      <c r="K32" s="10"/>
      <c r="L32" s="10"/>
      <c r="N32" s="121">
        <f>N39-SUM(N33:N38,N31)</f>
        <v>59634</v>
      </c>
      <c r="O32" s="121">
        <f>SUM(B32:N32)</f>
        <v>67066</v>
      </c>
      <c r="P32" s="80">
        <f>O32/O$39</f>
        <v>0.30913541095290553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4530</v>
      </c>
      <c r="C33" s="10">
        <v>20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8000</v>
      </c>
      <c r="O33" s="10">
        <v>12549</v>
      </c>
      <c r="P33" s="80">
        <f>O33/O$39</f>
        <v>5.7843620792175046E-2</v>
      </c>
      <c r="Q33" s="81" t="s">
        <v>39</v>
      </c>
      <c r="R33" s="75"/>
      <c r="S33" s="75" t="s">
        <v>35</v>
      </c>
      <c r="T33" s="77">
        <f>C42/1000</f>
        <v>34.039000000000001</v>
      </c>
      <c r="U33" s="79">
        <f>C43</f>
        <v>0.14498772149446579</v>
      </c>
    </row>
    <row r="34" spans="1:48" x14ac:dyDescent="0.2">
      <c r="A34" s="8" t="s">
        <v>40</v>
      </c>
      <c r="B34" s="10">
        <v>0</v>
      </c>
      <c r="C34" s="10">
        <v>21314</v>
      </c>
      <c r="D34" s="10">
        <v>0</v>
      </c>
      <c r="E34" s="10">
        <v>0</v>
      </c>
      <c r="F34" s="10">
        <v>1463</v>
      </c>
      <c r="G34" s="10">
        <v>0</v>
      </c>
      <c r="H34" s="10">
        <v>0</v>
      </c>
      <c r="I34" s="10"/>
      <c r="J34" s="10"/>
      <c r="K34" s="10"/>
      <c r="L34" s="10"/>
      <c r="N34" s="10">
        <v>5</v>
      </c>
      <c r="O34" s="10">
        <v>22783</v>
      </c>
      <c r="P34" s="80">
        <f>O34/O$39</f>
        <v>0.10501643258491705</v>
      </c>
      <c r="Q34" s="81" t="s">
        <v>41</v>
      </c>
      <c r="R34" s="75"/>
      <c r="S34" s="75"/>
      <c r="T34" s="77">
        <f>SUM(T24:T33)</f>
        <v>234.77160444444445</v>
      </c>
      <c r="U34" s="78">
        <f>SUM(U24:U33)</f>
        <v>1</v>
      </c>
    </row>
    <row r="35" spans="1:48" x14ac:dyDescent="0.2">
      <c r="A35" s="8" t="s">
        <v>42</v>
      </c>
      <c r="B35" s="10">
        <v>2904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10780</v>
      </c>
      <c r="O35" s="10">
        <v>13684</v>
      </c>
      <c r="P35" s="80">
        <f>O35/O$39</f>
        <v>6.3075313325374402E-2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3480</v>
      </c>
      <c r="C36" s="10">
        <v>209</v>
      </c>
      <c r="D36" s="10">
        <v>0</v>
      </c>
      <c r="E36" s="10">
        <v>0</v>
      </c>
      <c r="F36" s="10">
        <v>0</v>
      </c>
      <c r="G36" s="10">
        <v>35361</v>
      </c>
      <c r="H36" s="10">
        <v>0</v>
      </c>
      <c r="I36" s="10"/>
      <c r="J36" s="10"/>
      <c r="K36" s="10"/>
      <c r="L36" s="10"/>
      <c r="N36" s="10">
        <v>29090</v>
      </c>
      <c r="O36" s="10">
        <v>68140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7869</v>
      </c>
      <c r="C37" s="10">
        <v>60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2994</v>
      </c>
      <c r="O37" s="10">
        <v>10922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1532</v>
      </c>
      <c r="O38" s="10">
        <v>1532</v>
      </c>
      <c r="P38" s="81">
        <f>SUM(P31:P35)</f>
        <v>0.62849912651477091</v>
      </c>
      <c r="Q38" s="81"/>
      <c r="R38" s="75"/>
      <c r="S38" s="83" t="s">
        <v>47</v>
      </c>
      <c r="T38" s="86">
        <f>O45/1000</f>
        <v>14.97376</v>
      </c>
      <c r="U38" s="83"/>
    </row>
    <row r="39" spans="1:48" x14ac:dyDescent="0.2">
      <c r="A39" s="8" t="s">
        <v>16</v>
      </c>
      <c r="B39" s="10">
        <v>20681</v>
      </c>
      <c r="C39" s="10">
        <v>33522</v>
      </c>
      <c r="D39" s="10">
        <v>0</v>
      </c>
      <c r="E39" s="10">
        <v>1383</v>
      </c>
      <c r="F39" s="10">
        <v>2352</v>
      </c>
      <c r="G39" s="10">
        <v>36187</v>
      </c>
      <c r="H39" s="10">
        <v>0</v>
      </c>
      <c r="I39" s="10"/>
      <c r="J39" s="10"/>
      <c r="K39" s="10"/>
      <c r="L39" s="10"/>
      <c r="N39" s="10">
        <v>122822</v>
      </c>
      <c r="O39" s="10">
        <v>216947</v>
      </c>
      <c r="P39" s="75"/>
      <c r="Q39" s="75"/>
      <c r="R39" s="75"/>
      <c r="S39" s="83" t="s">
        <v>48</v>
      </c>
      <c r="T39" s="90">
        <f>O41/1000</f>
        <v>80.593999999999994</v>
      </c>
      <c r="U39" s="78">
        <f>P41</f>
        <v>0.37149165464376094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13.683999999999999</v>
      </c>
      <c r="U40" s="79">
        <f>P35</f>
        <v>6.3075313325374402E-2</v>
      </c>
    </row>
    <row r="41" spans="1:48" x14ac:dyDescent="0.2">
      <c r="A41" s="14" t="s">
        <v>50</v>
      </c>
      <c r="B41" s="85">
        <f>B38+B37+B36</f>
        <v>11349</v>
      </c>
      <c r="C41" s="85">
        <f t="shared" ref="C41:O41" si="1">C38+C37+C36</f>
        <v>269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35361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33616</v>
      </c>
      <c r="O41" s="85">
        <f t="shared" si="1"/>
        <v>80594</v>
      </c>
      <c r="P41" s="80">
        <f>O41/O$39</f>
        <v>0.37149165464376094</v>
      </c>
      <c r="Q41" s="80" t="s">
        <v>51</v>
      </c>
      <c r="R41" s="83"/>
      <c r="S41" s="83" t="s">
        <v>52</v>
      </c>
      <c r="T41" s="90">
        <f>O33/1000</f>
        <v>12.548999999999999</v>
      </c>
      <c r="U41" s="78">
        <f>P33</f>
        <v>5.7843620792175046E-2</v>
      </c>
    </row>
    <row r="42" spans="1:48" x14ac:dyDescent="0.2">
      <c r="A42" s="15" t="s">
        <v>53</v>
      </c>
      <c r="B42" s="85"/>
      <c r="C42" s="88">
        <f>C39+C23+C10</f>
        <v>34039</v>
      </c>
      <c r="D42" s="88">
        <f t="shared" ref="D42:M42" si="2">D39+D23+D10</f>
        <v>0</v>
      </c>
      <c r="E42" s="88">
        <f t="shared" si="2"/>
        <v>1383</v>
      </c>
      <c r="F42" s="88">
        <f t="shared" si="2"/>
        <v>2352</v>
      </c>
      <c r="G42" s="88">
        <f t="shared" si="2"/>
        <v>64191.444444444445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f t="shared" si="2"/>
        <v>0</v>
      </c>
      <c r="M42" s="88">
        <f t="shared" si="2"/>
        <v>0</v>
      </c>
      <c r="N42" s="88">
        <f>N39+N23-B6+N45</f>
        <v>132806.16</v>
      </c>
      <c r="O42" s="89">
        <f>SUM(C42:N42)</f>
        <v>234771.60444444444</v>
      </c>
      <c r="P42" s="83"/>
      <c r="Q42" s="83"/>
      <c r="R42" s="83"/>
      <c r="S42" s="83" t="s">
        <v>34</v>
      </c>
      <c r="T42" s="90">
        <f>O31/1000</f>
        <v>20.268999999999998</v>
      </c>
      <c r="U42" s="78">
        <f>P31</f>
        <v>9.3428348859398838E-2</v>
      </c>
    </row>
    <row r="43" spans="1:48" x14ac:dyDescent="0.2">
      <c r="A43" s="15" t="s">
        <v>54</v>
      </c>
      <c r="B43" s="85"/>
      <c r="C43" s="80">
        <f t="shared" ref="C43:N43" si="3">C42/$O42</f>
        <v>0.14498772149446579</v>
      </c>
      <c r="D43" s="80">
        <f t="shared" si="3"/>
        <v>0</v>
      </c>
      <c r="E43" s="80">
        <f t="shared" si="3"/>
        <v>5.8908316585929727E-3</v>
      </c>
      <c r="F43" s="80">
        <f t="shared" si="3"/>
        <v>1.0018247332617984E-2</v>
      </c>
      <c r="G43" s="80">
        <f t="shared" si="3"/>
        <v>0.27342081933777684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0</v>
      </c>
      <c r="N43" s="80">
        <f t="shared" si="3"/>
        <v>0.56568238017654648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67.066000000000003</v>
      </c>
      <c r="U43" s="79">
        <f>P32</f>
        <v>0.30913541095290553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22.783000000000001</v>
      </c>
      <c r="U44" s="79">
        <f>P34</f>
        <v>0.10501643258491705</v>
      </c>
    </row>
    <row r="45" spans="1:48" x14ac:dyDescent="0.2">
      <c r="A45" s="6" t="s">
        <v>57</v>
      </c>
      <c r="B45" s="91">
        <f>B23-B39</f>
        <v>5148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9825.76</v>
      </c>
      <c r="O45" s="89">
        <f>B45+N45</f>
        <v>14973.76</v>
      </c>
      <c r="P45" s="83"/>
      <c r="Q45" s="83"/>
      <c r="R45" s="83"/>
      <c r="S45" s="83" t="s">
        <v>58</v>
      </c>
      <c r="T45" s="90">
        <f>SUM(T39:T44)</f>
        <v>216.94499999999999</v>
      </c>
      <c r="U45" s="78">
        <f>SUM(U39:U44)</f>
        <v>0.99999078115853179</v>
      </c>
    </row>
    <row r="46" spans="1:48" x14ac:dyDescent="0.2">
      <c r="A46" s="6"/>
      <c r="B46" s="93">
        <f>B45/B23</f>
        <v>0.19931085214294011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7"/>
      <c r="P47" s="17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7"/>
      <c r="D48" s="16"/>
      <c r="E48" s="16"/>
      <c r="F48" s="17"/>
      <c r="G48" s="16"/>
      <c r="H48" s="16"/>
      <c r="I48" s="16"/>
      <c r="J48" s="16"/>
      <c r="K48" s="16"/>
      <c r="L48" s="16"/>
      <c r="M48" s="16"/>
      <c r="N48" s="16"/>
      <c r="O48" s="17"/>
      <c r="P48" s="16"/>
      <c r="Q48" s="16"/>
      <c r="R48" s="16"/>
      <c r="S48" s="4"/>
      <c r="T48" s="17"/>
      <c r="U48" s="17"/>
      <c r="V48" s="16"/>
      <c r="W48" s="16"/>
      <c r="X48" s="16"/>
      <c r="Y48" s="17"/>
      <c r="Z48" s="16"/>
      <c r="AA48" s="16"/>
      <c r="AB48" s="16"/>
      <c r="AC48" s="16"/>
      <c r="AD48" s="16"/>
      <c r="AE48" s="16"/>
      <c r="AF48" s="17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7"/>
      <c r="P49" s="17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7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7"/>
      <c r="H50" s="16"/>
      <c r="I50" s="16"/>
      <c r="J50" s="16"/>
      <c r="K50" s="16"/>
      <c r="L50" s="16"/>
      <c r="M50" s="16"/>
      <c r="N50" s="16"/>
      <c r="O50" s="17"/>
      <c r="P50" s="16"/>
      <c r="Q50" s="16"/>
      <c r="R50" s="16"/>
      <c r="S50" s="4"/>
      <c r="T50" s="17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7"/>
      <c r="P51" s="17"/>
      <c r="Q51" s="16"/>
      <c r="R51" s="16"/>
      <c r="S51" s="4"/>
      <c r="T51" s="17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7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7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7"/>
      <c r="P53" s="17"/>
      <c r="Q53" s="16"/>
      <c r="R53" s="16"/>
      <c r="S53" s="4"/>
      <c r="T53" s="17"/>
      <c r="U53" s="17"/>
      <c r="V53" s="16"/>
      <c r="W53" s="16"/>
      <c r="X53" s="16"/>
      <c r="Y53" s="17"/>
      <c r="Z53" s="16"/>
      <c r="AA53" s="16"/>
      <c r="AB53" s="16"/>
      <c r="AC53" s="16"/>
      <c r="AD53" s="16"/>
      <c r="AE53" s="16"/>
      <c r="AF53" s="17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7"/>
      <c r="P54" s="17"/>
      <c r="Q54" s="16"/>
      <c r="R54" s="16"/>
      <c r="S54" s="4"/>
      <c r="T54" s="17"/>
      <c r="U54" s="17"/>
      <c r="V54" s="16"/>
      <c r="W54" s="16"/>
      <c r="X54" s="16"/>
      <c r="Y54" s="17"/>
      <c r="Z54" s="16"/>
      <c r="AA54" s="16"/>
      <c r="AB54" s="16"/>
      <c r="AC54" s="16"/>
      <c r="AD54" s="16"/>
      <c r="AE54" s="16"/>
      <c r="AF54" s="17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7"/>
      <c r="U55" s="17"/>
      <c r="V55" s="16"/>
      <c r="W55" s="16"/>
      <c r="X55" s="16"/>
      <c r="Y55" s="17"/>
      <c r="Z55" s="16"/>
      <c r="AA55" s="16"/>
      <c r="AB55" s="16"/>
      <c r="AC55" s="16"/>
      <c r="AD55" s="16"/>
      <c r="AE55" s="16"/>
      <c r="AF55" s="17"/>
      <c r="AG55" s="16"/>
      <c r="AH55" s="16"/>
      <c r="AI55" s="4"/>
      <c r="AJ55" s="17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7"/>
      <c r="U56" s="17"/>
      <c r="V56" s="16"/>
      <c r="W56" s="16"/>
      <c r="X56" s="16"/>
      <c r="Y56" s="17"/>
      <c r="Z56" s="16"/>
      <c r="AA56" s="16"/>
      <c r="AB56" s="16"/>
      <c r="AC56" s="16"/>
      <c r="AD56" s="16"/>
      <c r="AE56" s="16"/>
      <c r="AF56" s="17"/>
      <c r="AG56" s="16"/>
      <c r="AH56" s="16"/>
      <c r="AI56" s="4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84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411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2419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267408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270238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f>43710+4737</f>
        <v>48447</v>
      </c>
      <c r="C18" s="10">
        <v>90</v>
      </c>
      <c r="D18" s="10">
        <v>0</v>
      </c>
      <c r="E18" s="10">
        <v>0</v>
      </c>
      <c r="F18" s="10">
        <v>0</v>
      </c>
      <c r="G18" s="10">
        <v>47745</v>
      </c>
      <c r="H18" s="10">
        <v>0</v>
      </c>
      <c r="I18" s="10"/>
      <c r="J18" s="10"/>
      <c r="K18" s="10"/>
      <c r="L18" s="10"/>
      <c r="M18" s="10"/>
      <c r="N18" s="10"/>
      <c r="O18" s="10">
        <v>47834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1402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557.47688000000005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49849</v>
      </c>
      <c r="C23" s="10">
        <v>90</v>
      </c>
      <c r="D23" s="10">
        <v>0</v>
      </c>
      <c r="E23" s="10">
        <v>0</v>
      </c>
      <c r="F23" s="10">
        <v>0</v>
      </c>
      <c r="G23" s="10">
        <v>47745</v>
      </c>
      <c r="H23" s="10">
        <v>0</v>
      </c>
      <c r="I23" s="10"/>
      <c r="J23" s="10"/>
      <c r="K23" s="10"/>
      <c r="L23" s="10"/>
      <c r="M23" s="10"/>
      <c r="N23" s="10"/>
      <c r="O23" s="10">
        <v>47834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199.86588</v>
      </c>
      <c r="U24" s="78">
        <f>N43</f>
        <v>0.35851868870328757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125.35299999999999</v>
      </c>
      <c r="U25" s="79">
        <f>G43</f>
        <v>0.22485775553597845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18.003</v>
      </c>
      <c r="U27" s="78">
        <f>F43</f>
        <v>3.2293715929528774E-2</v>
      </c>
    </row>
    <row r="28" spans="1:21" x14ac:dyDescent="0.2">
      <c r="A28" s="4" t="s">
        <v>84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2E-3</v>
      </c>
      <c r="U28" s="78">
        <f>E43</f>
        <v>3.5875927267154111E-6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42534</v>
      </c>
      <c r="D31" s="10">
        <v>0</v>
      </c>
      <c r="E31" s="10">
        <v>0</v>
      </c>
      <c r="F31" s="10">
        <v>4270</v>
      </c>
      <c r="G31" s="10">
        <v>0</v>
      </c>
      <c r="H31" s="10">
        <v>0</v>
      </c>
      <c r="I31" s="10"/>
      <c r="J31" s="10"/>
      <c r="K31" s="10"/>
      <c r="L31" s="10"/>
      <c r="N31" s="10">
        <v>26004</v>
      </c>
      <c r="O31" s="10">
        <v>72808</v>
      </c>
      <c r="P31" s="80">
        <f>O31/O$39</f>
        <v>0.13456374164382601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6264</v>
      </c>
      <c r="C32" s="121">
        <f>O32-SUM(D32:N32,B32)</f>
        <v>11777</v>
      </c>
      <c r="D32" s="10">
        <v>0</v>
      </c>
      <c r="E32" s="10">
        <v>2</v>
      </c>
      <c r="F32" s="10">
        <v>0</v>
      </c>
      <c r="G32" s="121">
        <f>G39-G36</f>
        <v>28308</v>
      </c>
      <c r="H32" s="10">
        <v>0</v>
      </c>
      <c r="I32" s="10"/>
      <c r="J32" s="10"/>
      <c r="K32" s="10"/>
      <c r="L32" s="10"/>
      <c r="N32" s="121">
        <f>N39-SUM(N33:N38,N31)</f>
        <v>67893</v>
      </c>
      <c r="O32" s="10">
        <v>114244</v>
      </c>
      <c r="P32" s="80">
        <f>O32/O$39</f>
        <v>0.21114575459231483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13758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16200</v>
      </c>
      <c r="O33" s="10">
        <v>29958</v>
      </c>
      <c r="P33" s="80">
        <f>O33/O$39</f>
        <v>5.5368373972169808E-2</v>
      </c>
      <c r="Q33" s="81" t="s">
        <v>39</v>
      </c>
      <c r="R33" s="75"/>
      <c r="S33" s="75" t="s">
        <v>35</v>
      </c>
      <c r="T33" s="77">
        <f>C42/1000</f>
        <v>214.25299999999999</v>
      </c>
      <c r="U33" s="79">
        <f>C43</f>
        <v>0.38432625223847849</v>
      </c>
    </row>
    <row r="34" spans="1:48" x14ac:dyDescent="0.2">
      <c r="A34" s="8" t="s">
        <v>40</v>
      </c>
      <c r="B34" s="10">
        <v>0</v>
      </c>
      <c r="C34" s="121">
        <f>C39-SUM(C31:C33,C35:C38)</f>
        <v>158797</v>
      </c>
      <c r="D34" s="10">
        <v>0</v>
      </c>
      <c r="E34" s="10">
        <v>0</v>
      </c>
      <c r="F34" s="10">
        <v>13733</v>
      </c>
      <c r="G34" s="10">
        <v>0</v>
      </c>
      <c r="H34" s="10">
        <v>0</v>
      </c>
      <c r="I34" s="10"/>
      <c r="J34" s="10"/>
      <c r="K34" s="10"/>
      <c r="L34" s="10"/>
      <c r="N34" s="121">
        <v>445</v>
      </c>
      <c r="O34" s="10">
        <v>172974</v>
      </c>
      <c r="P34" s="80">
        <f>O34/O$39</f>
        <v>0.31969053740109821</v>
      </c>
      <c r="Q34" s="81" t="s">
        <v>41</v>
      </c>
      <c r="R34" s="75"/>
      <c r="S34" s="75"/>
      <c r="T34" s="77">
        <f>SUM(T24:T33)</f>
        <v>557.47687999999994</v>
      </c>
      <c r="U34" s="78">
        <f>SUM(U24:U33)</f>
        <v>1</v>
      </c>
    </row>
    <row r="35" spans="1:48" x14ac:dyDescent="0.2">
      <c r="A35" s="8" t="s">
        <v>42</v>
      </c>
      <c r="B35" s="10">
        <v>6291</v>
      </c>
      <c r="C35" s="10">
        <v>698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23069</v>
      </c>
      <c r="O35" s="10">
        <v>30059</v>
      </c>
      <c r="P35" s="80">
        <f>O35/O$39</f>
        <v>5.5555042166681758E-2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5708</v>
      </c>
      <c r="C36" s="10">
        <v>357</v>
      </c>
      <c r="D36" s="10">
        <v>0</v>
      </c>
      <c r="E36" s="10">
        <v>0</v>
      </c>
      <c r="F36" s="10">
        <v>0</v>
      </c>
      <c r="G36" s="121">
        <v>49300</v>
      </c>
      <c r="H36" s="10">
        <v>0</v>
      </c>
      <c r="I36" s="10"/>
      <c r="J36" s="10"/>
      <c r="K36" s="10"/>
      <c r="L36" s="10"/>
      <c r="N36" s="121">
        <f>O36-G36-C36-B36</f>
        <v>44354</v>
      </c>
      <c r="O36" s="10">
        <v>99719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14208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5550</v>
      </c>
      <c r="O37" s="10">
        <v>19758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1546</v>
      </c>
      <c r="O38" s="10">
        <v>1546</v>
      </c>
      <c r="P38" s="81">
        <f>SUM(P31:P35)</f>
        <v>0.77632344977609058</v>
      </c>
      <c r="Q38" s="81"/>
      <c r="R38" s="75"/>
      <c r="S38" s="83" t="s">
        <v>47</v>
      </c>
      <c r="T38" s="86">
        <f>O45/1000</f>
        <v>18.424880000000002</v>
      </c>
      <c r="U38" s="83"/>
    </row>
    <row r="39" spans="1:48" x14ac:dyDescent="0.2">
      <c r="A39" s="8" t="s">
        <v>16</v>
      </c>
      <c r="B39" s="10">
        <v>46229</v>
      </c>
      <c r="C39" s="10">
        <v>214163</v>
      </c>
      <c r="D39" s="10">
        <v>0</v>
      </c>
      <c r="E39" s="10">
        <v>2</v>
      </c>
      <c r="F39" s="10">
        <v>18003</v>
      </c>
      <c r="G39" s="10">
        <v>77608</v>
      </c>
      <c r="H39" s="10">
        <v>0</v>
      </c>
      <c r="I39" s="10"/>
      <c r="J39" s="10"/>
      <c r="K39" s="10"/>
      <c r="L39" s="10"/>
      <c r="N39" s="10">
        <v>185061</v>
      </c>
      <c r="O39" s="10">
        <v>541067</v>
      </c>
      <c r="P39" s="75"/>
      <c r="Q39" s="75"/>
      <c r="R39" s="75"/>
      <c r="S39" s="83" t="s">
        <v>48</v>
      </c>
      <c r="T39" s="90">
        <f>O41/1000</f>
        <v>121.023</v>
      </c>
      <c r="U39" s="78">
        <f>P41</f>
        <v>0.22367470202396375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30.059000000000001</v>
      </c>
      <c r="U40" s="79">
        <f>P35</f>
        <v>5.5555042166681758E-2</v>
      </c>
    </row>
    <row r="41" spans="1:48" x14ac:dyDescent="0.2">
      <c r="A41" s="14" t="s">
        <v>50</v>
      </c>
      <c r="B41" s="85">
        <f>B38+B37+B36</f>
        <v>19916</v>
      </c>
      <c r="C41" s="85">
        <f t="shared" ref="C41:O41" si="0">C38+C37+C36</f>
        <v>357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49300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51450</v>
      </c>
      <c r="O41" s="85">
        <f t="shared" si="0"/>
        <v>121023</v>
      </c>
      <c r="P41" s="80">
        <f>O41/O$39</f>
        <v>0.22367470202396375</v>
      </c>
      <c r="Q41" s="80" t="s">
        <v>51</v>
      </c>
      <c r="R41" s="83"/>
      <c r="S41" s="83" t="s">
        <v>52</v>
      </c>
      <c r="T41" s="90">
        <f>O33/1000</f>
        <v>29.957999999999998</v>
      </c>
      <c r="U41" s="78">
        <f>P33</f>
        <v>5.5368373972169808E-2</v>
      </c>
    </row>
    <row r="42" spans="1:48" x14ac:dyDescent="0.2">
      <c r="A42" s="15" t="s">
        <v>53</v>
      </c>
      <c r="B42" s="85"/>
      <c r="C42" s="88">
        <f>C39+C23+C10</f>
        <v>214253</v>
      </c>
      <c r="D42" s="88">
        <f t="shared" ref="D42:M42" si="1">D39+D23+D10</f>
        <v>0</v>
      </c>
      <c r="E42" s="88">
        <f t="shared" si="1"/>
        <v>2</v>
      </c>
      <c r="F42" s="88">
        <f t="shared" si="1"/>
        <v>18003</v>
      </c>
      <c r="G42" s="88">
        <f t="shared" si="1"/>
        <v>125353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199865.88</v>
      </c>
      <c r="O42" s="89">
        <f>SUM(C42:N42)</f>
        <v>557476.88</v>
      </c>
      <c r="P42" s="83"/>
      <c r="Q42" s="83"/>
      <c r="R42" s="83"/>
      <c r="S42" s="83" t="s">
        <v>34</v>
      </c>
      <c r="T42" s="90">
        <f>O31/1000</f>
        <v>72.808000000000007</v>
      </c>
      <c r="U42" s="78">
        <f>P31</f>
        <v>0.13456374164382601</v>
      </c>
    </row>
    <row r="43" spans="1:48" x14ac:dyDescent="0.2">
      <c r="A43" s="15" t="s">
        <v>54</v>
      </c>
      <c r="B43" s="85"/>
      <c r="C43" s="80">
        <f t="shared" ref="C43:N43" si="2">C42/$O42</f>
        <v>0.38432625223847849</v>
      </c>
      <c r="D43" s="80">
        <f t="shared" si="2"/>
        <v>0</v>
      </c>
      <c r="E43" s="80">
        <f t="shared" si="2"/>
        <v>3.5875927267154111E-6</v>
      </c>
      <c r="F43" s="80">
        <f t="shared" si="2"/>
        <v>3.2293715929528774E-2</v>
      </c>
      <c r="G43" s="80">
        <f t="shared" si="2"/>
        <v>0.22485775553597845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0.35851868870328757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114.244</v>
      </c>
      <c r="U43" s="79">
        <f>P32</f>
        <v>0.21114575459231483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172.97399999999999</v>
      </c>
      <c r="U44" s="79">
        <f>P34</f>
        <v>0.31969053740109821</v>
      </c>
    </row>
    <row r="45" spans="1:48" x14ac:dyDescent="0.2">
      <c r="A45" s="6" t="s">
        <v>57</v>
      </c>
      <c r="B45" s="91">
        <f>B23-B39</f>
        <v>3620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14804.880000000001</v>
      </c>
      <c r="O45" s="89">
        <f>B45+N45</f>
        <v>18424.88</v>
      </c>
      <c r="P45" s="83"/>
      <c r="Q45" s="83"/>
      <c r="R45" s="83"/>
      <c r="S45" s="83" t="s">
        <v>58</v>
      </c>
      <c r="T45" s="90">
        <f>SUM(T39:T44)</f>
        <v>541.06600000000003</v>
      </c>
      <c r="U45" s="78">
        <f>SUM(U39:U44)</f>
        <v>0.99999815180005436</v>
      </c>
    </row>
    <row r="46" spans="1:48" x14ac:dyDescent="0.2">
      <c r="A46" s="6"/>
      <c r="B46" s="93">
        <f>B45/B23</f>
        <v>7.261931031715782E-2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85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123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91945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92068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134050</v>
      </c>
      <c r="C18" s="10">
        <v>4985</v>
      </c>
      <c r="D18" s="10">
        <v>0</v>
      </c>
      <c r="E18" s="10">
        <v>0</v>
      </c>
      <c r="F18" s="10">
        <v>0</v>
      </c>
      <c r="G18" s="10">
        <v>144101</v>
      </c>
      <c r="H18" s="10">
        <v>0</v>
      </c>
      <c r="I18" s="10"/>
      <c r="J18" s="10"/>
      <c r="K18" s="10"/>
      <c r="L18" s="10"/>
      <c r="M18" s="10"/>
      <c r="N18" s="10"/>
      <c r="O18" s="10">
        <v>149086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3260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765.67272000000003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137310</v>
      </c>
      <c r="C23" s="10">
        <v>4985</v>
      </c>
      <c r="D23" s="10">
        <v>0</v>
      </c>
      <c r="E23" s="10">
        <v>0</v>
      </c>
      <c r="F23" s="10">
        <v>0</v>
      </c>
      <c r="G23" s="10">
        <v>144101</v>
      </c>
      <c r="H23" s="10">
        <v>0</v>
      </c>
      <c r="I23" s="10"/>
      <c r="J23" s="10"/>
      <c r="K23" s="10"/>
      <c r="L23" s="10"/>
      <c r="M23" s="10"/>
      <c r="N23" s="10"/>
      <c r="O23" s="10">
        <v>149086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289.74671999999998</v>
      </c>
      <c r="U24" s="78">
        <f>N43</f>
        <v>0.3784211092175257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183.49799999999999</v>
      </c>
      <c r="U25" s="79">
        <f>G43</f>
        <v>0.23965591982955853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12.414999999999999</v>
      </c>
      <c r="U27" s="78">
        <f>F43</f>
        <v>1.621449958410429E-2</v>
      </c>
    </row>
    <row r="28" spans="1:21" x14ac:dyDescent="0.2">
      <c r="A28" s="4" t="s">
        <v>85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45.124000000000002</v>
      </c>
      <c r="U28" s="78">
        <f>E43</f>
        <v>5.8933796152486666E-2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90.415000000000006</v>
      </c>
      <c r="U29" s="96">
        <f>D43</f>
        <v>0.11808570115962863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14790</v>
      </c>
      <c r="D31" s="10">
        <v>0</v>
      </c>
      <c r="E31" s="10">
        <v>0</v>
      </c>
      <c r="F31" s="10">
        <v>1434</v>
      </c>
      <c r="G31" s="10">
        <v>0</v>
      </c>
      <c r="H31" s="10">
        <v>0</v>
      </c>
      <c r="I31" s="10"/>
      <c r="J31" s="10"/>
      <c r="K31" s="10"/>
      <c r="L31" s="10"/>
      <c r="N31" s="10">
        <v>12142</v>
      </c>
      <c r="O31" s="10">
        <v>28365</v>
      </c>
      <c r="P31" s="80">
        <f>O31/O$39</f>
        <v>3.9684927002959058E-2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89067</v>
      </c>
      <c r="C32" s="10">
        <v>2509</v>
      </c>
      <c r="D32" s="147">
        <v>90415</v>
      </c>
      <c r="E32" s="147">
        <v>45124</v>
      </c>
      <c r="F32" s="10">
        <v>0</v>
      </c>
      <c r="G32" s="121">
        <f>O32-SUM(N32,B32:F32)</f>
        <v>11167</v>
      </c>
      <c r="H32" s="10">
        <v>0</v>
      </c>
      <c r="I32" s="10"/>
      <c r="J32" s="10"/>
      <c r="K32" s="10"/>
      <c r="L32" s="10"/>
      <c r="N32" s="10">
        <v>158913</v>
      </c>
      <c r="O32" s="10">
        <v>397195</v>
      </c>
      <c r="P32" s="80">
        <f>O32/O$39</f>
        <v>0.55570789990975933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6057</v>
      </c>
      <c r="C33" s="10">
        <v>403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16747</v>
      </c>
      <c r="O33" s="10">
        <v>23207</v>
      </c>
      <c r="P33" s="80">
        <f>O33/O$39</f>
        <v>3.2468468216381836E-2</v>
      </c>
      <c r="Q33" s="81" t="s">
        <v>39</v>
      </c>
      <c r="R33" s="75"/>
      <c r="S33" s="75" t="s">
        <v>35</v>
      </c>
      <c r="T33" s="77">
        <f>C42/1000</f>
        <v>144.47399999999999</v>
      </c>
      <c r="U33" s="79">
        <f>C43</f>
        <v>0.18868897405669618</v>
      </c>
    </row>
    <row r="34" spans="1:48" x14ac:dyDescent="0.2">
      <c r="A34" s="8" t="s">
        <v>40</v>
      </c>
      <c r="B34" s="10">
        <v>0</v>
      </c>
      <c r="C34" s="10">
        <v>118947</v>
      </c>
      <c r="D34" s="10">
        <v>0</v>
      </c>
      <c r="E34" s="10">
        <v>0</v>
      </c>
      <c r="F34" s="10">
        <v>10982</v>
      </c>
      <c r="G34" s="10">
        <v>0</v>
      </c>
      <c r="H34" s="10">
        <v>0</v>
      </c>
      <c r="I34" s="10"/>
      <c r="J34" s="10"/>
      <c r="K34" s="10"/>
      <c r="L34" s="10"/>
      <c r="N34" s="10">
        <v>5</v>
      </c>
      <c r="O34" s="10">
        <v>129933</v>
      </c>
      <c r="P34" s="80">
        <f>O34/O$39</f>
        <v>0.18178676609467581</v>
      </c>
      <c r="Q34" s="81" t="s">
        <v>41</v>
      </c>
      <c r="R34" s="75"/>
      <c r="S34" s="75"/>
      <c r="T34" s="77">
        <f>SUM(T24:T33)</f>
        <v>765.67272000000003</v>
      </c>
      <c r="U34" s="78">
        <f>SUM(U24:U33)</f>
        <v>1</v>
      </c>
    </row>
    <row r="35" spans="1:48" x14ac:dyDescent="0.2">
      <c r="A35" s="8" t="s">
        <v>42</v>
      </c>
      <c r="B35" s="10">
        <v>2101</v>
      </c>
      <c r="C35" s="10">
        <v>2628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23183</v>
      </c>
      <c r="O35" s="10">
        <v>27912</v>
      </c>
      <c r="P35" s="80">
        <f>O35/O$39</f>
        <v>3.9051143398787E-2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10115</v>
      </c>
      <c r="C36" s="10">
        <v>214</v>
      </c>
      <c r="D36" s="10">
        <v>0</v>
      </c>
      <c r="E36" s="10">
        <v>0</v>
      </c>
      <c r="F36" s="10">
        <v>0</v>
      </c>
      <c r="G36" s="10">
        <v>28229</v>
      </c>
      <c r="H36" s="10">
        <v>0</v>
      </c>
      <c r="I36" s="10"/>
      <c r="J36" s="10"/>
      <c r="K36" s="10"/>
      <c r="L36" s="10"/>
      <c r="N36" s="10">
        <v>50035</v>
      </c>
      <c r="O36" s="10">
        <v>88593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12291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2808</v>
      </c>
      <c r="O37" s="10">
        <v>15099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4451</v>
      </c>
      <c r="O38" s="10">
        <v>4451</v>
      </c>
      <c r="P38" s="81">
        <f>SUM(P31:P35)</f>
        <v>0.8486992046225631</v>
      </c>
      <c r="Q38" s="81"/>
      <c r="R38" s="75"/>
      <c r="S38" s="83" t="s">
        <v>47</v>
      </c>
      <c r="T38" s="86">
        <f>O45/1000</f>
        <v>39.141719999999999</v>
      </c>
      <c r="U38" s="83"/>
    </row>
    <row r="39" spans="1:48" x14ac:dyDescent="0.2">
      <c r="A39" s="8" t="s">
        <v>16</v>
      </c>
      <c r="B39" s="10">
        <v>119631</v>
      </c>
      <c r="C39" s="10">
        <v>139489</v>
      </c>
      <c r="D39" s="147">
        <f>D32</f>
        <v>90415</v>
      </c>
      <c r="E39" s="147">
        <f>E32</f>
        <v>45124</v>
      </c>
      <c r="F39" s="10">
        <v>12415</v>
      </c>
      <c r="G39" s="121">
        <f>O39-SUM(H39:N39,B39:F39)</f>
        <v>39397</v>
      </c>
      <c r="H39" s="10">
        <v>0</v>
      </c>
      <c r="I39" s="10"/>
      <c r="J39" s="10"/>
      <c r="K39" s="10"/>
      <c r="L39" s="10"/>
      <c r="N39" s="10">
        <v>268284</v>
      </c>
      <c r="O39" s="10">
        <v>714755</v>
      </c>
      <c r="P39" s="75"/>
      <c r="Q39" s="75"/>
      <c r="R39" s="75"/>
      <c r="S39" s="83" t="s">
        <v>48</v>
      </c>
      <c r="T39" s="90">
        <f>O41/1000</f>
        <v>108.143</v>
      </c>
      <c r="U39" s="78">
        <f>P41</f>
        <v>0.15130079537743701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27.911999999999999</v>
      </c>
      <c r="U40" s="79">
        <f>P35</f>
        <v>3.9051143398787E-2</v>
      </c>
    </row>
    <row r="41" spans="1:48" x14ac:dyDescent="0.2">
      <c r="A41" s="14" t="s">
        <v>50</v>
      </c>
      <c r="B41" s="85">
        <f>B38+B37+B36</f>
        <v>22406</v>
      </c>
      <c r="C41" s="85">
        <f t="shared" ref="C41:O41" si="0">C38+C37+C36</f>
        <v>214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28229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57294</v>
      </c>
      <c r="O41" s="85">
        <f t="shared" si="0"/>
        <v>108143</v>
      </c>
      <c r="P41" s="80">
        <f>O41/O$39</f>
        <v>0.15130079537743701</v>
      </c>
      <c r="Q41" s="80" t="s">
        <v>51</v>
      </c>
      <c r="R41" s="83"/>
      <c r="S41" s="83" t="s">
        <v>52</v>
      </c>
      <c r="T41" s="90">
        <f>O33/1000</f>
        <v>23.207000000000001</v>
      </c>
      <c r="U41" s="78">
        <f>P33</f>
        <v>3.2468468216381836E-2</v>
      </c>
    </row>
    <row r="42" spans="1:48" x14ac:dyDescent="0.2">
      <c r="A42" s="15" t="s">
        <v>53</v>
      </c>
      <c r="B42" s="85"/>
      <c r="C42" s="88">
        <f>C39+C23+C10</f>
        <v>144474</v>
      </c>
      <c r="D42" s="88">
        <f t="shared" ref="D42:M42" si="1">D39+D23+D10</f>
        <v>90415</v>
      </c>
      <c r="E42" s="88">
        <f t="shared" si="1"/>
        <v>45124</v>
      </c>
      <c r="F42" s="88">
        <f t="shared" si="1"/>
        <v>12415</v>
      </c>
      <c r="G42" s="88">
        <f t="shared" si="1"/>
        <v>183498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289746.71999999997</v>
      </c>
      <c r="O42" s="89">
        <f>SUM(C42:N42)</f>
        <v>765672.72</v>
      </c>
      <c r="P42" s="83"/>
      <c r="Q42" s="83"/>
      <c r="R42" s="83"/>
      <c r="S42" s="83" t="s">
        <v>34</v>
      </c>
      <c r="T42" s="90">
        <f>O31/1000</f>
        <v>28.364999999999998</v>
      </c>
      <c r="U42" s="78">
        <f>P31</f>
        <v>3.9684927002959058E-2</v>
      </c>
    </row>
    <row r="43" spans="1:48" x14ac:dyDescent="0.2">
      <c r="A43" s="15" t="s">
        <v>54</v>
      </c>
      <c r="B43" s="85"/>
      <c r="C43" s="80">
        <f t="shared" ref="C43:N43" si="2">C42/$O42</f>
        <v>0.18868897405669618</v>
      </c>
      <c r="D43" s="80">
        <f t="shared" si="2"/>
        <v>0.11808570115962863</v>
      </c>
      <c r="E43" s="80">
        <f t="shared" si="2"/>
        <v>5.8933796152486666E-2</v>
      </c>
      <c r="F43" s="80">
        <f t="shared" si="2"/>
        <v>1.621449958410429E-2</v>
      </c>
      <c r="G43" s="80">
        <f t="shared" si="2"/>
        <v>0.23965591982955853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0.3784211092175257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397.19499999999999</v>
      </c>
      <c r="U43" s="79">
        <f>P32</f>
        <v>0.55570789990975933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129.93299999999999</v>
      </c>
      <c r="U44" s="79">
        <f>P34</f>
        <v>0.18178676609467581</v>
      </c>
    </row>
    <row r="45" spans="1:48" x14ac:dyDescent="0.2">
      <c r="A45" s="6" t="s">
        <v>57</v>
      </c>
      <c r="B45" s="91">
        <f>B23-B39</f>
        <v>17679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21462.720000000001</v>
      </c>
      <c r="O45" s="89">
        <f>B45+N45</f>
        <v>39141.72</v>
      </c>
      <c r="P45" s="83"/>
      <c r="Q45" s="83"/>
      <c r="R45" s="83"/>
      <c r="S45" s="83" t="s">
        <v>58</v>
      </c>
      <c r="T45" s="90">
        <f>SUM(T39:T44)</f>
        <v>714.755</v>
      </c>
      <c r="U45" s="78">
        <f>SUM(U39:U44)</f>
        <v>1</v>
      </c>
    </row>
    <row r="46" spans="1:48" x14ac:dyDescent="0.2">
      <c r="A46" s="6"/>
      <c r="B46" s="93">
        <f>B45/B23</f>
        <v>0.12875245794188334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9"/>
      <c r="H47" s="16"/>
      <c r="I47" s="9"/>
      <c r="J47" s="9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7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7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7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6.83203125" style="2" customWidth="1"/>
    <col min="13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59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161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6919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7080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59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A16" s="5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48</v>
      </c>
      <c r="C18" s="10">
        <v>50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50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395.61955999999998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48</v>
      </c>
      <c r="C23" s="10">
        <v>50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50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232.72056000000001</v>
      </c>
      <c r="U24" s="78">
        <f>N43</f>
        <v>0.58824331132666952</v>
      </c>
    </row>
    <row r="25" spans="1:21" x14ac:dyDescent="0.2">
      <c r="A25" s="8" t="s">
        <v>112</v>
      </c>
      <c r="B25" s="119">
        <f>164000</f>
        <v>164000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7.8449999999999998</v>
      </c>
      <c r="U25" s="79">
        <f>G43</f>
        <v>1.9829656551865131E-2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11.131</v>
      </c>
      <c r="U27" s="78">
        <f>F43</f>
        <v>2.8135615943761728E-2</v>
      </c>
    </row>
    <row r="28" spans="1:21" x14ac:dyDescent="0.2">
      <c r="A28" s="4" t="s">
        <v>59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1.2450000000000001</v>
      </c>
      <c r="U28" s="78">
        <f>E43</f>
        <v>3.1469627032596668E-3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10"/>
      <c r="N31" s="10">
        <v>301</v>
      </c>
      <c r="O31" s="10">
        <v>301</v>
      </c>
      <c r="P31" s="80">
        <f>O31/O$39</f>
        <v>5.6999047491000405E-4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21">
        <v>6817.5</v>
      </c>
      <c r="C32" s="121">
        <v>1778</v>
      </c>
      <c r="D32" s="10">
        <v>0</v>
      </c>
      <c r="E32" s="121">
        <v>1245</v>
      </c>
      <c r="F32" s="10">
        <v>0</v>
      </c>
      <c r="G32" s="121">
        <v>1245</v>
      </c>
      <c r="H32" s="10">
        <v>0</v>
      </c>
      <c r="I32" s="10"/>
      <c r="J32" s="10"/>
      <c r="K32" s="10"/>
      <c r="L32" s="10"/>
      <c r="N32" s="10">
        <v>19326</v>
      </c>
      <c r="O32" s="121">
        <v>30411.5</v>
      </c>
      <c r="P32" s="80">
        <f>O32/O$39</f>
        <v>5.7588921354570055E-2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14531.5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6920</v>
      </c>
      <c r="O33" s="10">
        <v>21451.5</v>
      </c>
      <c r="P33" s="80">
        <f>O33/O$39</f>
        <v>4.0621763031667611E-2</v>
      </c>
      <c r="Q33" s="81" t="s">
        <v>39</v>
      </c>
      <c r="R33" s="75"/>
      <c r="S33" s="75" t="s">
        <v>35</v>
      </c>
      <c r="T33" s="77">
        <f>C42/1000</f>
        <v>142.678</v>
      </c>
      <c r="U33" s="79">
        <f>C43</f>
        <v>0.36064445347444396</v>
      </c>
    </row>
    <row r="34" spans="1:48" x14ac:dyDescent="0.2">
      <c r="A34" s="8" t="s">
        <v>40</v>
      </c>
      <c r="B34" s="10">
        <v>0</v>
      </c>
      <c r="C34" s="10">
        <v>140402</v>
      </c>
      <c r="D34" s="10">
        <v>0</v>
      </c>
      <c r="E34" s="10">
        <v>0</v>
      </c>
      <c r="F34" s="10">
        <v>11131</v>
      </c>
      <c r="G34" s="10">
        <v>0</v>
      </c>
      <c r="H34" s="10">
        <v>0</v>
      </c>
      <c r="I34" s="10"/>
      <c r="J34" s="10"/>
      <c r="K34" s="10"/>
      <c r="L34" s="10"/>
      <c r="N34" s="10">
        <v>583</v>
      </c>
      <c r="O34" s="10">
        <v>152116</v>
      </c>
      <c r="P34" s="80">
        <f>O34/O$39</f>
        <v>0.28805538565252548</v>
      </c>
      <c r="Q34" s="81" t="s">
        <v>41</v>
      </c>
      <c r="R34" s="75"/>
      <c r="S34" s="75"/>
      <c r="T34" s="77">
        <f>SUM(T24:T33)</f>
        <v>395.61955999999998</v>
      </c>
      <c r="U34" s="78">
        <f>SUM(U24:U33)</f>
        <v>0.99999999999999989</v>
      </c>
    </row>
    <row r="35" spans="1:48" x14ac:dyDescent="0.2">
      <c r="A35" s="8" t="s">
        <v>42</v>
      </c>
      <c r="B35" s="10">
        <v>17520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86491</v>
      </c>
      <c r="O35" s="10">
        <v>104011</v>
      </c>
      <c r="P35" s="80">
        <f>O35/O$39</f>
        <v>0.19696106075038014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21">
        <v>36133</v>
      </c>
      <c r="C36" s="10">
        <v>228</v>
      </c>
      <c r="D36" s="10">
        <v>0</v>
      </c>
      <c r="E36" s="10">
        <v>0</v>
      </c>
      <c r="F36" s="10">
        <v>0</v>
      </c>
      <c r="G36" s="121">
        <v>6600</v>
      </c>
      <c r="H36" s="10">
        <v>0</v>
      </c>
      <c r="I36" s="10"/>
      <c r="J36" s="10"/>
      <c r="K36" s="10"/>
      <c r="L36" s="10"/>
      <c r="N36" s="10">
        <v>84344</v>
      </c>
      <c r="O36" s="121">
        <v>127305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74746</v>
      </c>
      <c r="C37" s="10">
        <v>220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17419</v>
      </c>
      <c r="O37" s="10">
        <v>92385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98</v>
      </c>
      <c r="O38" s="10">
        <v>98</v>
      </c>
      <c r="P38" s="81">
        <f>SUM(P31:P35)</f>
        <v>0.58379712126405325</v>
      </c>
      <c r="Q38" s="81"/>
      <c r="R38" s="75"/>
      <c r="S38" s="83" t="s">
        <v>47</v>
      </c>
      <c r="T38" s="86">
        <f>O45/1000</f>
        <v>31.53856</v>
      </c>
      <c r="U38" s="83"/>
    </row>
    <row r="39" spans="1:48" x14ac:dyDescent="0.2">
      <c r="A39" s="8" t="s">
        <v>16</v>
      </c>
      <c r="B39" s="10">
        <v>149748</v>
      </c>
      <c r="C39" s="121">
        <f>SUM(C31:C38)</f>
        <v>142628</v>
      </c>
      <c r="D39" s="10">
        <v>0</v>
      </c>
      <c r="E39" s="121">
        <f>E32</f>
        <v>1245</v>
      </c>
      <c r="F39" s="10">
        <v>11131</v>
      </c>
      <c r="G39" s="121">
        <f>G32+G36</f>
        <v>7845</v>
      </c>
      <c r="H39" s="10">
        <v>0</v>
      </c>
      <c r="I39" s="10"/>
      <c r="J39" s="10"/>
      <c r="K39" s="10"/>
      <c r="L39" s="10"/>
      <c r="N39" s="10">
        <v>215482</v>
      </c>
      <c r="O39" s="10">
        <v>528079</v>
      </c>
      <c r="P39" s="75"/>
      <c r="Q39" s="75"/>
      <c r="R39" s="75"/>
      <c r="S39" s="83" t="s">
        <v>48</v>
      </c>
      <c r="T39" s="90">
        <f>O41/1000</f>
        <v>219.78800000000001</v>
      </c>
      <c r="U39" s="78">
        <f>P41</f>
        <v>0.41620287873594669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104.011</v>
      </c>
      <c r="U40" s="79">
        <f>P35</f>
        <v>0.19696106075038014</v>
      </c>
    </row>
    <row r="41" spans="1:48" x14ac:dyDescent="0.2">
      <c r="A41" s="14" t="s">
        <v>50</v>
      </c>
      <c r="B41" s="85">
        <f>B38+B37+B36</f>
        <v>110879</v>
      </c>
      <c r="C41" s="85">
        <f t="shared" ref="C41:O41" si="0">C38+C37+C36</f>
        <v>448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6600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101861</v>
      </c>
      <c r="O41" s="85">
        <f t="shared" si="0"/>
        <v>219788</v>
      </c>
      <c r="P41" s="80">
        <f>O41/O$39</f>
        <v>0.41620287873594669</v>
      </c>
      <c r="Q41" s="80" t="s">
        <v>51</v>
      </c>
      <c r="R41" s="83"/>
      <c r="S41" s="83" t="s">
        <v>52</v>
      </c>
      <c r="T41" s="90">
        <f>O33/1000</f>
        <v>21.451499999999999</v>
      </c>
      <c r="U41" s="78">
        <f>P33</f>
        <v>4.0621763031667611E-2</v>
      </c>
    </row>
    <row r="42" spans="1:48" x14ac:dyDescent="0.2">
      <c r="A42" s="15" t="s">
        <v>53</v>
      </c>
      <c r="B42" s="85"/>
      <c r="C42" s="88">
        <f>C39+C23+C10</f>
        <v>142678</v>
      </c>
      <c r="D42" s="88">
        <f t="shared" ref="D42:M42" si="1">D39+D23+D10</f>
        <v>0</v>
      </c>
      <c r="E42" s="88">
        <f t="shared" si="1"/>
        <v>1245</v>
      </c>
      <c r="F42" s="88">
        <f t="shared" si="1"/>
        <v>11131</v>
      </c>
      <c r="G42" s="88">
        <f t="shared" si="1"/>
        <v>7845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232720.56</v>
      </c>
      <c r="O42" s="89">
        <f>SUM(C42:N42)</f>
        <v>395619.56</v>
      </c>
      <c r="P42" s="83"/>
      <c r="Q42" s="83"/>
      <c r="R42" s="83"/>
      <c r="S42" s="83" t="s">
        <v>34</v>
      </c>
      <c r="T42" s="90">
        <f>O31/1000</f>
        <v>0.30099999999999999</v>
      </c>
      <c r="U42" s="78">
        <f>P31</f>
        <v>5.6999047491000405E-4</v>
      </c>
    </row>
    <row r="43" spans="1:48" x14ac:dyDescent="0.2">
      <c r="A43" s="15" t="s">
        <v>54</v>
      </c>
      <c r="B43" s="85"/>
      <c r="C43" s="80">
        <f t="shared" ref="C43:N43" si="2">C42/$O42</f>
        <v>0.36064445347444396</v>
      </c>
      <c r="D43" s="80">
        <f t="shared" si="2"/>
        <v>0</v>
      </c>
      <c r="E43" s="80">
        <f t="shared" si="2"/>
        <v>3.1469627032596668E-3</v>
      </c>
      <c r="F43" s="80">
        <f t="shared" si="2"/>
        <v>2.8135615943761728E-2</v>
      </c>
      <c r="G43" s="80">
        <f t="shared" si="2"/>
        <v>1.9829656551865131E-2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0.58824331132666952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30.4115</v>
      </c>
      <c r="U43" s="79">
        <f>P32</f>
        <v>5.7588921354570055E-2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152.11600000000001</v>
      </c>
      <c r="U44" s="79">
        <f>P34</f>
        <v>0.28805538565252548</v>
      </c>
    </row>
    <row r="45" spans="1:48" x14ac:dyDescent="0.2">
      <c r="A45" s="6" t="s">
        <v>57</v>
      </c>
      <c r="B45" s="91">
        <f>B23+B25-B39</f>
        <v>14300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17238.560000000001</v>
      </c>
      <c r="O45" s="89">
        <f>B45+N45</f>
        <v>31538.560000000001</v>
      </c>
      <c r="P45" s="83"/>
      <c r="Q45" s="83"/>
      <c r="R45" s="83"/>
      <c r="S45" s="83" t="s">
        <v>58</v>
      </c>
      <c r="T45" s="90">
        <f>SUM(T39:T44)</f>
        <v>528.07899999999995</v>
      </c>
      <c r="U45" s="78">
        <f>SUM(U39:U44)</f>
        <v>1</v>
      </c>
    </row>
    <row r="46" spans="1:48" x14ac:dyDescent="0.2">
      <c r="A46" s="6"/>
      <c r="B46" s="93">
        <f>B45/(B25+B23)</f>
        <v>8.7169608894957576E-2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7"/>
      <c r="D48" s="16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1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10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7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10"/>
      <c r="C52" s="17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7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10"/>
      <c r="C53" s="1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10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10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10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10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86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86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3576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3662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51963</v>
      </c>
      <c r="C18" s="10">
        <v>50</v>
      </c>
      <c r="D18" s="10">
        <v>0</v>
      </c>
      <c r="E18" s="10">
        <v>0</v>
      </c>
      <c r="F18" s="10">
        <v>0</v>
      </c>
      <c r="G18" s="10">
        <v>59940</v>
      </c>
      <c r="H18" s="10">
        <v>0</v>
      </c>
      <c r="I18" s="10"/>
      <c r="J18" s="10"/>
      <c r="K18" s="10"/>
      <c r="L18" s="10"/>
      <c r="M18" s="10"/>
      <c r="N18" s="10"/>
      <c r="O18" s="10">
        <v>59990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282.28676000000002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51963</v>
      </c>
      <c r="C23" s="10">
        <v>50</v>
      </c>
      <c r="D23" s="10">
        <v>0</v>
      </c>
      <c r="E23" s="10">
        <v>0</v>
      </c>
      <c r="F23" s="10">
        <v>0</v>
      </c>
      <c r="G23" s="10">
        <v>59940</v>
      </c>
      <c r="H23" s="10">
        <v>0</v>
      </c>
      <c r="I23" s="10"/>
      <c r="J23" s="10"/>
      <c r="K23" s="10"/>
      <c r="L23" s="10"/>
      <c r="M23" s="10"/>
      <c r="N23" s="10"/>
      <c r="O23" s="10">
        <v>59990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102.02976</v>
      </c>
      <c r="U24" s="78">
        <f>N43</f>
        <v>0.36144011855178754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84.028999999999996</v>
      </c>
      <c r="U25" s="79">
        <f>G43</f>
        <v>0.29767248028210747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6.8760000000000003</v>
      </c>
      <c r="U27" s="78">
        <f>F43</f>
        <v>2.4358209361289209E-2</v>
      </c>
    </row>
    <row r="28" spans="1:21" x14ac:dyDescent="0.2">
      <c r="A28" s="4" t="s">
        <v>86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4177</v>
      </c>
      <c r="D31" s="10">
        <v>0</v>
      </c>
      <c r="E31" s="10">
        <v>0</v>
      </c>
      <c r="F31" s="10">
        <v>431</v>
      </c>
      <c r="G31" s="10">
        <v>0</v>
      </c>
      <c r="H31" s="10">
        <v>0</v>
      </c>
      <c r="I31" s="10"/>
      <c r="J31" s="10"/>
      <c r="K31" s="10"/>
      <c r="L31" s="10"/>
      <c r="N31" s="10">
        <v>3524</v>
      </c>
      <c r="O31" s="10">
        <v>8133</v>
      </c>
      <c r="P31" s="80">
        <f>O31/O$39</f>
        <v>3.5734371430077856E-2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9739</v>
      </c>
      <c r="C32" s="121">
        <f>C39-SUM(C33:C38,C31)</f>
        <v>695</v>
      </c>
      <c r="D32" s="10">
        <v>0</v>
      </c>
      <c r="E32" s="10">
        <v>0</v>
      </c>
      <c r="F32" s="10">
        <v>0</v>
      </c>
      <c r="G32" s="121">
        <f>G39-G36</f>
        <v>2689</v>
      </c>
      <c r="H32" s="10">
        <v>0</v>
      </c>
      <c r="I32" s="10"/>
      <c r="J32" s="10"/>
      <c r="K32" s="10"/>
      <c r="L32" s="10"/>
      <c r="N32" s="121">
        <f>O32-SUM(B32:H32)</f>
        <v>13581</v>
      </c>
      <c r="O32" s="10">
        <v>26704</v>
      </c>
      <c r="P32" s="80">
        <f>O32/O$39</f>
        <v>0.11733070879980316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8931</v>
      </c>
      <c r="O33" s="10">
        <v>8931</v>
      </c>
      <c r="P33" s="80">
        <f>O33/O$39</f>
        <v>3.9240584193043812E-2</v>
      </c>
      <c r="Q33" s="81" t="s">
        <v>39</v>
      </c>
      <c r="R33" s="75"/>
      <c r="S33" s="75" t="s">
        <v>35</v>
      </c>
      <c r="T33" s="77">
        <f>C42/1000</f>
        <v>89.352000000000004</v>
      </c>
      <c r="U33" s="79">
        <f>C43</f>
        <v>0.31652919180481576</v>
      </c>
    </row>
    <row r="34" spans="1:48" x14ac:dyDescent="0.2">
      <c r="A34" s="8" t="s">
        <v>40</v>
      </c>
      <c r="B34" s="10">
        <v>0</v>
      </c>
      <c r="C34" s="10">
        <v>84222</v>
      </c>
      <c r="D34" s="10">
        <v>0</v>
      </c>
      <c r="E34" s="10">
        <v>0</v>
      </c>
      <c r="F34" s="10">
        <v>6445</v>
      </c>
      <c r="G34" s="10">
        <v>0</v>
      </c>
      <c r="H34" s="10">
        <v>0</v>
      </c>
      <c r="I34" s="10"/>
      <c r="J34" s="10"/>
      <c r="K34" s="10"/>
      <c r="L34" s="10"/>
      <c r="N34" s="10">
        <v>0</v>
      </c>
      <c r="O34" s="10">
        <v>90667</v>
      </c>
      <c r="P34" s="80">
        <f>O34/O$39</f>
        <v>0.39836816112761209</v>
      </c>
      <c r="Q34" s="81" t="s">
        <v>41</v>
      </c>
      <c r="R34" s="75"/>
      <c r="S34" s="75"/>
      <c r="T34" s="77">
        <f>SUM(T24:T33)</f>
        <v>282.28676000000002</v>
      </c>
      <c r="U34" s="78">
        <f>SUM(U24:U33)</f>
        <v>1</v>
      </c>
    </row>
    <row r="35" spans="1:48" x14ac:dyDescent="0.2">
      <c r="A35" s="8" t="s">
        <v>42</v>
      </c>
      <c r="B35" s="10">
        <v>2829</v>
      </c>
      <c r="C35" s="10">
        <v>70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23432</v>
      </c>
      <c r="O35" s="10">
        <v>26331</v>
      </c>
      <c r="P35" s="80">
        <f>O35/O$39</f>
        <v>0.11569183992688799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290</v>
      </c>
      <c r="C36" s="121">
        <v>138</v>
      </c>
      <c r="D36" s="10">
        <v>0</v>
      </c>
      <c r="E36" s="10">
        <v>0</v>
      </c>
      <c r="F36" s="10">
        <v>0</v>
      </c>
      <c r="G36" s="121">
        <v>21400</v>
      </c>
      <c r="H36" s="10">
        <v>0</v>
      </c>
      <c r="I36" s="10"/>
      <c r="J36" s="10"/>
      <c r="K36" s="10"/>
      <c r="L36" s="10"/>
      <c r="N36" s="10">
        <v>37639</v>
      </c>
      <c r="O36" s="121">
        <f>SUM(B36:N36)</f>
        <v>59467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4051</v>
      </c>
      <c r="O37" s="10">
        <v>4051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f>N39-SUM(N31:N37)</f>
        <v>3314</v>
      </c>
      <c r="O38" s="121">
        <f>N38</f>
        <v>3314</v>
      </c>
      <c r="P38" s="81">
        <f>SUM(P31:P35)</f>
        <v>0.70636566547742496</v>
      </c>
      <c r="Q38" s="81"/>
      <c r="R38" s="75"/>
      <c r="S38" s="83" t="s">
        <v>47</v>
      </c>
      <c r="T38" s="86">
        <f>O45/1000</f>
        <v>46.662759999999999</v>
      </c>
      <c r="U38" s="83"/>
    </row>
    <row r="39" spans="1:48" x14ac:dyDescent="0.2">
      <c r="A39" s="8" t="s">
        <v>16</v>
      </c>
      <c r="B39" s="10">
        <v>12858</v>
      </c>
      <c r="C39" s="10">
        <v>89302</v>
      </c>
      <c r="D39" s="10">
        <v>0</v>
      </c>
      <c r="E39" s="10">
        <v>0</v>
      </c>
      <c r="F39" s="10">
        <v>6876</v>
      </c>
      <c r="G39" s="10">
        <v>24089</v>
      </c>
      <c r="H39" s="10">
        <v>0</v>
      </c>
      <c r="I39" s="10"/>
      <c r="J39" s="10"/>
      <c r="K39" s="10"/>
      <c r="L39" s="10"/>
      <c r="N39" s="10">
        <v>94472</v>
      </c>
      <c r="O39" s="10">
        <v>227596</v>
      </c>
      <c r="P39" s="75"/>
      <c r="Q39" s="75"/>
      <c r="R39" s="75"/>
      <c r="S39" s="83" t="s">
        <v>48</v>
      </c>
      <c r="T39" s="90">
        <f>O41/1000</f>
        <v>66.831999999999994</v>
      </c>
      <c r="U39" s="78">
        <f>P41</f>
        <v>0.29364312202323417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26.331</v>
      </c>
      <c r="U40" s="79">
        <f>P35</f>
        <v>0.11569183992688799</v>
      </c>
    </row>
    <row r="41" spans="1:48" x14ac:dyDescent="0.2">
      <c r="A41" s="14" t="s">
        <v>50</v>
      </c>
      <c r="B41" s="85">
        <f>B38+B37+B36</f>
        <v>290</v>
      </c>
      <c r="C41" s="85">
        <f t="shared" ref="C41:O41" si="0">C38+C37+C36</f>
        <v>138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21400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45004</v>
      </c>
      <c r="O41" s="85">
        <f t="shared" si="0"/>
        <v>66832</v>
      </c>
      <c r="P41" s="80">
        <f>O41/O$39</f>
        <v>0.29364312202323417</v>
      </c>
      <c r="Q41" s="80" t="s">
        <v>51</v>
      </c>
      <c r="R41" s="83"/>
      <c r="S41" s="83" t="s">
        <v>52</v>
      </c>
      <c r="T41" s="90">
        <f>O33/1000</f>
        <v>8.9309999999999992</v>
      </c>
      <c r="U41" s="78">
        <f>P33</f>
        <v>3.9240584193043812E-2</v>
      </c>
    </row>
    <row r="42" spans="1:48" x14ac:dyDescent="0.2">
      <c r="A42" s="15" t="s">
        <v>53</v>
      </c>
      <c r="B42" s="85"/>
      <c r="C42" s="88">
        <f>C39+C23+C10</f>
        <v>89352</v>
      </c>
      <c r="D42" s="88">
        <f t="shared" ref="D42:M42" si="1">D39+D23+D10</f>
        <v>0</v>
      </c>
      <c r="E42" s="88">
        <f t="shared" si="1"/>
        <v>0</v>
      </c>
      <c r="F42" s="88">
        <f t="shared" si="1"/>
        <v>6876</v>
      </c>
      <c r="G42" s="88">
        <f t="shared" si="1"/>
        <v>84029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102029.75999999999</v>
      </c>
      <c r="O42" s="89">
        <f>SUM(C42:N42)</f>
        <v>282286.76</v>
      </c>
      <c r="P42" s="83"/>
      <c r="Q42" s="83"/>
      <c r="R42" s="83"/>
      <c r="S42" s="83" t="s">
        <v>34</v>
      </c>
      <c r="T42" s="90">
        <f>O31/1000</f>
        <v>8.1329999999999991</v>
      </c>
      <c r="U42" s="78">
        <f>P31</f>
        <v>3.5734371430077856E-2</v>
      </c>
    </row>
    <row r="43" spans="1:48" x14ac:dyDescent="0.2">
      <c r="A43" s="15" t="s">
        <v>54</v>
      </c>
      <c r="B43" s="85"/>
      <c r="C43" s="80">
        <f t="shared" ref="C43:N43" si="2">C42/$O42</f>
        <v>0.31652919180481576</v>
      </c>
      <c r="D43" s="80">
        <f t="shared" si="2"/>
        <v>0</v>
      </c>
      <c r="E43" s="80">
        <f t="shared" si="2"/>
        <v>0</v>
      </c>
      <c r="F43" s="80">
        <f t="shared" si="2"/>
        <v>2.4358209361289209E-2</v>
      </c>
      <c r="G43" s="80">
        <f t="shared" si="2"/>
        <v>0.29767248028210747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0.36144011855178754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26.704000000000001</v>
      </c>
      <c r="U43" s="79">
        <f>P32</f>
        <v>0.11733070879980316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90.667000000000002</v>
      </c>
      <c r="U44" s="79">
        <f>P34</f>
        <v>0.39836816112761209</v>
      </c>
    </row>
    <row r="45" spans="1:48" x14ac:dyDescent="0.2">
      <c r="A45" s="6" t="s">
        <v>57</v>
      </c>
      <c r="B45" s="91">
        <f>B23-B39</f>
        <v>39105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7557.76</v>
      </c>
      <c r="O45" s="89">
        <f>B45+N45</f>
        <v>46662.76</v>
      </c>
      <c r="P45" s="83"/>
      <c r="Q45" s="83"/>
      <c r="R45" s="83"/>
      <c r="S45" s="83" t="s">
        <v>58</v>
      </c>
      <c r="T45" s="90">
        <f>SUM(T39:T44)</f>
        <v>227.59799999999998</v>
      </c>
      <c r="U45" s="78">
        <f>SUM(U39:U44)</f>
        <v>1.0000087875006591</v>
      </c>
    </row>
    <row r="46" spans="1:48" x14ac:dyDescent="0.2">
      <c r="A46" s="6"/>
      <c r="B46" s="93">
        <f>B45/B23</f>
        <v>0.75255470238438893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87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108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7472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7580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0">
        <v>24700</v>
      </c>
      <c r="C18" s="120">
        <v>0</v>
      </c>
      <c r="D18" s="10">
        <v>0</v>
      </c>
      <c r="E18" s="10">
        <v>0</v>
      </c>
      <c r="F18" s="10">
        <v>0</v>
      </c>
      <c r="G18" s="120">
        <v>27500</v>
      </c>
      <c r="H18" s="10">
        <v>0</v>
      </c>
      <c r="I18" s="10"/>
      <c r="J18" s="10"/>
      <c r="K18" s="10"/>
      <c r="L18" s="10"/>
      <c r="M18" s="10"/>
      <c r="N18" s="119"/>
      <c r="O18" s="120">
        <f>G18+C18+N18</f>
        <v>27500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297.80740000000003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f>B18</f>
        <v>24700</v>
      </c>
      <c r="C23" s="120">
        <f t="shared" ref="C23:G23" si="0">C18</f>
        <v>0</v>
      </c>
      <c r="D23" s="126">
        <f t="shared" si="0"/>
        <v>0</v>
      </c>
      <c r="E23" s="126">
        <f t="shared" si="0"/>
        <v>0</v>
      </c>
      <c r="F23" s="126">
        <f t="shared" si="0"/>
        <v>0</v>
      </c>
      <c r="G23" s="120">
        <f t="shared" si="0"/>
        <v>27500</v>
      </c>
      <c r="H23" s="126">
        <v>0</v>
      </c>
      <c r="I23" s="10"/>
      <c r="J23" s="10"/>
      <c r="K23" s="10"/>
      <c r="L23" s="10"/>
      <c r="M23" s="10"/>
      <c r="N23" s="119"/>
      <c r="O23" s="120">
        <f>O18</f>
        <v>27500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167.94540000000001</v>
      </c>
      <c r="U24" s="78">
        <f>N43</f>
        <v>0.56393964689930465</v>
      </c>
    </row>
    <row r="25" spans="1:21" x14ac:dyDescent="0.2">
      <c r="B25" s="4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62.51</v>
      </c>
      <c r="U25" s="79">
        <f>G43</f>
        <v>0.20990076136455976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4.415</v>
      </c>
      <c r="U27" s="78">
        <f>F43</f>
        <v>1.482501777994771E-2</v>
      </c>
    </row>
    <row r="28" spans="1:21" x14ac:dyDescent="0.2">
      <c r="A28" s="4" t="s">
        <v>87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5.0000000000000001E-3</v>
      </c>
      <c r="U28" s="78">
        <f>E43</f>
        <v>1.6789374609227303E-5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13556</v>
      </c>
      <c r="D31" s="10">
        <v>0</v>
      </c>
      <c r="E31" s="10">
        <v>0</v>
      </c>
      <c r="F31" s="10">
        <v>1317</v>
      </c>
      <c r="G31" s="10">
        <v>0</v>
      </c>
      <c r="H31" s="10">
        <v>0</v>
      </c>
      <c r="I31" s="10"/>
      <c r="J31" s="10"/>
      <c r="K31" s="10"/>
      <c r="L31" s="10"/>
      <c r="N31" s="10">
        <v>12683</v>
      </c>
      <c r="O31" s="10">
        <f>SUM(B31:N31)</f>
        <v>27556</v>
      </c>
      <c r="P31" s="80">
        <f>O31/O$39</f>
        <v>9.8425885907982014E-2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23">
        <v>4504</v>
      </c>
      <c r="C32" s="121">
        <v>5709</v>
      </c>
      <c r="D32" s="10">
        <v>0</v>
      </c>
      <c r="E32" s="121">
        <v>5</v>
      </c>
      <c r="F32" s="10">
        <v>0</v>
      </c>
      <c r="G32" s="121">
        <v>8671</v>
      </c>
      <c r="H32" s="10">
        <v>0</v>
      </c>
      <c r="I32" s="10"/>
      <c r="J32" s="10"/>
      <c r="K32" s="10"/>
      <c r="L32" s="10"/>
      <c r="N32" s="10">
        <v>25539</v>
      </c>
      <c r="O32" s="10">
        <f t="shared" ref="O32:O39" si="1">SUM(B32:N32)</f>
        <v>44428</v>
      </c>
      <c r="P32" s="80">
        <f>O32/O$39</f>
        <v>0.15869013133690757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23">
        <v>5859</v>
      </c>
      <c r="C33" s="10">
        <v>442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8778</v>
      </c>
      <c r="O33" s="123">
        <f t="shared" si="1"/>
        <v>15079</v>
      </c>
      <c r="P33" s="80">
        <f>O33/O$39</f>
        <v>5.3859919204763421E-2</v>
      </c>
      <c r="Q33" s="81" t="s">
        <v>39</v>
      </c>
      <c r="R33" s="75"/>
      <c r="S33" s="75" t="s">
        <v>35</v>
      </c>
      <c r="T33" s="77">
        <f>C42/1000</f>
        <v>62.932000000000002</v>
      </c>
      <c r="U33" s="79">
        <f>C43</f>
        <v>0.21131778458157854</v>
      </c>
    </row>
    <row r="34" spans="1:48" x14ac:dyDescent="0.2">
      <c r="A34" s="8" t="s">
        <v>40</v>
      </c>
      <c r="B34" s="10">
        <v>0</v>
      </c>
      <c r="C34" s="10">
        <v>41617</v>
      </c>
      <c r="D34" s="10">
        <v>0</v>
      </c>
      <c r="E34" s="10">
        <v>0</v>
      </c>
      <c r="F34" s="10">
        <v>3098</v>
      </c>
      <c r="G34" s="10">
        <v>0</v>
      </c>
      <c r="H34" s="10">
        <v>0</v>
      </c>
      <c r="I34" s="10"/>
      <c r="J34" s="10"/>
      <c r="K34" s="10"/>
      <c r="L34" s="10"/>
      <c r="N34" s="10">
        <v>59031</v>
      </c>
      <c r="O34" s="10">
        <f t="shared" si="1"/>
        <v>103746</v>
      </c>
      <c r="P34" s="80">
        <f>O34/O$39</f>
        <v>0.37056510231563006</v>
      </c>
      <c r="Q34" s="81" t="s">
        <v>41</v>
      </c>
      <c r="R34" s="75"/>
      <c r="S34" s="75"/>
      <c r="T34" s="77">
        <f>SUM(T24:T33)</f>
        <v>297.80739999999997</v>
      </c>
      <c r="U34" s="78">
        <f>SUM(U24:U33)</f>
        <v>0.99999999999999989</v>
      </c>
    </row>
    <row r="35" spans="1:48" x14ac:dyDescent="0.2">
      <c r="A35" s="8" t="s">
        <v>42</v>
      </c>
      <c r="B35" s="121">
        <v>1037</v>
      </c>
      <c r="C35" s="121">
        <v>1340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10980</v>
      </c>
      <c r="O35" s="10">
        <f t="shared" si="1"/>
        <v>13357</v>
      </c>
      <c r="P35" s="80">
        <f>O35/O$39</f>
        <v>4.7709194297899396E-2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600</v>
      </c>
      <c r="C36" s="10">
        <v>210</v>
      </c>
      <c r="D36" s="10">
        <v>0</v>
      </c>
      <c r="E36" s="10">
        <v>0</v>
      </c>
      <c r="F36" s="10">
        <v>0</v>
      </c>
      <c r="G36" s="10">
        <v>26339</v>
      </c>
      <c r="H36" s="10">
        <v>0</v>
      </c>
      <c r="I36" s="10"/>
      <c r="J36" s="10"/>
      <c r="K36" s="10"/>
      <c r="L36" s="10"/>
      <c r="N36" s="10">
        <v>32025</v>
      </c>
      <c r="O36" s="119">
        <f t="shared" si="1"/>
        <v>59174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10100</v>
      </c>
      <c r="C37" s="10">
        <v>58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4307</v>
      </c>
      <c r="O37" s="119">
        <f t="shared" si="1"/>
        <v>14465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2162</v>
      </c>
      <c r="O38" s="10">
        <f t="shared" si="1"/>
        <v>2162</v>
      </c>
      <c r="P38" s="81">
        <f>SUM(P31:P35)</f>
        <v>0.72925023306318248</v>
      </c>
      <c r="Q38" s="81"/>
      <c r="R38" s="75"/>
      <c r="S38" s="83" t="s">
        <v>47</v>
      </c>
      <c r="T38" s="86">
        <f>O45/1000</f>
        <v>15.0404</v>
      </c>
      <c r="U38" s="83"/>
    </row>
    <row r="39" spans="1:48" x14ac:dyDescent="0.2">
      <c r="A39" s="8" t="s">
        <v>16</v>
      </c>
      <c r="B39" s="95">
        <v>22100</v>
      </c>
      <c r="C39" s="10">
        <v>62932</v>
      </c>
      <c r="D39" s="10">
        <v>0</v>
      </c>
      <c r="E39" s="121">
        <v>5</v>
      </c>
      <c r="F39" s="10">
        <v>4415</v>
      </c>
      <c r="G39" s="121">
        <v>35010</v>
      </c>
      <c r="H39" s="10">
        <v>0</v>
      </c>
      <c r="I39" s="10"/>
      <c r="J39" s="10"/>
      <c r="K39" s="10"/>
      <c r="L39" s="10"/>
      <c r="N39" s="10">
        <v>155505</v>
      </c>
      <c r="O39" s="119">
        <f t="shared" si="1"/>
        <v>279967</v>
      </c>
      <c r="P39" s="75"/>
      <c r="Q39" s="75"/>
      <c r="R39" s="75"/>
      <c r="S39" s="83" t="s">
        <v>48</v>
      </c>
      <c r="T39" s="90">
        <f>O41/1000</f>
        <v>75.801000000000002</v>
      </c>
      <c r="U39" s="78">
        <f>P41</f>
        <v>0.27074976693681757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13.356999999999999</v>
      </c>
      <c r="U40" s="79">
        <f>P35</f>
        <v>4.7709194297899396E-2</v>
      </c>
    </row>
    <row r="41" spans="1:48" x14ac:dyDescent="0.2">
      <c r="A41" s="14" t="s">
        <v>50</v>
      </c>
      <c r="B41" s="85">
        <f>B38+B37+B36</f>
        <v>10700</v>
      </c>
      <c r="C41" s="85">
        <f t="shared" ref="C41:O41" si="2">C38+C37+C36</f>
        <v>268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26339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38494</v>
      </c>
      <c r="O41" s="85">
        <f t="shared" si="2"/>
        <v>75801</v>
      </c>
      <c r="P41" s="80">
        <f>O41/O$39</f>
        <v>0.27074976693681757</v>
      </c>
      <c r="Q41" s="80" t="s">
        <v>51</v>
      </c>
      <c r="R41" s="83"/>
      <c r="S41" s="83" t="s">
        <v>52</v>
      </c>
      <c r="T41" s="90">
        <f>O33/1000</f>
        <v>15.079000000000001</v>
      </c>
      <c r="U41" s="78">
        <f>P33</f>
        <v>5.3859919204763421E-2</v>
      </c>
    </row>
    <row r="42" spans="1:48" x14ac:dyDescent="0.2">
      <c r="A42" s="15" t="s">
        <v>53</v>
      </c>
      <c r="B42" s="85"/>
      <c r="C42" s="88">
        <f>C39+C23+C10</f>
        <v>62932</v>
      </c>
      <c r="D42" s="88">
        <f t="shared" ref="D42:M42" si="3">D39+D23+D10</f>
        <v>0</v>
      </c>
      <c r="E42" s="88">
        <f t="shared" si="3"/>
        <v>5</v>
      </c>
      <c r="F42" s="88">
        <f t="shared" si="3"/>
        <v>4415</v>
      </c>
      <c r="G42" s="88">
        <f t="shared" si="3"/>
        <v>62510</v>
      </c>
      <c r="H42" s="88">
        <f t="shared" si="3"/>
        <v>0</v>
      </c>
      <c r="I42" s="88">
        <f t="shared" si="3"/>
        <v>0</v>
      </c>
      <c r="J42" s="88">
        <f t="shared" si="3"/>
        <v>0</v>
      </c>
      <c r="K42" s="88">
        <f t="shared" si="3"/>
        <v>0</v>
      </c>
      <c r="L42" s="88">
        <f t="shared" si="3"/>
        <v>0</v>
      </c>
      <c r="M42" s="88">
        <f t="shared" si="3"/>
        <v>0</v>
      </c>
      <c r="N42" s="88">
        <f>N39+N23-B6+N45</f>
        <v>167945.4</v>
      </c>
      <c r="O42" s="89">
        <f>SUM(C42:N42)</f>
        <v>297807.40000000002</v>
      </c>
      <c r="P42" s="83"/>
      <c r="Q42" s="83"/>
      <c r="R42" s="83"/>
      <c r="S42" s="83" t="s">
        <v>34</v>
      </c>
      <c r="T42" s="90">
        <f>O31/1000</f>
        <v>27.556000000000001</v>
      </c>
      <c r="U42" s="78">
        <f>P31</f>
        <v>9.8425885907982014E-2</v>
      </c>
    </row>
    <row r="43" spans="1:48" x14ac:dyDescent="0.2">
      <c r="A43" s="15" t="s">
        <v>54</v>
      </c>
      <c r="B43" s="85"/>
      <c r="C43" s="80">
        <f t="shared" ref="C43:N43" si="4">C42/$O42</f>
        <v>0.21131778458157854</v>
      </c>
      <c r="D43" s="80">
        <f t="shared" si="4"/>
        <v>0</v>
      </c>
      <c r="E43" s="80">
        <f t="shared" si="4"/>
        <v>1.6789374609227303E-5</v>
      </c>
      <c r="F43" s="80">
        <f t="shared" si="4"/>
        <v>1.482501777994771E-2</v>
      </c>
      <c r="G43" s="80">
        <f t="shared" si="4"/>
        <v>0.20990076136455976</v>
      </c>
      <c r="H43" s="80">
        <f t="shared" si="4"/>
        <v>0</v>
      </c>
      <c r="I43" s="80">
        <f t="shared" si="4"/>
        <v>0</v>
      </c>
      <c r="J43" s="80">
        <f t="shared" si="4"/>
        <v>0</v>
      </c>
      <c r="K43" s="80">
        <f t="shared" si="4"/>
        <v>0</v>
      </c>
      <c r="L43" s="80">
        <f t="shared" si="4"/>
        <v>0</v>
      </c>
      <c r="M43" s="80">
        <f t="shared" si="4"/>
        <v>0</v>
      </c>
      <c r="N43" s="80">
        <f t="shared" si="4"/>
        <v>0.56393964689930465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44.427999999999997</v>
      </c>
      <c r="U43" s="79">
        <f>P32</f>
        <v>0.15869013133690757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103.746</v>
      </c>
      <c r="U44" s="79">
        <f>P34</f>
        <v>0.37056510231563006</v>
      </c>
    </row>
    <row r="45" spans="1:48" x14ac:dyDescent="0.2">
      <c r="A45" s="6" t="s">
        <v>57</v>
      </c>
      <c r="B45" s="91">
        <f>B23-B39</f>
        <v>2600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12440.4</v>
      </c>
      <c r="O45" s="89">
        <f>B45+N45</f>
        <v>15040.4</v>
      </c>
      <c r="P45" s="83"/>
      <c r="Q45" s="83"/>
      <c r="R45" s="83"/>
      <c r="S45" s="83" t="s">
        <v>58</v>
      </c>
      <c r="T45" s="90">
        <f>SUM(T39:T44)</f>
        <v>279.96699999999998</v>
      </c>
      <c r="U45" s="78">
        <f>SUM(U39:U44)</f>
        <v>1</v>
      </c>
    </row>
    <row r="46" spans="1:48" x14ac:dyDescent="0.2">
      <c r="A46" s="6"/>
      <c r="B46" s="93">
        <f>B45/B23</f>
        <v>0.10526315789473684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27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2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27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6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6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1" enableFormatConditionsCalculation="0"/>
  <dimension ref="A1:AV70"/>
  <sheetViews>
    <sheetView zoomScale="80" zoomScaleNormal="80" zoomScalePageLayoutView="80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4" width="9.1640625" style="2" bestFit="1" customWidth="1"/>
    <col min="5" max="5" width="10.5" style="2" customWidth="1"/>
    <col min="6" max="6" width="9.1640625" style="2" bestFit="1" customWidth="1"/>
    <col min="7" max="7" width="12.1640625" style="2" customWidth="1"/>
    <col min="8" max="8" width="9.1640625" style="2" bestFit="1" customWidth="1"/>
    <col min="9" max="10" width="8.83203125" style="2"/>
    <col min="11" max="11" width="10.6640625" style="2" customWidth="1"/>
    <col min="12" max="12" width="12.83203125" style="2" customWidth="1"/>
    <col min="13" max="13" width="5.5" style="2" customWidth="1"/>
    <col min="14" max="14" width="10.1640625" style="2" customWidth="1"/>
    <col min="15" max="15" width="11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88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4">
        <v>3596</v>
      </c>
      <c r="Q4" s="8"/>
      <c r="R4" s="10"/>
    </row>
    <row r="5" spans="1:35" x14ac:dyDescent="0.2">
      <c r="B5" s="121"/>
      <c r="C5" s="95">
        <v>0</v>
      </c>
      <c r="D5" s="95">
        <v>0</v>
      </c>
      <c r="E5" s="95">
        <v>0</v>
      </c>
      <c r="F5" s="95">
        <v>0</v>
      </c>
      <c r="G5" s="95">
        <v>0</v>
      </c>
      <c r="H5" s="95">
        <v>0</v>
      </c>
      <c r="I5" s="10"/>
      <c r="J5" s="10"/>
      <c r="K5" s="10"/>
      <c r="L5" s="10"/>
      <c r="M5" s="10"/>
      <c r="N5" s="10"/>
      <c r="O5" s="10">
        <v>0</v>
      </c>
      <c r="Q5" s="8"/>
      <c r="R5" s="10"/>
    </row>
    <row r="6" spans="1:35" x14ac:dyDescent="0.2">
      <c r="A6" s="8" t="s">
        <v>12</v>
      </c>
      <c r="B6" s="120">
        <v>563382</v>
      </c>
      <c r="C6" s="95">
        <v>0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4057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31824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95"/>
      <c r="W9" s="95"/>
      <c r="X9" s="95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602859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95"/>
      <c r="W10" s="95"/>
      <c r="X10" s="95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A16" s="50"/>
      <c r="B16" s="15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2249017</v>
      </c>
      <c r="C17" s="119">
        <v>9601</v>
      </c>
      <c r="D17" s="120">
        <v>0</v>
      </c>
      <c r="E17" s="120">
        <v>645153</v>
      </c>
      <c r="F17" s="120">
        <v>1392</v>
      </c>
      <c r="G17" s="119">
        <v>415492</v>
      </c>
      <c r="H17" s="10">
        <v>0</v>
      </c>
      <c r="I17" s="10"/>
      <c r="J17" s="10"/>
      <c r="K17" s="119">
        <v>1640753</v>
      </c>
      <c r="L17" s="10"/>
      <c r="M17" s="10"/>
      <c r="N17" s="10"/>
      <c r="O17" s="119">
        <f>SUM(C17:N17)</f>
        <v>2712391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645624</v>
      </c>
      <c r="C18" s="119">
        <v>2237</v>
      </c>
      <c r="D18" s="10">
        <v>0</v>
      </c>
      <c r="E18" s="119">
        <v>30996</v>
      </c>
      <c r="F18" s="119">
        <v>2235</v>
      </c>
      <c r="G18" s="119">
        <v>154549</v>
      </c>
      <c r="H18" s="10">
        <v>0</v>
      </c>
      <c r="I18" s="10"/>
      <c r="J18" s="10"/>
      <c r="K18" s="124"/>
      <c r="L18" s="10"/>
      <c r="M18" s="10"/>
      <c r="N18" s="119">
        <v>142000</v>
      </c>
      <c r="O18" s="119">
        <f>(SUM(C18:H18))+142000</f>
        <v>332017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/>
      <c r="J20" s="59"/>
      <c r="K20" s="59"/>
      <c r="L20" s="59"/>
      <c r="M20" s="59"/>
      <c r="N20" s="59"/>
      <c r="O20" s="59">
        <f>N20</f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28">
        <v>559000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17350.829000000002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SUM(B17:B22)</f>
        <v>3453641</v>
      </c>
      <c r="C23" s="119">
        <f>SUM(C17:C22)</f>
        <v>11838</v>
      </c>
      <c r="D23" s="119">
        <f t="shared" ref="D23:O23" si="0">SUM(D17:D22)</f>
        <v>0</v>
      </c>
      <c r="E23" s="119">
        <f t="shared" si="0"/>
        <v>676149</v>
      </c>
      <c r="F23" s="119">
        <f t="shared" si="0"/>
        <v>3627</v>
      </c>
      <c r="G23" s="119">
        <f t="shared" si="0"/>
        <v>570041</v>
      </c>
      <c r="H23" s="10">
        <f t="shared" si="0"/>
        <v>0</v>
      </c>
      <c r="I23" s="10"/>
      <c r="J23" s="10"/>
      <c r="K23" s="119">
        <f>K17</f>
        <v>1640753</v>
      </c>
      <c r="L23" s="10"/>
      <c r="M23" s="10"/>
      <c r="N23" s="119">
        <f t="shared" si="0"/>
        <v>142000</v>
      </c>
      <c r="O23" s="119">
        <f t="shared" si="0"/>
        <v>3044408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4406.0559999999996</v>
      </c>
      <c r="U24" s="78">
        <f>N43</f>
        <v>0.25393922100206279</v>
      </c>
    </row>
    <row r="25" spans="1:21" x14ac:dyDescent="0.2">
      <c r="A25" s="8" t="s">
        <v>112</v>
      </c>
      <c r="B25" s="119">
        <v>106080</v>
      </c>
      <c r="C25" s="10" t="s">
        <v>123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622.24</v>
      </c>
      <c r="U25" s="79">
        <f>G43</f>
        <v>3.5862263411160354E-2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325.39699999999999</v>
      </c>
      <c r="U27" s="78">
        <f>F43</f>
        <v>1.8753974233738341E-2</v>
      </c>
    </row>
    <row r="28" spans="1:21" x14ac:dyDescent="0.2">
      <c r="A28" s="4" t="s">
        <v>88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1235.2260000000001</v>
      </c>
      <c r="U28" s="78">
        <f>E43</f>
        <v>7.1191180548203198E-2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109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A30" s="50"/>
      <c r="B30" s="11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1640.7529999999999</v>
      </c>
      <c r="U30" s="96">
        <f>K43</f>
        <v>9.4563377922749395E-2</v>
      </c>
    </row>
    <row r="31" spans="1:21" x14ac:dyDescent="0.2">
      <c r="A31" s="8" t="s">
        <v>33</v>
      </c>
      <c r="B31" s="10">
        <v>0</v>
      </c>
      <c r="C31" s="10">
        <v>9345</v>
      </c>
      <c r="D31" s="10">
        <v>0</v>
      </c>
      <c r="E31" s="10">
        <v>0</v>
      </c>
      <c r="F31" s="10">
        <v>754</v>
      </c>
      <c r="G31" s="10">
        <v>0</v>
      </c>
      <c r="H31" s="10">
        <v>0</v>
      </c>
      <c r="I31" s="10"/>
      <c r="J31" s="10"/>
      <c r="K31" s="10"/>
      <c r="L31" s="10"/>
      <c r="N31" s="10">
        <v>7525</v>
      </c>
      <c r="O31" s="10">
        <v>17624</v>
      </c>
      <c r="P31" s="80">
        <f>O31/O$39</f>
        <v>1.012820826685691E-3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178358</v>
      </c>
      <c r="C32" s="148">
        <v>141075</v>
      </c>
      <c r="D32" s="121">
        <v>0</v>
      </c>
      <c r="E32" s="148">
        <f>343335+126642</f>
        <v>469977</v>
      </c>
      <c r="F32" s="10">
        <v>0</v>
      </c>
      <c r="G32" s="121">
        <v>375</v>
      </c>
      <c r="H32" s="10">
        <v>0</v>
      </c>
      <c r="I32" s="10"/>
      <c r="J32" s="10"/>
      <c r="K32" s="10"/>
      <c r="L32" s="149">
        <v>4397778</v>
      </c>
      <c r="N32" s="10">
        <v>613817</v>
      </c>
      <c r="O32" s="10">
        <v>5801380</v>
      </c>
      <c r="P32" s="80">
        <f>O32/O$39</f>
        <v>0.33339528413060793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306842</v>
      </c>
      <c r="C33" s="10">
        <v>16413</v>
      </c>
      <c r="D33" s="10">
        <v>0</v>
      </c>
      <c r="E33" s="146">
        <v>22300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435500</v>
      </c>
      <c r="O33" s="146">
        <f>SUM(B33:N33)</f>
        <v>781055</v>
      </c>
      <c r="P33" s="80">
        <f>O33/O$39</f>
        <v>4.4885881229402652E-2</v>
      </c>
      <c r="Q33" s="81" t="s">
        <v>39</v>
      </c>
      <c r="R33" s="75"/>
      <c r="S33" s="75" t="s">
        <v>35</v>
      </c>
      <c r="T33" s="77">
        <f>C42/1000</f>
        <v>4723.3789999999999</v>
      </c>
      <c r="U33" s="79">
        <f>C43</f>
        <v>0.272227857239559</v>
      </c>
    </row>
    <row r="34" spans="1:48" x14ac:dyDescent="0.2">
      <c r="A34" s="8" t="s">
        <v>40</v>
      </c>
      <c r="B34" s="10">
        <v>0</v>
      </c>
      <c r="C34" s="10">
        <v>3723516</v>
      </c>
      <c r="D34" s="10">
        <v>0</v>
      </c>
      <c r="E34" s="10">
        <v>0</v>
      </c>
      <c r="F34" s="10">
        <v>321016</v>
      </c>
      <c r="G34" s="10">
        <v>0</v>
      </c>
      <c r="H34" s="10">
        <v>0</v>
      </c>
      <c r="I34" s="10"/>
      <c r="J34" s="10"/>
      <c r="K34" s="10"/>
      <c r="L34" s="10"/>
      <c r="N34" s="10">
        <v>160971</v>
      </c>
      <c r="O34" s="10">
        <v>4205502</v>
      </c>
      <c r="P34" s="80">
        <f>O34/O$39</f>
        <v>0.24168293306107164</v>
      </c>
      <c r="Q34" s="81" t="s">
        <v>41</v>
      </c>
      <c r="R34" s="75"/>
      <c r="S34" s="75"/>
      <c r="T34" s="77">
        <f>SUM(T24:T33)</f>
        <v>12953.050999999999</v>
      </c>
      <c r="U34" s="78">
        <f>SUM(U24:U33)</f>
        <v>0.74653787435747299</v>
      </c>
    </row>
    <row r="35" spans="1:48" x14ac:dyDescent="0.2">
      <c r="A35" s="8" t="s">
        <v>42</v>
      </c>
      <c r="B35" s="10">
        <v>379990</v>
      </c>
      <c r="C35" s="10">
        <v>811108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2116011</v>
      </c>
      <c r="O35" s="10">
        <v>3307109</v>
      </c>
      <c r="P35" s="80">
        <f>O35/O$39</f>
        <v>0.19005383972535683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180296</v>
      </c>
      <c r="C36" s="10">
        <v>7971</v>
      </c>
      <c r="D36" s="10">
        <v>0</v>
      </c>
      <c r="E36" s="146">
        <v>39600</v>
      </c>
      <c r="F36" s="10">
        <v>0</v>
      </c>
      <c r="G36" s="10">
        <v>51824</v>
      </c>
      <c r="H36" s="10">
        <v>0</v>
      </c>
      <c r="I36" s="10"/>
      <c r="J36" s="10"/>
      <c r="K36" s="10"/>
      <c r="L36" s="10"/>
      <c r="N36" s="10">
        <v>678519</v>
      </c>
      <c r="O36" s="146">
        <f>SUM(B36:N36)</f>
        <v>958210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1843206</v>
      </c>
      <c r="C37" s="10">
        <v>2113</v>
      </c>
      <c r="D37" s="10">
        <v>0</v>
      </c>
      <c r="E37" s="146">
        <v>27200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447219</v>
      </c>
      <c r="O37" s="146">
        <f>SUM(B37:N37)</f>
        <v>2319738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10288</v>
      </c>
      <c r="O38" s="10">
        <v>10288</v>
      </c>
      <c r="P38" s="81">
        <f>SUM(P31:P35)</f>
        <v>0.81103075897312471</v>
      </c>
      <c r="Q38" s="81"/>
      <c r="R38" s="75"/>
      <c r="S38" s="83" t="s">
        <v>47</v>
      </c>
      <c r="T38" s="86">
        <f>O45/1000</f>
        <v>836.61699999999996</v>
      </c>
      <c r="U38" s="83"/>
    </row>
    <row r="39" spans="1:48" x14ac:dyDescent="0.2">
      <c r="A39" s="8" t="s">
        <v>16</v>
      </c>
      <c r="B39" s="10">
        <v>2888692</v>
      </c>
      <c r="C39" s="147">
        <f>SUM(C31:C38)</f>
        <v>4711541</v>
      </c>
      <c r="D39" s="121">
        <v>0</v>
      </c>
      <c r="E39" s="146">
        <f>SUM(E31:E38)</f>
        <v>559077</v>
      </c>
      <c r="F39" s="10">
        <v>321770</v>
      </c>
      <c r="G39" s="121">
        <f>SUM(G30:G38)</f>
        <v>52199</v>
      </c>
      <c r="H39" s="10">
        <v>0</v>
      </c>
      <c r="I39" s="10"/>
      <c r="J39" s="10"/>
      <c r="K39" s="10"/>
      <c r="L39" s="149">
        <f>L32</f>
        <v>4397778</v>
      </c>
      <c r="N39" s="10">
        <v>4469850</v>
      </c>
      <c r="O39" s="146">
        <f>SUM(O31:O38)</f>
        <v>17400906</v>
      </c>
      <c r="P39" s="75"/>
      <c r="Q39" s="75"/>
      <c r="R39" s="75"/>
      <c r="S39" s="83" t="s">
        <v>48</v>
      </c>
      <c r="T39" s="90">
        <f>O41/1000</f>
        <v>3288.2359999999999</v>
      </c>
      <c r="U39" s="78">
        <f>P41</f>
        <v>0.18896924102687526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3307.1089999999999</v>
      </c>
      <c r="U40" s="79">
        <f>P35</f>
        <v>0.19005383972535683</v>
      </c>
    </row>
    <row r="41" spans="1:48" x14ac:dyDescent="0.2">
      <c r="A41" s="14" t="s">
        <v>50</v>
      </c>
      <c r="B41" s="85">
        <f>B38+B37+B36</f>
        <v>2023502</v>
      </c>
      <c r="C41" s="85">
        <f t="shared" ref="C41:O41" si="1">C38+C37+C36</f>
        <v>10084</v>
      </c>
      <c r="D41" s="85">
        <f t="shared" si="1"/>
        <v>0</v>
      </c>
      <c r="E41" s="85">
        <f t="shared" si="1"/>
        <v>66800</v>
      </c>
      <c r="F41" s="85">
        <f t="shared" si="1"/>
        <v>0</v>
      </c>
      <c r="G41" s="85">
        <f t="shared" si="1"/>
        <v>51824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1136026</v>
      </c>
      <c r="O41" s="85">
        <f t="shared" si="1"/>
        <v>3288236</v>
      </c>
      <c r="P41" s="80">
        <f>O41/O$39</f>
        <v>0.18896924102687526</v>
      </c>
      <c r="Q41" s="80" t="s">
        <v>51</v>
      </c>
      <c r="R41" s="83"/>
      <c r="S41" s="83" t="s">
        <v>52</v>
      </c>
      <c r="T41" s="90">
        <f>O33/1000</f>
        <v>781.05499999999995</v>
      </c>
      <c r="U41" s="78">
        <f>P33</f>
        <v>4.4885881229402652E-2</v>
      </c>
    </row>
    <row r="42" spans="1:48" x14ac:dyDescent="0.2">
      <c r="A42" s="15" t="s">
        <v>53</v>
      </c>
      <c r="B42" s="85"/>
      <c r="C42" s="88">
        <f>C39+C23+C10</f>
        <v>4723379</v>
      </c>
      <c r="D42" s="88">
        <f t="shared" ref="D42:M42" si="2">D39+D23+D10</f>
        <v>0</v>
      </c>
      <c r="E42" s="88">
        <f t="shared" si="2"/>
        <v>1235226</v>
      </c>
      <c r="F42" s="88">
        <f t="shared" si="2"/>
        <v>325397</v>
      </c>
      <c r="G42" s="88">
        <f t="shared" si="2"/>
        <v>622240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1640753</v>
      </c>
      <c r="L42" s="88">
        <f t="shared" si="2"/>
        <v>4397778</v>
      </c>
      <c r="M42" s="88">
        <f t="shared" si="2"/>
        <v>0</v>
      </c>
      <c r="N42" s="88">
        <f>N39+N23-B6+N45</f>
        <v>4406056</v>
      </c>
      <c r="O42" s="89">
        <f>SUM(C42:N42)</f>
        <v>17350829</v>
      </c>
      <c r="P42" s="83"/>
      <c r="Q42" s="83"/>
      <c r="R42" s="83"/>
      <c r="S42" s="83" t="s">
        <v>34</v>
      </c>
      <c r="T42" s="90">
        <f>O31/1000</f>
        <v>17.623999999999999</v>
      </c>
      <c r="U42" s="78">
        <f>P31</f>
        <v>1.012820826685691E-3</v>
      </c>
    </row>
    <row r="43" spans="1:48" x14ac:dyDescent="0.2">
      <c r="A43" s="15" t="s">
        <v>54</v>
      </c>
      <c r="B43" s="85"/>
      <c r="C43" s="80">
        <f t="shared" ref="C43:N43" si="3">C42/$O42</f>
        <v>0.272227857239559</v>
      </c>
      <c r="D43" s="80">
        <f t="shared" si="3"/>
        <v>0</v>
      </c>
      <c r="E43" s="80">
        <f t="shared" si="3"/>
        <v>7.1191180548203198E-2</v>
      </c>
      <c r="F43" s="80">
        <f t="shared" si="3"/>
        <v>1.8753974233738341E-2</v>
      </c>
      <c r="G43" s="80">
        <f t="shared" si="3"/>
        <v>3.5862263411160354E-2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9.4563377922749395E-2</v>
      </c>
      <c r="L43" s="80">
        <f t="shared" si="3"/>
        <v>0.25346212564252696</v>
      </c>
      <c r="M43" s="80">
        <f t="shared" si="3"/>
        <v>0</v>
      </c>
      <c r="N43" s="80">
        <f t="shared" si="3"/>
        <v>0.25393922100206279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5801.38</v>
      </c>
      <c r="U43" s="79">
        <f>P32</f>
        <v>0.33339528413060793</v>
      </c>
    </row>
    <row r="44" spans="1:48" x14ac:dyDescent="0.2">
      <c r="A44" s="131" t="s">
        <v>117</v>
      </c>
      <c r="B44" s="119">
        <v>192000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4205.5020000000004</v>
      </c>
      <c r="U44" s="79">
        <f>P34</f>
        <v>0.24168293306107164</v>
      </c>
    </row>
    <row r="45" spans="1:48" x14ac:dyDescent="0.2">
      <c r="A45" s="6" t="s">
        <v>57</v>
      </c>
      <c r="B45" s="91">
        <f>B23+B25-B39-B44</f>
        <v>479029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357588</v>
      </c>
      <c r="O45" s="89">
        <f>B45+N45</f>
        <v>836617</v>
      </c>
      <c r="P45" s="83"/>
      <c r="Q45" s="83"/>
      <c r="R45" s="83"/>
      <c r="S45" s="83" t="s">
        <v>58</v>
      </c>
      <c r="T45" s="90">
        <f>SUM(T39:T44)</f>
        <v>17400.905999999999</v>
      </c>
      <c r="U45" s="78">
        <f>SUM(U39:U44)</f>
        <v>1</v>
      </c>
    </row>
    <row r="46" spans="1:48" x14ac:dyDescent="0.2">
      <c r="A46" s="6"/>
      <c r="B46" s="93">
        <f>B45/(B23+B25)</f>
        <v>0.13456925416345833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16"/>
      <c r="B47" s="9"/>
      <c r="C47" s="16"/>
      <c r="D47" s="16"/>
      <c r="E47" s="16"/>
      <c r="F47" s="16"/>
      <c r="G47" s="16"/>
      <c r="H47" s="16"/>
      <c r="I47" s="9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7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7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9"/>
      <c r="H48" s="17"/>
      <c r="I48" s="16"/>
      <c r="J48" s="16"/>
      <c r="K48" s="9"/>
      <c r="L48" s="9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P50" s="16"/>
      <c r="Q50" s="16"/>
      <c r="R50" s="16"/>
      <c r="S50" s="4"/>
      <c r="T50" s="17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P52" s="16"/>
      <c r="Q52" s="16"/>
      <c r="R52" s="16"/>
      <c r="S52" s="4"/>
      <c r="T52" s="17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P57" s="6"/>
      <c r="Q57" s="12"/>
      <c r="R57" s="7"/>
      <c r="S57" s="7"/>
      <c r="T57" s="6"/>
      <c r="U57" s="27"/>
    </row>
    <row r="58" spans="1:48" x14ac:dyDescent="0.2">
      <c r="P58" s="6"/>
      <c r="Q58" s="12"/>
      <c r="R58" s="7"/>
      <c r="S58" s="7"/>
      <c r="T58" s="6"/>
      <c r="U58" s="27"/>
    </row>
    <row r="59" spans="1:48" x14ac:dyDescent="0.2">
      <c r="P59" s="6"/>
      <c r="Q59" s="12"/>
      <c r="R59" s="7"/>
      <c r="S59" s="7"/>
      <c r="T59" s="6"/>
      <c r="U59" s="27"/>
    </row>
    <row r="60" spans="1:48" x14ac:dyDescent="0.2"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1" enableFormatConditionsCalculation="0"/>
  <dimension ref="A1:AV70"/>
  <sheetViews>
    <sheetView zoomScale="80" zoomScaleNormal="80" zoomScalePageLayoutView="80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8.83203125" style="2" customWidth="1"/>
    <col min="13" max="13" width="5.5" style="2" customWidth="1"/>
    <col min="14" max="14" width="8.83203125" style="2"/>
    <col min="15" max="15" width="10.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89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492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118668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119160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89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 t="s">
        <v>113</v>
      </c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389892</v>
      </c>
      <c r="C17" s="10">
        <v>428</v>
      </c>
      <c r="D17" s="128">
        <v>0</v>
      </c>
      <c r="E17" s="10">
        <v>0</v>
      </c>
      <c r="F17" s="10">
        <v>0</v>
      </c>
      <c r="G17" s="119">
        <f>456685-95000</f>
        <v>361685</v>
      </c>
      <c r="H17" s="10">
        <v>0</v>
      </c>
      <c r="I17" s="10"/>
      <c r="J17" s="119">
        <v>14267</v>
      </c>
      <c r="K17" s="10"/>
      <c r="L17" s="119">
        <f>(52+43)*1000</f>
        <v>95000</v>
      </c>
      <c r="M17" s="10"/>
      <c r="N17" s="10"/>
      <c r="O17" s="119">
        <v>471380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1539.0676799999999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389892</v>
      </c>
      <c r="C23" s="10">
        <v>428</v>
      </c>
      <c r="D23" s="119">
        <f>D17</f>
        <v>0</v>
      </c>
      <c r="E23" s="10">
        <v>0</v>
      </c>
      <c r="F23" s="10">
        <v>0</v>
      </c>
      <c r="G23" s="119">
        <f>G17</f>
        <v>361685</v>
      </c>
      <c r="H23" s="10">
        <v>0</v>
      </c>
      <c r="I23" s="10"/>
      <c r="J23" s="119">
        <f>J17</f>
        <v>14267</v>
      </c>
      <c r="K23" s="10"/>
      <c r="L23" s="119">
        <f>L17</f>
        <v>95000</v>
      </c>
      <c r="M23" s="10"/>
      <c r="N23" s="10"/>
      <c r="O23" s="119">
        <f>SUM(C23:N23)</f>
        <v>471380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486.64067999999997</v>
      </c>
      <c r="U24" s="78">
        <f>N43</f>
        <v>0.31619186493475065</v>
      </c>
    </row>
    <row r="25" spans="1:21" x14ac:dyDescent="0.2">
      <c r="B25" s="10"/>
      <c r="C25" s="10"/>
      <c r="D25" s="10"/>
      <c r="E25" s="10"/>
      <c r="F25" s="10"/>
      <c r="G25" s="74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382.48500000000001</v>
      </c>
      <c r="U25" s="79">
        <f>G43</f>
        <v>0.24851733615769256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14.266999999999999</v>
      </c>
      <c r="U26" s="78">
        <f>J43</f>
        <v>9.2698977344518076E-3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38.375</v>
      </c>
      <c r="U27" s="78">
        <f>F43</f>
        <v>2.4933926232535791E-2</v>
      </c>
    </row>
    <row r="28" spans="1:21" x14ac:dyDescent="0.2">
      <c r="A28" s="4" t="s">
        <v>89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23.007999999999999</v>
      </c>
      <c r="U28" s="78">
        <f>E43</f>
        <v>1.4949310091418462E-2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A30" s="5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652</v>
      </c>
      <c r="D31" s="10">
        <v>0</v>
      </c>
      <c r="E31" s="10">
        <v>0</v>
      </c>
      <c r="F31" s="10">
        <v>67</v>
      </c>
      <c r="G31" s="10">
        <v>0</v>
      </c>
      <c r="H31" s="10">
        <v>0</v>
      </c>
      <c r="I31" s="10"/>
      <c r="J31" s="10"/>
      <c r="K31" s="10"/>
      <c r="L31" s="10"/>
      <c r="N31" s="10">
        <v>3473</v>
      </c>
      <c r="O31" s="10">
        <v>4192</v>
      </c>
      <c r="P31" s="80">
        <f>O31/O$39</f>
        <v>2.9878021835474163E-3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25715</v>
      </c>
      <c r="C32" s="121">
        <f>C39-SUM(C33:C38,C31)</f>
        <v>6344</v>
      </c>
      <c r="D32" s="10">
        <v>0</v>
      </c>
      <c r="E32" s="147">
        <v>23008</v>
      </c>
      <c r="F32" s="10">
        <v>0</v>
      </c>
      <c r="G32" s="121">
        <v>0</v>
      </c>
      <c r="H32" s="10">
        <v>0</v>
      </c>
      <c r="I32" s="10"/>
      <c r="J32" s="10"/>
      <c r="K32" s="10"/>
      <c r="L32" s="149">
        <v>12138</v>
      </c>
      <c r="N32" s="10">
        <v>85164</v>
      </c>
      <c r="O32" s="149">
        <f>SUM(B32:N32)</f>
        <v>152369</v>
      </c>
      <c r="P32" s="80">
        <f>O32/O$39</f>
        <v>0.10859933943342946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41198</v>
      </c>
      <c r="C33" s="10">
        <v>1271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105549</v>
      </c>
      <c r="O33" s="10">
        <v>148018</v>
      </c>
      <c r="P33" s="80">
        <f>O33/O$39</f>
        <v>0.10549821173767211</v>
      </c>
      <c r="Q33" s="81" t="s">
        <v>39</v>
      </c>
      <c r="R33" s="75"/>
      <c r="S33" s="75" t="s">
        <v>35</v>
      </c>
      <c r="T33" s="77">
        <f>C42/1000</f>
        <v>487.154</v>
      </c>
      <c r="U33" s="79">
        <f>C43</f>
        <v>0.31652539152794112</v>
      </c>
    </row>
    <row r="34" spans="1:48" x14ac:dyDescent="0.2">
      <c r="A34" s="8" t="s">
        <v>40</v>
      </c>
      <c r="B34" s="10">
        <v>0</v>
      </c>
      <c r="C34" s="10">
        <v>466644</v>
      </c>
      <c r="D34" s="10">
        <v>0</v>
      </c>
      <c r="E34" s="10">
        <v>0</v>
      </c>
      <c r="F34" s="10">
        <v>38308</v>
      </c>
      <c r="G34" s="10">
        <v>0</v>
      </c>
      <c r="H34" s="10">
        <v>0</v>
      </c>
      <c r="I34" s="10"/>
      <c r="J34" s="10"/>
      <c r="K34" s="10"/>
      <c r="L34" s="10"/>
      <c r="N34" s="10">
        <v>1867</v>
      </c>
      <c r="O34" s="10">
        <v>506818</v>
      </c>
      <c r="P34" s="80">
        <f>O34/O$39</f>
        <v>0.36122899023404925</v>
      </c>
      <c r="Q34" s="81" t="s">
        <v>41</v>
      </c>
      <c r="R34" s="75"/>
      <c r="S34" s="75"/>
      <c r="T34" s="77">
        <f>SUM(T24:T33)</f>
        <v>1431.9296800000002</v>
      </c>
      <c r="U34" s="78">
        <f>SUM(U24:U33)</f>
        <v>0.93038772667879044</v>
      </c>
    </row>
    <row r="35" spans="1:48" x14ac:dyDescent="0.2">
      <c r="A35" s="8" t="s">
        <v>42</v>
      </c>
      <c r="B35" s="10">
        <v>57662</v>
      </c>
      <c r="C35" s="10">
        <v>10671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160985</v>
      </c>
      <c r="O35" s="10">
        <v>229318</v>
      </c>
      <c r="P35" s="80">
        <f>O35/O$39</f>
        <v>0.16344389816954352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22452</v>
      </c>
      <c r="C36" s="121">
        <f>O36-SUM(B36,D36:N36)</f>
        <v>1017</v>
      </c>
      <c r="D36" s="10">
        <v>0</v>
      </c>
      <c r="E36" s="10">
        <v>0</v>
      </c>
      <c r="F36" s="10">
        <v>0</v>
      </c>
      <c r="G36" s="121">
        <v>20800</v>
      </c>
      <c r="H36" s="10">
        <v>0</v>
      </c>
      <c r="I36" s="10"/>
      <c r="J36" s="10"/>
      <c r="K36" s="10"/>
      <c r="L36" s="10"/>
      <c r="N36" s="10">
        <v>161514</v>
      </c>
      <c r="O36" s="10">
        <v>205783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114493</v>
      </c>
      <c r="C37" s="10">
        <v>127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39832</v>
      </c>
      <c r="O37" s="10">
        <v>154452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2087</v>
      </c>
      <c r="O38" s="10">
        <v>2087</v>
      </c>
      <c r="P38" s="81">
        <f>SUM(P31:P35)</f>
        <v>0.74175824175824179</v>
      </c>
      <c r="Q38" s="81"/>
      <c r="R38" s="75"/>
      <c r="S38" s="83" t="s">
        <v>47</v>
      </c>
      <c r="T38" s="86">
        <f>O45/1000</f>
        <v>67.129679999999993</v>
      </c>
      <c r="U38" s="83"/>
    </row>
    <row r="39" spans="1:48" x14ac:dyDescent="0.2">
      <c r="A39" s="8" t="s">
        <v>16</v>
      </c>
      <c r="B39" s="10">
        <v>261520</v>
      </c>
      <c r="C39" s="10">
        <v>486726</v>
      </c>
      <c r="D39" s="10">
        <v>0</v>
      </c>
      <c r="E39" s="147">
        <f>E32</f>
        <v>23008</v>
      </c>
      <c r="F39" s="10">
        <v>38375</v>
      </c>
      <c r="G39" s="121">
        <f>G36</f>
        <v>20800</v>
      </c>
      <c r="H39" s="10">
        <v>0</v>
      </c>
      <c r="I39" s="10"/>
      <c r="J39" s="10"/>
      <c r="K39" s="10"/>
      <c r="L39" s="149">
        <f>L32</f>
        <v>12138</v>
      </c>
      <c r="N39" s="10">
        <v>560471</v>
      </c>
      <c r="O39" s="149">
        <v>1403038</v>
      </c>
      <c r="P39" s="75"/>
      <c r="Q39" s="75"/>
      <c r="R39" s="75"/>
      <c r="S39" s="83" t="s">
        <v>48</v>
      </c>
      <c r="T39" s="90">
        <f>O41/1000</f>
        <v>362.322</v>
      </c>
      <c r="U39" s="78">
        <f>P41</f>
        <v>0.25824104550268773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229.31800000000001</v>
      </c>
      <c r="U40" s="79">
        <f>P35</f>
        <v>0.16344389816954352</v>
      </c>
    </row>
    <row r="41" spans="1:48" x14ac:dyDescent="0.2">
      <c r="A41" s="14" t="s">
        <v>50</v>
      </c>
      <c r="B41" s="85">
        <f>B38+B37+B36</f>
        <v>136945</v>
      </c>
      <c r="C41" s="85">
        <f t="shared" ref="C41:O41" si="0">C38+C37+C36</f>
        <v>1144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20800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203433</v>
      </c>
      <c r="O41" s="85">
        <f t="shared" si="0"/>
        <v>362322</v>
      </c>
      <c r="P41" s="80">
        <f>O41/O$39</f>
        <v>0.25824104550268773</v>
      </c>
      <c r="Q41" s="80" t="s">
        <v>51</v>
      </c>
      <c r="R41" s="83"/>
      <c r="S41" s="83" t="s">
        <v>52</v>
      </c>
      <c r="T41" s="90">
        <f>O33/1000</f>
        <v>148.018</v>
      </c>
      <c r="U41" s="78">
        <f>P33</f>
        <v>0.10549821173767211</v>
      </c>
    </row>
    <row r="42" spans="1:48" x14ac:dyDescent="0.2">
      <c r="A42" s="15" t="s">
        <v>53</v>
      </c>
      <c r="B42" s="85"/>
      <c r="C42" s="88">
        <f>C39+C23+C10</f>
        <v>487154</v>
      </c>
      <c r="D42" s="88">
        <f t="shared" ref="D42:M42" si="1">D39+D23+D10</f>
        <v>0</v>
      </c>
      <c r="E42" s="88">
        <f t="shared" si="1"/>
        <v>23008</v>
      </c>
      <c r="F42" s="88">
        <f t="shared" si="1"/>
        <v>38375</v>
      </c>
      <c r="G42" s="88">
        <f t="shared" si="1"/>
        <v>382485</v>
      </c>
      <c r="H42" s="88">
        <f t="shared" si="1"/>
        <v>0</v>
      </c>
      <c r="I42" s="88">
        <f t="shared" si="1"/>
        <v>0</v>
      </c>
      <c r="J42" s="88">
        <f t="shared" si="1"/>
        <v>14267</v>
      </c>
      <c r="K42" s="88">
        <f t="shared" si="1"/>
        <v>0</v>
      </c>
      <c r="L42" s="88">
        <f t="shared" si="1"/>
        <v>107138</v>
      </c>
      <c r="M42" s="88">
        <f t="shared" si="1"/>
        <v>0</v>
      </c>
      <c r="N42" s="88">
        <f>N39+N23-B6+N45</f>
        <v>486640.68</v>
      </c>
      <c r="O42" s="89">
        <f>SUM(C42:N42)</f>
        <v>1539067.68</v>
      </c>
      <c r="P42" s="83"/>
      <c r="Q42" s="83"/>
      <c r="R42" s="83"/>
      <c r="S42" s="83" t="s">
        <v>34</v>
      </c>
      <c r="T42" s="90">
        <f>O31/1000</f>
        <v>4.1920000000000002</v>
      </c>
      <c r="U42" s="78">
        <f>P31</f>
        <v>2.9878021835474163E-3</v>
      </c>
    </row>
    <row r="43" spans="1:48" x14ac:dyDescent="0.2">
      <c r="A43" s="15" t="s">
        <v>54</v>
      </c>
      <c r="B43" s="85"/>
      <c r="C43" s="80">
        <f t="shared" ref="C43:N43" si="2">C42/$O42</f>
        <v>0.31652539152794112</v>
      </c>
      <c r="D43" s="80">
        <f t="shared" si="2"/>
        <v>0</v>
      </c>
      <c r="E43" s="80">
        <f t="shared" si="2"/>
        <v>1.4949310091418462E-2</v>
      </c>
      <c r="F43" s="80">
        <f t="shared" si="2"/>
        <v>2.4933926232535791E-2</v>
      </c>
      <c r="G43" s="80">
        <f t="shared" si="2"/>
        <v>0.24851733615769256</v>
      </c>
      <c r="H43" s="80">
        <f t="shared" si="2"/>
        <v>0</v>
      </c>
      <c r="I43" s="80">
        <f t="shared" si="2"/>
        <v>0</v>
      </c>
      <c r="J43" s="80">
        <f t="shared" si="2"/>
        <v>9.2698977344518076E-3</v>
      </c>
      <c r="K43" s="80">
        <f t="shared" si="2"/>
        <v>0</v>
      </c>
      <c r="L43" s="80">
        <f t="shared" si="2"/>
        <v>6.9612273321209631E-2</v>
      </c>
      <c r="M43" s="80">
        <f t="shared" si="2"/>
        <v>0</v>
      </c>
      <c r="N43" s="80">
        <f t="shared" si="2"/>
        <v>0.31619186493475065</v>
      </c>
      <c r="O43" s="80">
        <f>SUM(C43:N43)</f>
        <v>1.0000000000000002</v>
      </c>
      <c r="P43" s="83"/>
      <c r="Q43" s="83"/>
      <c r="R43" s="83"/>
      <c r="S43" s="83" t="s">
        <v>55</v>
      </c>
      <c r="T43" s="90">
        <f>O32/1000</f>
        <v>152.369</v>
      </c>
      <c r="U43" s="79">
        <f>P32</f>
        <v>0.10859933943342946</v>
      </c>
    </row>
    <row r="44" spans="1:48" x14ac:dyDescent="0.2">
      <c r="A44" s="6" t="s">
        <v>117</v>
      </c>
      <c r="B44" s="119">
        <f>367600-B39</f>
        <v>106080</v>
      </c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506.81799999999998</v>
      </c>
      <c r="U44" s="79">
        <f>P34</f>
        <v>0.36122899023404925</v>
      </c>
    </row>
    <row r="45" spans="1:48" x14ac:dyDescent="0.2">
      <c r="A45" s="6" t="s">
        <v>57</v>
      </c>
      <c r="B45" s="91">
        <f>B23-B39-B44</f>
        <v>22292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44837.68</v>
      </c>
      <c r="O45" s="89">
        <f>B45+N45</f>
        <v>67129.679999999993</v>
      </c>
      <c r="P45" s="83"/>
      <c r="Q45" s="83"/>
      <c r="R45" s="83"/>
      <c r="S45" s="83" t="s">
        <v>58</v>
      </c>
      <c r="T45" s="90">
        <f>SUM(T39:T44)</f>
        <v>1403.037</v>
      </c>
      <c r="U45" s="78">
        <f>SUM(U39:U44)</f>
        <v>0.99999928726092957</v>
      </c>
    </row>
    <row r="46" spans="1:48" x14ac:dyDescent="0.2">
      <c r="A46" s="6"/>
      <c r="B46" s="93">
        <f>B45/B23</f>
        <v>5.7174807382557223E-2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1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6" width="9" style="2" bestFit="1" customWidth="1"/>
    <col min="7" max="7" width="14" style="2" bestFit="1" customWidth="1"/>
    <col min="8" max="11" width="9" style="2" bestFit="1" customWidth="1"/>
    <col min="12" max="12" width="6" style="2" customWidth="1"/>
    <col min="13" max="13" width="7.83203125" style="2" customWidth="1"/>
    <col min="14" max="14" width="9" style="2" bestFit="1" customWidth="1"/>
    <col min="15" max="15" width="14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90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1080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6800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14258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22138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M15" s="91" t="s">
        <v>115</v>
      </c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A16" s="43"/>
      <c r="C16" s="10"/>
      <c r="D16" s="10"/>
      <c r="E16" s="10"/>
      <c r="F16" s="10"/>
      <c r="G16" s="10"/>
      <c r="H16" s="10"/>
      <c r="I16" s="10"/>
      <c r="J16" s="10"/>
      <c r="K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59">
        <v>94800</v>
      </c>
      <c r="C17" s="10">
        <v>0</v>
      </c>
      <c r="D17" s="10">
        <v>0</v>
      </c>
      <c r="E17" s="10">
        <v>0</v>
      </c>
      <c r="F17" s="10">
        <v>160</v>
      </c>
      <c r="G17" s="119">
        <v>95600</v>
      </c>
      <c r="H17" s="10">
        <v>0</v>
      </c>
      <c r="I17" s="10"/>
      <c r="J17" s="10"/>
      <c r="K17" s="10"/>
      <c r="M17" s="119">
        <v>1500</v>
      </c>
      <c r="N17" s="10"/>
      <c r="O17" s="119">
        <f t="shared" ref="O17:O23" si="0">SUM(C17:M17)</f>
        <v>97260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5104</v>
      </c>
      <c r="C18" s="10">
        <v>80</v>
      </c>
      <c r="D18" s="10">
        <v>0</v>
      </c>
      <c r="E18" s="10">
        <v>0</v>
      </c>
      <c r="F18" s="10">
        <v>0</v>
      </c>
      <c r="G18" s="119">
        <v>5200</v>
      </c>
      <c r="H18" s="10">
        <v>0</v>
      </c>
      <c r="I18" s="10"/>
      <c r="J18" s="10"/>
      <c r="K18" s="10"/>
      <c r="M18" s="119">
        <v>200</v>
      </c>
      <c r="N18" s="10"/>
      <c r="O18" s="119">
        <f t="shared" si="0"/>
        <v>5480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M19" s="10"/>
      <c r="N19" s="10"/>
      <c r="O19" s="59">
        <f t="shared" si="0"/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M20" s="10"/>
      <c r="N20" s="10"/>
      <c r="O20" s="59">
        <f t="shared" si="0"/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M21" s="10"/>
      <c r="N21" s="10"/>
      <c r="O21" s="59">
        <f t="shared" si="0"/>
        <v>0</v>
      </c>
      <c r="P21" s="75"/>
      <c r="Q21" s="75"/>
      <c r="R21" s="75"/>
      <c r="S21" s="75" t="s">
        <v>26</v>
      </c>
      <c r="T21" s="76">
        <f>O42/1000</f>
        <v>930.83032000000003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M22" s="10"/>
      <c r="N22" s="10"/>
      <c r="O22" s="59">
        <f t="shared" si="0"/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99904</v>
      </c>
      <c r="C23" s="10">
        <v>80</v>
      </c>
      <c r="D23" s="10">
        <v>0</v>
      </c>
      <c r="E23" s="10">
        <v>0</v>
      </c>
      <c r="F23" s="10">
        <v>160</v>
      </c>
      <c r="G23" s="119">
        <f>SUM(G17:G18)</f>
        <v>100800</v>
      </c>
      <c r="H23" s="10">
        <v>0</v>
      </c>
      <c r="I23" s="10"/>
      <c r="J23" s="10"/>
      <c r="K23" s="10"/>
      <c r="M23" s="119">
        <v>1700</v>
      </c>
      <c r="N23" s="10"/>
      <c r="O23" s="119">
        <f t="shared" si="0"/>
        <v>102740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373.76931999999999</v>
      </c>
      <c r="U24" s="78">
        <f>N43</f>
        <v>0.40154398924177714</v>
      </c>
    </row>
    <row r="25" spans="1:21" x14ac:dyDescent="0.2">
      <c r="A25" s="129" t="s">
        <v>112</v>
      </c>
      <c r="B25" s="119">
        <v>28000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133.37100000000001</v>
      </c>
      <c r="U25" s="79">
        <f>G43</f>
        <v>0.14328175300520937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29.585999999999999</v>
      </c>
      <c r="U27" s="78">
        <f>F43</f>
        <v>3.1784525454649992E-2</v>
      </c>
    </row>
    <row r="28" spans="1:21" x14ac:dyDescent="0.2">
      <c r="A28" s="4" t="s">
        <v>90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14.428000000000001</v>
      </c>
      <c r="U28" s="78">
        <f>E43</f>
        <v>1.5500139703227543E-2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3140</v>
      </c>
      <c r="D31" s="10">
        <v>0</v>
      </c>
      <c r="E31" s="10">
        <v>0</v>
      </c>
      <c r="F31" s="10">
        <v>307</v>
      </c>
      <c r="G31" s="10">
        <v>0</v>
      </c>
      <c r="H31" s="10">
        <v>0</v>
      </c>
      <c r="I31" s="10"/>
      <c r="J31" s="10"/>
      <c r="K31" s="10"/>
      <c r="L31" s="10"/>
      <c r="N31" s="10">
        <v>11031</v>
      </c>
      <c r="O31" s="10">
        <v>14479</v>
      </c>
      <c r="P31" s="80">
        <f>O31/O$39</f>
        <v>1.569450827704021E-2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8411</v>
      </c>
      <c r="C32" s="10">
        <v>1700</v>
      </c>
      <c r="D32" s="10">
        <v>0</v>
      </c>
      <c r="E32" s="121">
        <f>O32-SUM(F32:N32,B32:C32)</f>
        <v>14428</v>
      </c>
      <c r="F32" s="10">
        <v>0</v>
      </c>
      <c r="G32" s="10">
        <v>306</v>
      </c>
      <c r="H32" s="10">
        <v>0</v>
      </c>
      <c r="I32" s="10"/>
      <c r="J32" s="10"/>
      <c r="K32" s="10"/>
      <c r="L32" s="10"/>
      <c r="N32" s="121">
        <v>47893</v>
      </c>
      <c r="O32" s="10">
        <v>72738</v>
      </c>
      <c r="P32" s="80">
        <f>O32/O$39</f>
        <v>7.8844336145821592E-2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24560</v>
      </c>
      <c r="C33" s="10">
        <v>1816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39744</v>
      </c>
      <c r="O33" s="10">
        <v>66120</v>
      </c>
      <c r="P33" s="80">
        <f>O33/O$39</f>
        <v>7.1670756770350078E-2</v>
      </c>
      <c r="Q33" s="81" t="s">
        <v>39</v>
      </c>
      <c r="R33" s="75"/>
      <c r="S33" s="75" t="s">
        <v>35</v>
      </c>
      <c r="T33" s="77">
        <f>C42/1000</f>
        <v>377.976</v>
      </c>
      <c r="U33" s="79">
        <f>C43</f>
        <v>0.40606326618153132</v>
      </c>
    </row>
    <row r="34" spans="1:48" x14ac:dyDescent="0.2">
      <c r="A34" s="8" t="s">
        <v>40</v>
      </c>
      <c r="B34" s="10">
        <v>0</v>
      </c>
      <c r="C34" s="10">
        <v>368843</v>
      </c>
      <c r="D34" s="10">
        <v>0</v>
      </c>
      <c r="E34" s="10">
        <v>0</v>
      </c>
      <c r="F34" s="10">
        <v>29119</v>
      </c>
      <c r="G34" s="10">
        <v>0</v>
      </c>
      <c r="H34" s="10">
        <v>0</v>
      </c>
      <c r="I34" s="10"/>
      <c r="J34" s="10"/>
      <c r="K34" s="10"/>
      <c r="L34" s="10"/>
      <c r="N34" s="10">
        <v>966</v>
      </c>
      <c r="O34" s="10">
        <v>398928</v>
      </c>
      <c r="P34" s="80">
        <f>O34/O$39</f>
        <v>0.43241790164673644</v>
      </c>
      <c r="Q34" s="81" t="s">
        <v>41</v>
      </c>
      <c r="R34" s="75"/>
      <c r="S34" s="75"/>
      <c r="T34" s="77">
        <f>SUM(T24:T33)</f>
        <v>929.13031999999998</v>
      </c>
      <c r="U34" s="78">
        <f>SUM(U24:U33)</f>
        <v>0.9981736735863953</v>
      </c>
    </row>
    <row r="35" spans="1:48" x14ac:dyDescent="0.2">
      <c r="A35" s="8" t="s">
        <v>42</v>
      </c>
      <c r="B35" s="10">
        <v>10884</v>
      </c>
      <c r="C35" s="10">
        <v>1938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77622</v>
      </c>
      <c r="O35" s="10">
        <v>90445</v>
      </c>
      <c r="P35" s="80">
        <f>O35/O$39</f>
        <v>9.8037834181704669E-2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6540</v>
      </c>
      <c r="C36" s="10">
        <v>426</v>
      </c>
      <c r="D36" s="10">
        <v>0</v>
      </c>
      <c r="E36" s="10">
        <v>0</v>
      </c>
      <c r="F36" s="10">
        <v>0</v>
      </c>
      <c r="G36" s="10">
        <v>32264</v>
      </c>
      <c r="H36" s="10">
        <v>0</v>
      </c>
      <c r="I36" s="10"/>
      <c r="J36" s="10"/>
      <c r="K36" s="10"/>
      <c r="L36" s="10"/>
      <c r="N36" s="10">
        <v>138398</v>
      </c>
      <c r="O36" s="10">
        <v>177628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65456</v>
      </c>
      <c r="C37" s="10">
        <v>33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20530</v>
      </c>
      <c r="O37" s="10">
        <v>86019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16195</v>
      </c>
      <c r="O38" s="10">
        <v>16195</v>
      </c>
      <c r="P38" s="81">
        <f>SUM(P31:P35)</f>
        <v>0.69666533702165301</v>
      </c>
      <c r="Q38" s="81"/>
      <c r="R38" s="75"/>
      <c r="S38" s="83" t="s">
        <v>47</v>
      </c>
      <c r="T38" s="86">
        <f>O45/1000</f>
        <v>40.243319999999997</v>
      </c>
      <c r="U38" s="83"/>
    </row>
    <row r="39" spans="1:48" x14ac:dyDescent="0.2">
      <c r="A39" s="8" t="s">
        <v>16</v>
      </c>
      <c r="B39" s="10">
        <v>115851</v>
      </c>
      <c r="C39" s="10">
        <v>377896</v>
      </c>
      <c r="D39" s="10">
        <v>0</v>
      </c>
      <c r="E39" s="121">
        <f>E32</f>
        <v>14428</v>
      </c>
      <c r="F39" s="10">
        <v>29426</v>
      </c>
      <c r="G39" s="10">
        <v>32571</v>
      </c>
      <c r="H39" s="10">
        <v>0</v>
      </c>
      <c r="I39" s="10"/>
      <c r="J39" s="10"/>
      <c r="K39" s="10"/>
      <c r="L39" s="10"/>
      <c r="N39" s="121">
        <f>SUM(N31:N38)</f>
        <v>352379</v>
      </c>
      <c r="O39" s="10">
        <v>922552</v>
      </c>
      <c r="P39" s="75"/>
      <c r="Q39" s="75"/>
      <c r="R39" s="75"/>
      <c r="S39" s="83" t="s">
        <v>48</v>
      </c>
      <c r="T39" s="90">
        <f>O41/1000</f>
        <v>279.84199999999998</v>
      </c>
      <c r="U39" s="78">
        <f>P41</f>
        <v>0.30333466297834705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90.444999999999993</v>
      </c>
      <c r="U40" s="79">
        <f>P35</f>
        <v>9.8037834181704669E-2</v>
      </c>
    </row>
    <row r="41" spans="1:48" x14ac:dyDescent="0.2">
      <c r="A41" s="14" t="s">
        <v>50</v>
      </c>
      <c r="B41" s="85">
        <f>B38+B37+B36</f>
        <v>71996</v>
      </c>
      <c r="C41" s="85">
        <f t="shared" ref="C41:O41" si="1">C38+C37+C36</f>
        <v>459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32264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175123</v>
      </c>
      <c r="O41" s="85">
        <f t="shared" si="1"/>
        <v>279842</v>
      </c>
      <c r="P41" s="80">
        <f>O41/O$39</f>
        <v>0.30333466297834705</v>
      </c>
      <c r="Q41" s="80" t="s">
        <v>51</v>
      </c>
      <c r="R41" s="83"/>
      <c r="S41" s="83" t="s">
        <v>52</v>
      </c>
      <c r="T41" s="90">
        <f>O33/1000</f>
        <v>66.12</v>
      </c>
      <c r="U41" s="78">
        <f>P33</f>
        <v>7.1670756770350078E-2</v>
      </c>
    </row>
    <row r="42" spans="1:48" x14ac:dyDescent="0.2">
      <c r="A42" s="15" t="s">
        <v>53</v>
      </c>
      <c r="B42" s="85"/>
      <c r="C42" s="88">
        <f>C39+C23+C10</f>
        <v>377976</v>
      </c>
      <c r="D42" s="88">
        <f t="shared" ref="D42:K42" si="2">D39+D23+D10</f>
        <v>0</v>
      </c>
      <c r="E42" s="88">
        <f t="shared" si="2"/>
        <v>14428</v>
      </c>
      <c r="F42" s="88">
        <f t="shared" si="2"/>
        <v>29586</v>
      </c>
      <c r="G42" s="88">
        <f t="shared" si="2"/>
        <v>133371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v>0</v>
      </c>
      <c r="M42" s="88">
        <f>M39+M23+M10</f>
        <v>1700</v>
      </c>
      <c r="N42" s="88">
        <f>N39+N23-B6+N45</f>
        <v>373769.32</v>
      </c>
      <c r="O42" s="89">
        <f>SUM(C42:N42)</f>
        <v>930830.32000000007</v>
      </c>
      <c r="P42" s="83"/>
      <c r="Q42" s="83"/>
      <c r="R42" s="83"/>
      <c r="S42" s="83" t="s">
        <v>34</v>
      </c>
      <c r="T42" s="90">
        <f>O31/1000</f>
        <v>14.478999999999999</v>
      </c>
      <c r="U42" s="78">
        <f>P31</f>
        <v>1.569450827704021E-2</v>
      </c>
    </row>
    <row r="43" spans="1:48" x14ac:dyDescent="0.2">
      <c r="A43" s="15" t="s">
        <v>54</v>
      </c>
      <c r="B43" s="85"/>
      <c r="C43" s="80">
        <f t="shared" ref="C43:N43" si="3">C42/$O42</f>
        <v>0.40606326618153132</v>
      </c>
      <c r="D43" s="80">
        <f t="shared" si="3"/>
        <v>0</v>
      </c>
      <c r="E43" s="80">
        <f t="shared" si="3"/>
        <v>1.5500139703227543E-2</v>
      </c>
      <c r="F43" s="80">
        <f t="shared" si="3"/>
        <v>3.1784525454649992E-2</v>
      </c>
      <c r="G43" s="80">
        <f t="shared" si="3"/>
        <v>0.14328175300520937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1.826326413604576E-3</v>
      </c>
      <c r="N43" s="80">
        <f t="shared" si="3"/>
        <v>0.40154398924177714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72.738</v>
      </c>
      <c r="U43" s="79">
        <f>P32</f>
        <v>7.8844336145821592E-2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398.928</v>
      </c>
      <c r="U44" s="79">
        <f>P34</f>
        <v>0.43241790164673644</v>
      </c>
    </row>
    <row r="45" spans="1:48" x14ac:dyDescent="0.2">
      <c r="A45" s="6" t="s">
        <v>57</v>
      </c>
      <c r="B45" s="91">
        <f>B23+B25-B39</f>
        <v>12053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28190.32</v>
      </c>
      <c r="O45" s="89">
        <f>B45+N45</f>
        <v>40243.32</v>
      </c>
      <c r="P45" s="83"/>
      <c r="Q45" s="83"/>
      <c r="R45" s="83"/>
      <c r="S45" s="83" t="s">
        <v>58</v>
      </c>
      <c r="T45" s="90">
        <f>SUM(T39:T44)</f>
        <v>922.55200000000002</v>
      </c>
      <c r="U45" s="78">
        <f>SUM(U39:U44)</f>
        <v>1</v>
      </c>
    </row>
    <row r="46" spans="1:48" x14ac:dyDescent="0.2">
      <c r="A46" s="6"/>
      <c r="B46" s="93">
        <f>B45/B23</f>
        <v>0.12064581998718769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7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1" enableFormatConditionsCalculation="0"/>
  <dimension ref="A1:AV70"/>
  <sheetViews>
    <sheetView topLeftCell="E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11.1640625" style="2" customWidth="1"/>
    <col min="13" max="13" width="5.5" style="2" customWidth="1"/>
    <col min="14" max="14" width="8.83203125" style="2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91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50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21772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21822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f>68+52964</f>
        <v>53032</v>
      </c>
      <c r="C18" s="10">
        <v>80</v>
      </c>
      <c r="D18" s="10">
        <v>0</v>
      </c>
      <c r="E18" s="10">
        <v>0</v>
      </c>
      <c r="F18" s="10">
        <v>0</v>
      </c>
      <c r="G18" s="119">
        <f>52964/0.9</f>
        <v>58848.888888888891</v>
      </c>
      <c r="H18" s="10">
        <v>0</v>
      </c>
      <c r="I18" s="10"/>
      <c r="J18" s="10"/>
      <c r="K18" s="10"/>
      <c r="L18" s="10"/>
      <c r="M18" s="10"/>
      <c r="N18" s="10"/>
      <c r="O18" s="119">
        <f>O23</f>
        <v>58928.888888888891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19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7324.4495688888883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53032</v>
      </c>
      <c r="C23" s="10">
        <v>80</v>
      </c>
      <c r="D23" s="10">
        <v>0</v>
      </c>
      <c r="E23" s="10">
        <v>0</v>
      </c>
      <c r="F23" s="10">
        <v>0</v>
      </c>
      <c r="G23" s="119">
        <f>G18</f>
        <v>58848.888888888891</v>
      </c>
      <c r="H23" s="10">
        <v>0</v>
      </c>
      <c r="I23" s="10"/>
      <c r="J23" s="10"/>
      <c r="K23" s="10"/>
      <c r="L23" s="10"/>
      <c r="M23" s="10"/>
      <c r="N23" s="10"/>
      <c r="O23" s="119">
        <f>C23+G23</f>
        <v>58928.888888888891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719.19468000000006</v>
      </c>
      <c r="U24" s="78">
        <f>N43</f>
        <v>9.8190952539946447E-2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74.672888888888892</v>
      </c>
      <c r="U25" s="79">
        <f>G43</f>
        <v>1.0195017139044442E-2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6.407</v>
      </c>
      <c r="U27" s="78">
        <f>F43</f>
        <v>8.7474149964990951E-4</v>
      </c>
    </row>
    <row r="28" spans="1:21" x14ac:dyDescent="0.2">
      <c r="A28" s="4" t="s">
        <v>91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396</v>
      </c>
      <c r="U28" s="78">
        <f>E43</f>
        <v>5.406549615441926E-2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109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731.03499999999997</v>
      </c>
      <c r="U29" s="96">
        <f>D43</f>
        <v>9.9807499952641113E-2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3541</v>
      </c>
      <c r="D31" s="10">
        <v>0</v>
      </c>
      <c r="E31" s="10">
        <v>0</v>
      </c>
      <c r="F31" s="10">
        <v>367</v>
      </c>
      <c r="G31" s="10">
        <v>0</v>
      </c>
      <c r="H31" s="10">
        <v>0</v>
      </c>
      <c r="I31" s="10"/>
      <c r="J31" s="10"/>
      <c r="K31" s="10"/>
      <c r="L31" s="10"/>
      <c r="N31" s="10">
        <v>3950</v>
      </c>
      <c r="O31" s="10">
        <v>7857</v>
      </c>
      <c r="P31" s="80">
        <f>O31/O$39</f>
        <v>1.0833065045958144E-3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4994</v>
      </c>
      <c r="C32" s="10">
        <v>1312</v>
      </c>
      <c r="D32" s="10">
        <v>731035</v>
      </c>
      <c r="E32" s="147">
        <v>396000</v>
      </c>
      <c r="F32" s="10">
        <v>0</v>
      </c>
      <c r="G32" s="10">
        <v>0</v>
      </c>
      <c r="H32" s="10">
        <v>0</v>
      </c>
      <c r="I32" s="10"/>
      <c r="J32" s="10"/>
      <c r="K32" s="10"/>
      <c r="L32" s="149">
        <v>5286000</v>
      </c>
      <c r="N32" s="147">
        <v>524000</v>
      </c>
      <c r="O32" s="147">
        <f>SUM(B32:N32)</f>
        <v>6943341</v>
      </c>
      <c r="P32" s="80">
        <f>O32/O$39</f>
        <v>0.95733313846592938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8049</v>
      </c>
      <c r="C33" s="10">
        <v>18136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21982</v>
      </c>
      <c r="O33" s="10">
        <v>48166</v>
      </c>
      <c r="P33" s="80">
        <f>O33/O$39</f>
        <v>6.6410259768820154E-3</v>
      </c>
      <c r="Q33" s="81" t="s">
        <v>39</v>
      </c>
      <c r="R33" s="75"/>
      <c r="S33" s="75" t="s">
        <v>35</v>
      </c>
      <c r="T33" s="77">
        <f>C42/1000</f>
        <v>111.14</v>
      </c>
      <c r="U33" s="79">
        <f>C43</f>
        <v>1.5173836471217566E-2</v>
      </c>
    </row>
    <row r="34" spans="1:48" x14ac:dyDescent="0.2">
      <c r="A34" s="8" t="s">
        <v>40</v>
      </c>
      <c r="B34" s="10">
        <v>0</v>
      </c>
      <c r="C34" s="10">
        <v>77548</v>
      </c>
      <c r="D34" s="10">
        <v>0</v>
      </c>
      <c r="E34" s="10">
        <v>0</v>
      </c>
      <c r="F34" s="10">
        <v>6040</v>
      </c>
      <c r="G34" s="10">
        <v>0</v>
      </c>
      <c r="H34" s="10">
        <v>0</v>
      </c>
      <c r="I34" s="10"/>
      <c r="J34" s="10"/>
      <c r="K34" s="10"/>
      <c r="L34" s="10"/>
      <c r="N34" s="10">
        <v>21</v>
      </c>
      <c r="O34" s="10">
        <v>83609</v>
      </c>
      <c r="P34" s="80">
        <f>O34/O$39</f>
        <v>1.1527831684198988E-2</v>
      </c>
      <c r="Q34" s="81" t="s">
        <v>41</v>
      </c>
      <c r="R34" s="75"/>
      <c r="S34" s="75"/>
      <c r="T34" s="77">
        <f>SUM(T24:T33)</f>
        <v>2038.449568888889</v>
      </c>
      <c r="U34" s="78">
        <f>SUM(U24:U33)</f>
        <v>0.27830754375691874</v>
      </c>
    </row>
    <row r="35" spans="1:48" x14ac:dyDescent="0.2">
      <c r="A35" s="8" t="s">
        <v>42</v>
      </c>
      <c r="B35" s="10">
        <v>1966</v>
      </c>
      <c r="C35" s="10">
        <v>10111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23922</v>
      </c>
      <c r="O35" s="10">
        <v>35999</v>
      </c>
      <c r="P35" s="80">
        <f>O35/O$39</f>
        <v>4.963465808698578E-3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598</v>
      </c>
      <c r="C36" s="10">
        <v>239</v>
      </c>
      <c r="D36" s="10">
        <v>0</v>
      </c>
      <c r="E36" s="10">
        <v>0</v>
      </c>
      <c r="F36" s="10">
        <v>0</v>
      </c>
      <c r="G36" s="10">
        <v>15824</v>
      </c>
      <c r="H36" s="10">
        <v>0</v>
      </c>
      <c r="I36" s="10"/>
      <c r="J36" s="10"/>
      <c r="K36" s="10"/>
      <c r="L36" s="10"/>
      <c r="N36" s="10">
        <v>57504</v>
      </c>
      <c r="O36" s="10">
        <v>74166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24942</v>
      </c>
      <c r="C37" s="10">
        <v>173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12134</v>
      </c>
      <c r="O37" s="10">
        <v>37249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22408</v>
      </c>
      <c r="O38" s="121">
        <f>N38</f>
        <v>22408</v>
      </c>
      <c r="P38" s="81">
        <f>SUM(P31:P35)</f>
        <v>0.9815487684403047</v>
      </c>
      <c r="Q38" s="81"/>
      <c r="R38" s="75"/>
      <c r="S38" s="83" t="s">
        <v>47</v>
      </c>
      <c r="T38" s="86">
        <f>O45/1000</f>
        <v>65.756679999999989</v>
      </c>
      <c r="U38" s="83"/>
    </row>
    <row r="39" spans="1:48" x14ac:dyDescent="0.2">
      <c r="A39" s="8" t="s">
        <v>16</v>
      </c>
      <c r="B39" s="10">
        <v>40549</v>
      </c>
      <c r="C39" s="10">
        <v>111060</v>
      </c>
      <c r="D39" s="10">
        <v>731035</v>
      </c>
      <c r="E39" s="147">
        <f>E32</f>
        <v>396000</v>
      </c>
      <c r="F39" s="10">
        <v>6407</v>
      </c>
      <c r="G39" s="10">
        <v>15824</v>
      </c>
      <c r="H39" s="10">
        <v>0</v>
      </c>
      <c r="I39" s="10"/>
      <c r="J39" s="10"/>
      <c r="K39" s="10"/>
      <c r="L39" s="10">
        <f>L32</f>
        <v>5286000</v>
      </c>
      <c r="N39" s="148">
        <f>SUM(N31:N38)</f>
        <v>665921</v>
      </c>
      <c r="O39" s="154">
        <f>SUM(O31:O38)</f>
        <v>7252795</v>
      </c>
      <c r="P39" s="75"/>
      <c r="Q39" s="75"/>
      <c r="R39" s="75"/>
      <c r="S39" s="83" t="s">
        <v>48</v>
      </c>
      <c r="T39" s="90">
        <f>O41/1000</f>
        <v>133.82300000000001</v>
      </c>
      <c r="U39" s="78">
        <f>P41</f>
        <v>1.8451231559695261E-2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35.999000000000002</v>
      </c>
      <c r="U40" s="79">
        <f>P35</f>
        <v>4.963465808698578E-3</v>
      </c>
    </row>
    <row r="41" spans="1:48" x14ac:dyDescent="0.2">
      <c r="A41" s="14" t="s">
        <v>50</v>
      </c>
      <c r="B41" s="85">
        <f>B38+B37+B36</f>
        <v>25540</v>
      </c>
      <c r="C41" s="85">
        <f t="shared" ref="C41:O41" si="0">C38+C37+C36</f>
        <v>412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15824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92046</v>
      </c>
      <c r="O41" s="85">
        <f t="shared" si="0"/>
        <v>133823</v>
      </c>
      <c r="P41" s="80">
        <f>O41/O$39</f>
        <v>1.8451231559695261E-2</v>
      </c>
      <c r="Q41" s="80" t="s">
        <v>51</v>
      </c>
      <c r="R41" s="83"/>
      <c r="S41" s="83" t="s">
        <v>52</v>
      </c>
      <c r="T41" s="90">
        <f>O33/1000</f>
        <v>48.165999999999997</v>
      </c>
      <c r="U41" s="78">
        <f>P33</f>
        <v>6.6410259768820154E-3</v>
      </c>
    </row>
    <row r="42" spans="1:48" x14ac:dyDescent="0.2">
      <c r="A42" s="15" t="s">
        <v>53</v>
      </c>
      <c r="B42" s="85"/>
      <c r="C42" s="88">
        <f>C39+C23+C10</f>
        <v>111140</v>
      </c>
      <c r="D42" s="88">
        <f t="shared" ref="D42:M42" si="1">D39+D23+D10</f>
        <v>731035</v>
      </c>
      <c r="E42" s="88">
        <f t="shared" si="1"/>
        <v>396000</v>
      </c>
      <c r="F42" s="88">
        <f t="shared" si="1"/>
        <v>6407</v>
      </c>
      <c r="G42" s="88">
        <f t="shared" si="1"/>
        <v>74672.888888888891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>L39+L23+L10</f>
        <v>5286000</v>
      </c>
      <c r="M42" s="88">
        <f t="shared" si="1"/>
        <v>0</v>
      </c>
      <c r="N42" s="88">
        <f>N39+N23-B6+N45</f>
        <v>719194.68</v>
      </c>
      <c r="O42" s="89">
        <f>SUM(C42:N42)</f>
        <v>7324449.5688888887</v>
      </c>
      <c r="P42" s="83"/>
      <c r="Q42" s="83"/>
      <c r="R42" s="83"/>
      <c r="S42" s="83" t="s">
        <v>34</v>
      </c>
      <c r="T42" s="90">
        <f>O31/1000</f>
        <v>7.8570000000000002</v>
      </c>
      <c r="U42" s="78">
        <f>P31</f>
        <v>1.0833065045958144E-3</v>
      </c>
    </row>
    <row r="43" spans="1:48" x14ac:dyDescent="0.2">
      <c r="A43" s="15" t="s">
        <v>54</v>
      </c>
      <c r="B43" s="85"/>
      <c r="C43" s="80">
        <f t="shared" ref="C43:N43" si="2">C42/$O42</f>
        <v>1.5173836471217566E-2</v>
      </c>
      <c r="D43" s="80">
        <f t="shared" si="2"/>
        <v>9.9807499952641113E-2</v>
      </c>
      <c r="E43" s="80">
        <f t="shared" si="2"/>
        <v>5.406549615441926E-2</v>
      </c>
      <c r="F43" s="80">
        <f t="shared" si="2"/>
        <v>8.7474149964990951E-4</v>
      </c>
      <c r="G43" s="80">
        <f t="shared" si="2"/>
        <v>1.0195017139044442E-2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0.72169245624308132</v>
      </c>
      <c r="M43" s="80">
        <f t="shared" si="2"/>
        <v>0</v>
      </c>
      <c r="N43" s="80">
        <f t="shared" si="2"/>
        <v>9.8190952539946447E-2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6943.3410000000003</v>
      </c>
      <c r="U43" s="79">
        <f>P32</f>
        <v>0.95733313846592938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83.608999999999995</v>
      </c>
      <c r="U44" s="79">
        <f>P34</f>
        <v>1.1527831684198988E-2</v>
      </c>
    </row>
    <row r="45" spans="1:48" x14ac:dyDescent="0.2">
      <c r="A45" s="6" t="s">
        <v>57</v>
      </c>
      <c r="B45" s="91">
        <f>B23-B39</f>
        <v>12483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53273.68</v>
      </c>
      <c r="O45" s="89">
        <f>B45+N45</f>
        <v>65756.679999999993</v>
      </c>
      <c r="P45" s="83"/>
      <c r="Q45" s="83"/>
      <c r="R45" s="83"/>
      <c r="S45" s="83" t="s">
        <v>58</v>
      </c>
      <c r="T45" s="90">
        <f>SUM(T39:T44)</f>
        <v>7252.795000000001</v>
      </c>
      <c r="U45" s="78">
        <f>SUM(U39:U44)</f>
        <v>1</v>
      </c>
    </row>
    <row r="46" spans="1:48" x14ac:dyDescent="0.2">
      <c r="A46" s="6"/>
      <c r="B46" s="93">
        <f>B45/B23</f>
        <v>0.2353861819278926</v>
      </c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I50" s="16"/>
      <c r="J50" s="16"/>
      <c r="K50" s="9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7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7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1" enableFormatConditionsCalculation="0"/>
  <dimension ref="A1:AV52"/>
  <sheetViews>
    <sheetView topLeftCell="C8" workbookViewId="0">
      <selection activeCell="U35" sqref="U35"/>
    </sheetView>
  </sheetViews>
  <sheetFormatPr baseColWidth="10" defaultColWidth="8.83203125" defaultRowHeight="15" x14ac:dyDescent="0.2"/>
  <cols>
    <col min="1" max="1" width="22.5" style="30" customWidth="1"/>
    <col min="2" max="2" width="12" style="30" customWidth="1"/>
    <col min="3" max="3" width="13.83203125" style="30" customWidth="1"/>
    <col min="4" max="11" width="8.83203125" style="30"/>
    <col min="12" max="13" width="5.5" style="30" customWidth="1"/>
    <col min="14" max="14" width="8.83203125" style="30"/>
    <col min="15" max="15" width="9.6640625" style="30" customWidth="1"/>
    <col min="16" max="16384" width="8.83203125" style="30"/>
  </cols>
  <sheetData>
    <row r="1" spans="1:35" x14ac:dyDescent="0.2">
      <c r="A1" s="8" t="s">
        <v>0</v>
      </c>
      <c r="P1" s="31"/>
      <c r="Q1" s="31"/>
      <c r="R1" s="31"/>
      <c r="S1" s="31"/>
      <c r="T1" s="31"/>
      <c r="U1" s="31"/>
    </row>
    <row r="2" spans="1:35" ht="15.75" x14ac:dyDescent="0.25">
      <c r="A2" s="8" t="s">
        <v>92</v>
      </c>
      <c r="Q2" s="2"/>
      <c r="R2" s="8"/>
      <c r="AH2" s="2"/>
      <c r="AI2" s="8"/>
    </row>
    <row r="3" spans="1:35" ht="16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  <c r="Q3" s="2"/>
      <c r="R3" s="2"/>
      <c r="AH3" s="2"/>
      <c r="AI3" s="2"/>
    </row>
    <row r="4" spans="1:35" ht="15.75" x14ac:dyDescent="0.25">
      <c r="A4" s="8" t="s">
        <v>124</v>
      </c>
      <c r="B4" s="163">
        <v>419</v>
      </c>
      <c r="Q4" s="8"/>
      <c r="R4" s="10"/>
      <c r="AH4" s="2"/>
      <c r="AI4" s="2"/>
    </row>
    <row r="5" spans="1:35" ht="15.75" x14ac:dyDescent="0.25">
      <c r="A5" s="2"/>
      <c r="Q5" s="8"/>
      <c r="R5" s="10"/>
      <c r="AH5" s="2"/>
      <c r="AI5" s="2"/>
    </row>
    <row r="6" spans="1:35" ht="16" x14ac:dyDescent="0.2">
      <c r="A6" s="8" t="s">
        <v>12</v>
      </c>
      <c r="B6" s="10">
        <v>65863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  <c r="AH6" s="2"/>
      <c r="AI6" s="2"/>
    </row>
    <row r="7" spans="1:35" ht="16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  <c r="AH7" s="2"/>
      <c r="AI7" s="2"/>
    </row>
    <row r="8" spans="1:35" ht="15.75" x14ac:dyDescent="0.25">
      <c r="A8" s="8" t="s">
        <v>14</v>
      </c>
      <c r="B8" s="10">
        <v>4983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  <c r="AH8" s="2"/>
      <c r="AI8" s="2"/>
    </row>
    <row r="9" spans="1:35" ht="15.75" x14ac:dyDescent="0.25">
      <c r="A9" s="8" t="s">
        <v>15</v>
      </c>
      <c r="B9" s="10">
        <v>88219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2"/>
      <c r="AI9" s="2"/>
    </row>
    <row r="10" spans="1:35" ht="16" x14ac:dyDescent="0.2">
      <c r="A10" s="8" t="s">
        <v>16</v>
      </c>
      <c r="B10" s="128">
        <f>SUM(B4:B9)</f>
        <v>159484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2"/>
      <c r="AI10" s="2"/>
    </row>
    <row r="11" spans="1:35" ht="16" x14ac:dyDescent="0.2"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8"/>
      <c r="R11" s="10"/>
      <c r="S11" s="31"/>
      <c r="T11" s="31"/>
      <c r="U11" s="31"/>
    </row>
    <row r="12" spans="1:35" ht="16" x14ac:dyDescent="0.2"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1"/>
      <c r="Q12" s="8"/>
      <c r="R12" s="10"/>
      <c r="S12" s="31"/>
      <c r="T12" s="31"/>
      <c r="U12" s="31"/>
    </row>
    <row r="13" spans="1:35" x14ac:dyDescent="0.2">
      <c r="A13" s="8" t="s">
        <v>17</v>
      </c>
      <c r="B13" s="35"/>
      <c r="C13" s="35"/>
      <c r="D13" s="35"/>
      <c r="E13" s="35"/>
      <c r="F13" s="35"/>
      <c r="G13" s="35"/>
      <c r="H13" s="35"/>
      <c r="I13" s="34"/>
      <c r="J13" s="34"/>
      <c r="K13" s="34"/>
      <c r="L13" s="34"/>
      <c r="M13" s="34"/>
      <c r="N13" s="34"/>
      <c r="O13" s="35"/>
      <c r="P13" s="31"/>
      <c r="Q13" s="31"/>
      <c r="R13" s="31"/>
      <c r="S13" s="31"/>
      <c r="T13" s="31"/>
      <c r="U13" s="31"/>
    </row>
    <row r="14" spans="1:35" x14ac:dyDescent="0.2">
      <c r="A14" s="4" t="s">
        <v>92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1"/>
      <c r="Q14" s="31"/>
      <c r="R14" s="31"/>
      <c r="S14" s="31"/>
      <c r="T14" s="31"/>
      <c r="U14" s="31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1"/>
      <c r="Q15" s="31"/>
      <c r="R15" s="31"/>
      <c r="S15" s="31"/>
      <c r="T15" s="31"/>
      <c r="U15" s="31"/>
    </row>
    <row r="16" spans="1:35" ht="16" x14ac:dyDescent="0.2">
      <c r="B16" s="7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44"/>
      <c r="O16" s="34"/>
      <c r="P16" s="31"/>
      <c r="Q16" s="31"/>
      <c r="R16" s="31"/>
      <c r="S16" s="31"/>
      <c r="T16" s="31"/>
      <c r="U16" s="31"/>
    </row>
    <row r="17" spans="1:21" ht="16" x14ac:dyDescent="0.2">
      <c r="A17" s="8" t="s">
        <v>20</v>
      </c>
      <c r="B17" s="119">
        <v>278835</v>
      </c>
      <c r="C17" s="119">
        <v>692</v>
      </c>
      <c r="D17" s="119">
        <v>0</v>
      </c>
      <c r="E17" s="10">
        <v>0</v>
      </c>
      <c r="F17" s="10">
        <v>0</v>
      </c>
      <c r="G17" s="119">
        <v>39575</v>
      </c>
      <c r="H17" s="10">
        <v>0</v>
      </c>
      <c r="I17" s="10"/>
      <c r="J17" s="119">
        <v>11152</v>
      </c>
      <c r="K17" s="119">
        <v>362612</v>
      </c>
      <c r="L17" s="10"/>
      <c r="M17" s="10"/>
      <c r="N17" s="119">
        <v>18123</v>
      </c>
      <c r="O17" s="119">
        <f>SUM(C17:N17)</f>
        <v>432154</v>
      </c>
      <c r="P17" s="31"/>
      <c r="Q17" s="31"/>
      <c r="R17" s="31"/>
      <c r="S17" s="31"/>
      <c r="T17" s="31"/>
      <c r="U17" s="31"/>
    </row>
    <row r="18" spans="1:21" ht="16" x14ac:dyDescent="0.2">
      <c r="A18" s="8" t="s">
        <v>21</v>
      </c>
      <c r="B18" s="119">
        <v>4715</v>
      </c>
      <c r="C18" s="10">
        <v>0</v>
      </c>
      <c r="D18" s="119">
        <v>0</v>
      </c>
      <c r="E18" s="10">
        <v>0</v>
      </c>
      <c r="F18" s="119">
        <v>0</v>
      </c>
      <c r="G18" s="119">
        <v>5482</v>
      </c>
      <c r="H18" s="10">
        <v>0</v>
      </c>
      <c r="I18" s="10"/>
      <c r="J18" s="10"/>
      <c r="K18" s="10"/>
      <c r="L18" s="10"/>
      <c r="M18" s="10"/>
      <c r="N18" s="119">
        <v>88</v>
      </c>
      <c r="O18" s="119">
        <v>5570</v>
      </c>
      <c r="P18" s="169"/>
      <c r="Q18" s="31"/>
      <c r="R18" s="31"/>
      <c r="S18" s="31"/>
      <c r="T18" s="31"/>
      <c r="U18" s="31"/>
    </row>
    <row r="19" spans="1:21" ht="16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1"/>
      <c r="Q19" s="31"/>
      <c r="R19" s="31"/>
      <c r="S19" s="31"/>
      <c r="T19" s="31"/>
      <c r="U19" s="31"/>
    </row>
    <row r="20" spans="1:21" ht="16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1"/>
      <c r="Q20" s="31"/>
      <c r="R20" s="31"/>
      <c r="S20" s="31"/>
      <c r="T20" s="31"/>
      <c r="U20" s="31"/>
    </row>
    <row r="21" spans="1:21" ht="16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1758.7218400000002</v>
      </c>
      <c r="U21" s="75"/>
    </row>
    <row r="22" spans="1:21" ht="16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ht="16" x14ac:dyDescent="0.2">
      <c r="A23" s="8" t="s">
        <v>16</v>
      </c>
      <c r="B23" s="119">
        <f t="shared" ref="B23:G23" si="0">SUM(B17:B18)</f>
        <v>283550</v>
      </c>
      <c r="C23" s="119">
        <f t="shared" si="0"/>
        <v>692</v>
      </c>
      <c r="D23" s="119">
        <f t="shared" si="0"/>
        <v>0</v>
      </c>
      <c r="E23" s="59">
        <f t="shared" si="0"/>
        <v>0</v>
      </c>
      <c r="F23" s="119">
        <f t="shared" si="0"/>
        <v>0</v>
      </c>
      <c r="G23" s="119">
        <f t="shared" si="0"/>
        <v>45057</v>
      </c>
      <c r="H23" s="10">
        <v>0</v>
      </c>
      <c r="I23" s="10"/>
      <c r="J23" s="119">
        <f t="shared" ref="J23:K23" si="1">SUM(J17:J18)</f>
        <v>11152</v>
      </c>
      <c r="K23" s="119">
        <f t="shared" si="1"/>
        <v>362612</v>
      </c>
      <c r="L23" s="119"/>
      <c r="M23" s="119"/>
      <c r="N23" s="119">
        <f>SUM(N17:N18)</f>
        <v>18211</v>
      </c>
      <c r="O23" s="119">
        <f>SUM(O17:O18)</f>
        <v>437724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ht="16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75"/>
      <c r="Q24" s="75"/>
      <c r="R24" s="75"/>
      <c r="S24" s="75" t="s">
        <v>10</v>
      </c>
      <c r="T24" s="77">
        <f>N42/1000</f>
        <v>422.90184000000005</v>
      </c>
      <c r="U24" s="78">
        <f>N43</f>
        <v>0.24045976480282977</v>
      </c>
    </row>
    <row r="25" spans="1:21" ht="16" x14ac:dyDescent="0.2">
      <c r="B25" s="34"/>
      <c r="C25" s="34"/>
      <c r="D25" s="34"/>
      <c r="E25" s="34"/>
      <c r="F25" s="42"/>
      <c r="G25" s="34"/>
      <c r="H25" s="34"/>
      <c r="I25" s="34"/>
      <c r="J25" s="42"/>
      <c r="K25" s="34"/>
      <c r="L25" s="34"/>
      <c r="M25" s="34"/>
      <c r="N25" s="34"/>
      <c r="O25" s="34"/>
      <c r="P25" s="75"/>
      <c r="Q25" s="75"/>
      <c r="R25" s="75"/>
      <c r="S25" s="75" t="s">
        <v>111</v>
      </c>
      <c r="T25" s="77">
        <f>G42/1000</f>
        <v>107.86799999999999</v>
      </c>
      <c r="U25" s="79">
        <f>G43</f>
        <v>6.1333178190361243E-2</v>
      </c>
    </row>
    <row r="26" spans="1:21" ht="16" x14ac:dyDescent="0.2">
      <c r="B26" s="34"/>
      <c r="C26" s="34"/>
      <c r="D26" s="34"/>
      <c r="E26" s="130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75"/>
      <c r="Q26" s="75"/>
      <c r="R26" s="75"/>
      <c r="S26" s="75" t="s">
        <v>7</v>
      </c>
      <c r="T26" s="77">
        <f>J42/1000</f>
        <v>11.151999999999999</v>
      </c>
      <c r="U26" s="78">
        <f>J43</f>
        <v>6.3409686207115045E-3</v>
      </c>
    </row>
    <row r="27" spans="1:21" ht="16" x14ac:dyDescent="0.2">
      <c r="A27" s="8" t="s">
        <v>29</v>
      </c>
      <c r="B27" s="35"/>
      <c r="C27" s="35"/>
      <c r="D27" s="35"/>
      <c r="E27" s="35"/>
      <c r="F27" s="35"/>
      <c r="G27" s="35"/>
      <c r="H27" s="53"/>
      <c r="I27" s="34"/>
      <c r="J27" s="34"/>
      <c r="K27" s="34"/>
      <c r="L27" s="34"/>
      <c r="M27" s="34"/>
      <c r="N27" s="34"/>
      <c r="O27" s="34"/>
      <c r="P27" s="75"/>
      <c r="Q27" s="75"/>
      <c r="R27" s="75"/>
      <c r="S27" s="75" t="s">
        <v>31</v>
      </c>
      <c r="T27" s="77">
        <f>F42/1000</f>
        <v>64.445999999999998</v>
      </c>
      <c r="U27" s="78">
        <f>F43</f>
        <v>3.6643657077687734E-2</v>
      </c>
    </row>
    <row r="28" spans="1:21" ht="16" x14ac:dyDescent="0.2">
      <c r="A28" s="4" t="s">
        <v>92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75"/>
      <c r="Q28" s="75"/>
      <c r="R28" s="75"/>
      <c r="S28" s="75" t="s">
        <v>4</v>
      </c>
      <c r="T28" s="76">
        <f>E42/1000</f>
        <v>3.1669999999999998</v>
      </c>
      <c r="U28" s="78">
        <f>E43</f>
        <v>1.8007395643645386E-3</v>
      </c>
    </row>
    <row r="29" spans="1:21" ht="16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ht="16" x14ac:dyDescent="0.2"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75"/>
      <c r="Q30" s="75"/>
      <c r="R30" s="75"/>
      <c r="S30" s="82" t="s">
        <v>8</v>
      </c>
      <c r="T30" s="82">
        <f>K42/1000</f>
        <v>362.61200000000002</v>
      </c>
      <c r="U30" s="96">
        <f>K43</f>
        <v>0.20617927846964132</v>
      </c>
    </row>
    <row r="31" spans="1:21" ht="16" x14ac:dyDescent="0.2">
      <c r="A31" s="8" t="s">
        <v>33</v>
      </c>
      <c r="B31" s="10">
        <v>0</v>
      </c>
      <c r="C31" s="121">
        <v>10279</v>
      </c>
      <c r="D31" s="10">
        <v>0</v>
      </c>
      <c r="E31" s="10">
        <v>0</v>
      </c>
      <c r="F31" s="10">
        <v>934</v>
      </c>
      <c r="G31" s="10">
        <v>0</v>
      </c>
      <c r="H31" s="10">
        <v>0</v>
      </c>
      <c r="I31" s="10"/>
      <c r="J31" s="10"/>
      <c r="K31" s="10"/>
      <c r="L31" s="10"/>
      <c r="M31" s="2"/>
      <c r="N31" s="121">
        <f>O31-F31-C31</f>
        <v>12307</v>
      </c>
      <c r="O31" s="10">
        <v>23520</v>
      </c>
      <c r="P31" s="80">
        <f>O31/O$39</f>
        <v>1.46281301679685E-2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ht="16" x14ac:dyDescent="0.2">
      <c r="A32" s="8" t="s">
        <v>36</v>
      </c>
      <c r="B32" s="10">
        <v>31205</v>
      </c>
      <c r="C32" s="121">
        <v>12917</v>
      </c>
      <c r="D32" s="10">
        <v>0</v>
      </c>
      <c r="E32" s="121">
        <f>O32-SUM(N32,B32:C32)</f>
        <v>3167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M32" s="2"/>
      <c r="N32" s="121">
        <f>N39-SUM(N33:N38,N31)</f>
        <v>49775</v>
      </c>
      <c r="O32" s="10">
        <v>97064</v>
      </c>
      <c r="P32" s="80">
        <f>O32/O$39</f>
        <v>6.0368402492504018E-2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ht="16" x14ac:dyDescent="0.2">
      <c r="A33" s="8" t="s">
        <v>38</v>
      </c>
      <c r="B33" s="10">
        <v>44219</v>
      </c>
      <c r="C33" s="10">
        <v>1172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M33" s="2"/>
      <c r="N33" s="10">
        <v>54669</v>
      </c>
      <c r="O33" s="10">
        <v>100060</v>
      </c>
      <c r="P33" s="80">
        <f>O33/O$39</f>
        <v>6.2231747644852384E-2</v>
      </c>
      <c r="Q33" s="81" t="s">
        <v>39</v>
      </c>
      <c r="R33" s="75"/>
      <c r="S33" s="75" t="s">
        <v>35</v>
      </c>
      <c r="T33" s="77">
        <f>C42/1000</f>
        <v>786.57500000000005</v>
      </c>
      <c r="U33" s="79">
        <f>C43</f>
        <v>0.44724241327440384</v>
      </c>
    </row>
    <row r="34" spans="1:48" ht="16" x14ac:dyDescent="0.2">
      <c r="A34" s="8" t="s">
        <v>40</v>
      </c>
      <c r="B34" s="10">
        <v>0</v>
      </c>
      <c r="C34" s="10">
        <v>753035</v>
      </c>
      <c r="D34" s="10">
        <v>0</v>
      </c>
      <c r="E34" s="10">
        <v>0</v>
      </c>
      <c r="F34" s="10">
        <v>63512</v>
      </c>
      <c r="G34" s="10">
        <v>0</v>
      </c>
      <c r="H34" s="10">
        <v>0</v>
      </c>
      <c r="I34" s="10"/>
      <c r="J34" s="10"/>
      <c r="K34" s="10"/>
      <c r="L34" s="10"/>
      <c r="M34" s="2"/>
      <c r="N34" s="10">
        <v>20936</v>
      </c>
      <c r="O34" s="10">
        <v>837483</v>
      </c>
      <c r="P34" s="80">
        <f>O34/O$39</f>
        <v>0.52086778645666509</v>
      </c>
      <c r="Q34" s="81" t="s">
        <v>41</v>
      </c>
      <c r="R34" s="75"/>
      <c r="S34" s="75"/>
      <c r="T34" s="77">
        <f>SUM(T24:T33)</f>
        <v>1758.7218400000002</v>
      </c>
      <c r="U34" s="78">
        <f>SUM(U24:U33)</f>
        <v>1</v>
      </c>
    </row>
    <row r="35" spans="1:48" ht="16" x14ac:dyDescent="0.2">
      <c r="A35" s="8" t="s">
        <v>42</v>
      </c>
      <c r="B35" s="10">
        <v>41242</v>
      </c>
      <c r="C35" s="10">
        <v>7319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M35" s="2"/>
      <c r="N35" s="10">
        <v>117947</v>
      </c>
      <c r="O35" s="10">
        <v>166508</v>
      </c>
      <c r="P35" s="80">
        <f>O35/O$39</f>
        <v>0.10355870314660284</v>
      </c>
      <c r="Q35" s="81" t="s">
        <v>43</v>
      </c>
      <c r="R35" s="81"/>
      <c r="S35" s="82"/>
      <c r="T35" s="82"/>
      <c r="U35" s="82"/>
    </row>
    <row r="36" spans="1:48" ht="16" x14ac:dyDescent="0.2">
      <c r="A36" s="8" t="s">
        <v>44</v>
      </c>
      <c r="B36" s="10">
        <v>20188</v>
      </c>
      <c r="C36" s="10">
        <v>438</v>
      </c>
      <c r="D36" s="10">
        <v>0</v>
      </c>
      <c r="E36" s="10">
        <v>0</v>
      </c>
      <c r="F36" s="10">
        <v>0</v>
      </c>
      <c r="G36" s="10">
        <v>62811</v>
      </c>
      <c r="H36" s="10">
        <v>0</v>
      </c>
      <c r="I36" s="10"/>
      <c r="J36" s="10"/>
      <c r="K36" s="10"/>
      <c r="L36" s="10"/>
      <c r="M36" s="2"/>
      <c r="N36" s="10">
        <v>116851</v>
      </c>
      <c r="O36" s="10">
        <v>200288</v>
      </c>
      <c r="P36" s="81"/>
      <c r="Q36" s="81"/>
      <c r="R36" s="75"/>
      <c r="S36" s="83"/>
      <c r="T36" s="83"/>
      <c r="U36" s="83"/>
    </row>
    <row r="37" spans="1:48" ht="16" x14ac:dyDescent="0.2">
      <c r="A37" s="8" t="s">
        <v>45</v>
      </c>
      <c r="B37" s="10">
        <v>119002</v>
      </c>
      <c r="C37" s="10">
        <v>723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M37" s="2"/>
      <c r="N37" s="10">
        <v>36266</v>
      </c>
      <c r="O37" s="10">
        <v>155991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ht="16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M38" s="2"/>
      <c r="N38" s="10">
        <v>26947</v>
      </c>
      <c r="O38" s="10">
        <v>26947</v>
      </c>
      <c r="P38" s="81">
        <f>SUM(P31:P35)</f>
        <v>0.76165476990859282</v>
      </c>
      <c r="Q38" s="81"/>
      <c r="R38" s="75"/>
      <c r="S38" s="83" t="s">
        <v>47</v>
      </c>
      <c r="T38" s="86">
        <f>O45/1000</f>
        <v>62.549840000000003</v>
      </c>
      <c r="U38" s="83"/>
    </row>
    <row r="39" spans="1:48" ht="16" x14ac:dyDescent="0.2">
      <c r="A39" s="8" t="s">
        <v>16</v>
      </c>
      <c r="B39" s="10">
        <v>255856</v>
      </c>
      <c r="C39" s="121">
        <f>SUM(C31:C38)</f>
        <v>785883</v>
      </c>
      <c r="D39" s="10">
        <v>0</v>
      </c>
      <c r="E39" s="121">
        <f>E32</f>
        <v>3167</v>
      </c>
      <c r="F39" s="10">
        <v>64446</v>
      </c>
      <c r="G39" s="10">
        <v>62811</v>
      </c>
      <c r="H39" s="10">
        <v>0</v>
      </c>
      <c r="I39" s="10"/>
      <c r="J39" s="10"/>
      <c r="K39" s="10"/>
      <c r="L39" s="10"/>
      <c r="M39" s="2"/>
      <c r="N39" s="10">
        <v>435698</v>
      </c>
      <c r="O39" s="10">
        <v>1607861</v>
      </c>
      <c r="P39" s="75"/>
      <c r="Q39" s="75"/>
      <c r="R39" s="75"/>
      <c r="S39" s="83" t="s">
        <v>48</v>
      </c>
      <c r="T39" s="90">
        <f>O41/1000</f>
        <v>383.226</v>
      </c>
      <c r="U39" s="78">
        <f>P41</f>
        <v>0.23834523009140715</v>
      </c>
    </row>
    <row r="40" spans="1:48" x14ac:dyDescent="0.2"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82"/>
      <c r="Q40" s="82"/>
      <c r="R40" s="82"/>
      <c r="S40" s="83" t="s">
        <v>49</v>
      </c>
      <c r="T40" s="90">
        <f>O35/1000</f>
        <v>166.50800000000001</v>
      </c>
      <c r="U40" s="79">
        <f>P35</f>
        <v>0.10355870314660284</v>
      </c>
    </row>
    <row r="41" spans="1:48" ht="16" x14ac:dyDescent="0.2">
      <c r="A41" s="38" t="s">
        <v>50</v>
      </c>
      <c r="B41" s="85">
        <f>B38+B37+B36</f>
        <v>139190</v>
      </c>
      <c r="C41" s="85">
        <f t="shared" ref="C41:O41" si="2">C38+C37+C36</f>
        <v>1161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62811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180064</v>
      </c>
      <c r="O41" s="85">
        <f t="shared" si="2"/>
        <v>383226</v>
      </c>
      <c r="P41" s="80">
        <f>O41/O$39</f>
        <v>0.23834523009140715</v>
      </c>
      <c r="Q41" s="80" t="s">
        <v>51</v>
      </c>
      <c r="R41" s="83"/>
      <c r="S41" s="83" t="s">
        <v>52</v>
      </c>
      <c r="T41" s="90">
        <f>O33/1000</f>
        <v>100.06</v>
      </c>
      <c r="U41" s="78">
        <f>P33</f>
        <v>6.2231747644852384E-2</v>
      </c>
    </row>
    <row r="42" spans="1:48" ht="16" x14ac:dyDescent="0.2">
      <c r="A42" s="39" t="s">
        <v>53</v>
      </c>
      <c r="B42" s="85"/>
      <c r="C42" s="88">
        <f>C39+C23+C10</f>
        <v>786575</v>
      </c>
      <c r="D42" s="88">
        <f t="shared" ref="D42:M42" si="3">D39+D23+D10</f>
        <v>0</v>
      </c>
      <c r="E42" s="88">
        <f t="shared" si="3"/>
        <v>3167</v>
      </c>
      <c r="F42" s="88">
        <f t="shared" si="3"/>
        <v>64446</v>
      </c>
      <c r="G42" s="88">
        <f t="shared" si="3"/>
        <v>107868</v>
      </c>
      <c r="H42" s="88">
        <f t="shared" si="3"/>
        <v>0</v>
      </c>
      <c r="I42" s="88">
        <f t="shared" si="3"/>
        <v>0</v>
      </c>
      <c r="J42" s="88">
        <f t="shared" si="3"/>
        <v>11152</v>
      </c>
      <c r="K42" s="88">
        <f t="shared" si="3"/>
        <v>362612</v>
      </c>
      <c r="L42" s="88">
        <f t="shared" si="3"/>
        <v>0</v>
      </c>
      <c r="M42" s="88">
        <f t="shared" si="3"/>
        <v>0</v>
      </c>
      <c r="N42" s="88">
        <f>N39+N23-B6+N45</f>
        <v>422901.84</v>
      </c>
      <c r="O42" s="89">
        <f>SUM(C42:N42)</f>
        <v>1758721.84</v>
      </c>
      <c r="P42" s="83"/>
      <c r="Q42" s="83"/>
      <c r="R42" s="83"/>
      <c r="S42" s="83" t="s">
        <v>34</v>
      </c>
      <c r="T42" s="90">
        <f>O31/1000</f>
        <v>23.52</v>
      </c>
      <c r="U42" s="78">
        <f>P31</f>
        <v>1.46281301679685E-2</v>
      </c>
    </row>
    <row r="43" spans="1:48" ht="16" x14ac:dyDescent="0.2">
      <c r="A43" s="39" t="s">
        <v>54</v>
      </c>
      <c r="B43" s="85"/>
      <c r="C43" s="80">
        <f t="shared" ref="C43:N43" si="4">C42/$O42</f>
        <v>0.44724241327440384</v>
      </c>
      <c r="D43" s="80">
        <f t="shared" si="4"/>
        <v>0</v>
      </c>
      <c r="E43" s="80">
        <f t="shared" si="4"/>
        <v>1.8007395643645386E-3</v>
      </c>
      <c r="F43" s="80">
        <f t="shared" si="4"/>
        <v>3.6643657077687734E-2</v>
      </c>
      <c r="G43" s="80">
        <f t="shared" si="4"/>
        <v>6.1333178190361243E-2</v>
      </c>
      <c r="H43" s="80">
        <f t="shared" si="4"/>
        <v>0</v>
      </c>
      <c r="I43" s="80">
        <f t="shared" si="4"/>
        <v>0</v>
      </c>
      <c r="J43" s="80">
        <f t="shared" si="4"/>
        <v>6.3409686207115045E-3</v>
      </c>
      <c r="K43" s="80">
        <f t="shared" si="4"/>
        <v>0.20617927846964132</v>
      </c>
      <c r="L43" s="80">
        <f t="shared" si="4"/>
        <v>0</v>
      </c>
      <c r="M43" s="80">
        <f t="shared" si="4"/>
        <v>0</v>
      </c>
      <c r="N43" s="80">
        <f t="shared" si="4"/>
        <v>0.24045976480282977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97.063999999999993</v>
      </c>
      <c r="U43" s="79">
        <f>P32</f>
        <v>6.0368402492504018E-2</v>
      </c>
    </row>
    <row r="44" spans="1:48" x14ac:dyDescent="0.2">
      <c r="A44" s="32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837.48299999999995</v>
      </c>
      <c r="U44" s="79">
        <f>P34</f>
        <v>0.52086778645666509</v>
      </c>
    </row>
    <row r="45" spans="1:48" ht="16" x14ac:dyDescent="0.2">
      <c r="A45" s="32" t="s">
        <v>57</v>
      </c>
      <c r="B45" s="91">
        <f>B23-B39</f>
        <v>27694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34855.840000000004</v>
      </c>
      <c r="O45" s="89">
        <f>B45+N45</f>
        <v>62549.840000000004</v>
      </c>
      <c r="P45" s="83"/>
      <c r="Q45" s="83"/>
      <c r="R45" s="83"/>
      <c r="S45" s="83" t="s">
        <v>58</v>
      </c>
      <c r="T45" s="90">
        <f>SUM(T39:T44)</f>
        <v>1607.8609999999999</v>
      </c>
      <c r="U45" s="78">
        <f>SUM(U39:U44)</f>
        <v>1</v>
      </c>
    </row>
    <row r="46" spans="1:48" x14ac:dyDescent="0.2">
      <c r="A46" s="32"/>
      <c r="B46" s="94">
        <f>B45/B23</f>
        <v>9.7668841474166809E-2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3"/>
      <c r="O46" s="32"/>
      <c r="P46" s="33"/>
      <c r="Q46" s="33"/>
      <c r="R46" s="33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7"/>
      <c r="U47" s="17"/>
      <c r="V47" s="17"/>
      <c r="W47" s="16"/>
      <c r="X47" s="16"/>
      <c r="Y47" s="17"/>
      <c r="Z47" s="16"/>
      <c r="AA47" s="16"/>
      <c r="AB47" s="16"/>
      <c r="AC47" s="16"/>
      <c r="AD47" s="16"/>
      <c r="AE47" s="16"/>
      <c r="AF47" s="17"/>
      <c r="AG47" s="16"/>
      <c r="AH47" s="4"/>
      <c r="AI47" s="4"/>
      <c r="AJ47" s="17"/>
      <c r="AK47" s="16"/>
      <c r="AL47" s="17"/>
      <c r="AM47" s="16"/>
      <c r="AN47" s="16"/>
      <c r="AO47" s="17"/>
      <c r="AP47" s="16"/>
      <c r="AQ47" s="16"/>
      <c r="AR47" s="16"/>
      <c r="AS47" s="16"/>
      <c r="AT47" s="16"/>
      <c r="AU47" s="16"/>
      <c r="AV47" s="17"/>
    </row>
    <row r="48" spans="1:48" ht="16" x14ac:dyDescent="0.2">
      <c r="A48" s="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32"/>
      <c r="Q48" s="37"/>
      <c r="R48" s="33"/>
      <c r="S48" s="33"/>
      <c r="T48" s="32"/>
      <c r="U48" s="36"/>
    </row>
    <row r="49" spans="1:21" ht="16" x14ac:dyDescent="0.2">
      <c r="A49" s="8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32"/>
      <c r="Q49" s="37"/>
      <c r="R49" s="33"/>
      <c r="S49" s="33"/>
      <c r="T49" s="32"/>
      <c r="U49" s="36"/>
    </row>
    <row r="50" spans="1:21" ht="16" x14ac:dyDescent="0.2">
      <c r="A50" s="8"/>
      <c r="B50" s="10"/>
      <c r="C50" s="10"/>
      <c r="D50" s="119"/>
      <c r="E50" s="10"/>
      <c r="F50" s="10"/>
      <c r="G50" s="119"/>
      <c r="H50" s="10"/>
      <c r="I50" s="10"/>
      <c r="J50" s="10"/>
      <c r="K50" s="10"/>
      <c r="L50" s="10"/>
      <c r="M50" s="10"/>
      <c r="N50" s="10"/>
      <c r="O50" s="10"/>
      <c r="P50" s="32"/>
      <c r="Q50" s="37"/>
      <c r="R50" s="33"/>
      <c r="S50" s="33"/>
      <c r="T50" s="32"/>
      <c r="U50" s="36"/>
    </row>
    <row r="51" spans="1:21" x14ac:dyDescent="0.2">
      <c r="A51" s="33"/>
      <c r="B51" s="32"/>
      <c r="C51" s="32"/>
      <c r="D51" s="32"/>
      <c r="E51" s="32"/>
      <c r="F51" s="32"/>
      <c r="G51" s="32"/>
      <c r="H51" s="32"/>
      <c r="I51" s="32"/>
      <c r="J51" s="33"/>
      <c r="K51" s="33"/>
      <c r="L51" s="33"/>
      <c r="M51" s="33"/>
      <c r="N51" s="33"/>
      <c r="O51" s="33"/>
      <c r="P51" s="32"/>
      <c r="Q51" s="37"/>
      <c r="R51" s="33"/>
      <c r="S51" s="33"/>
      <c r="T51" s="32"/>
      <c r="U51" s="36"/>
    </row>
    <row r="52" spans="1:21" x14ac:dyDescent="0.2">
      <c r="A52" s="33"/>
      <c r="B52" s="40"/>
      <c r="C52" s="40"/>
      <c r="D52" s="40"/>
      <c r="E52" s="40"/>
      <c r="F52" s="40"/>
      <c r="G52" s="40"/>
      <c r="H52" s="40"/>
      <c r="I52" s="40"/>
      <c r="J52" s="33"/>
      <c r="K52" s="33"/>
      <c r="L52" s="33"/>
      <c r="M52" s="33"/>
      <c r="N52" s="33"/>
      <c r="O52" s="33"/>
      <c r="P52" s="40"/>
      <c r="Q52" s="41"/>
      <c r="R52" s="33"/>
      <c r="S52" s="33"/>
      <c r="T52" s="40"/>
      <c r="U52" s="41"/>
    </row>
  </sheetData>
  <pageMargins left="0.75" right="0.75" top="0.75" bottom="0.5" header="0.5" footer="0.75"/>
  <pageSetup paperSize="9"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93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112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152138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152250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509.33992000000006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209.24892000000003</v>
      </c>
      <c r="U24" s="78">
        <f>N43</f>
        <v>0.41082371866709366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15.497</v>
      </c>
      <c r="U25" s="79">
        <f>G43</f>
        <v>3.0425653657777302E-2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21.27</v>
      </c>
      <c r="U27" s="78">
        <f>F43</f>
        <v>4.1759931167382282E-2</v>
      </c>
    </row>
    <row r="28" spans="1:21" x14ac:dyDescent="0.2">
      <c r="A28" s="4" t="s">
        <v>93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3138</v>
      </c>
      <c r="D31" s="10">
        <v>0</v>
      </c>
      <c r="E31" s="10">
        <v>0</v>
      </c>
      <c r="F31" s="10">
        <v>325</v>
      </c>
      <c r="G31" s="10">
        <v>0</v>
      </c>
      <c r="H31" s="10">
        <v>0</v>
      </c>
      <c r="I31" s="10"/>
      <c r="J31" s="10"/>
      <c r="K31" s="10"/>
      <c r="L31" s="10"/>
      <c r="N31" s="10">
        <v>6517</v>
      </c>
      <c r="O31" s="10">
        <v>9980</v>
      </c>
      <c r="P31" s="80">
        <f>O31/O$39</f>
        <v>2.0208974566661268E-2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f>C39-SUM(C33:C38,C31)</f>
        <v>1369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0">
        <v>8141</v>
      </c>
      <c r="O32" s="121">
        <f>SUM(C32,N32)</f>
        <v>9510</v>
      </c>
      <c r="P32" s="80">
        <f>O32/O$39</f>
        <v>1.9257249311517899E-2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29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8358</v>
      </c>
      <c r="O33" s="10">
        <v>8387</v>
      </c>
      <c r="P33" s="80">
        <f>O33/O$39</f>
        <v>1.6983233435930667E-2</v>
      </c>
      <c r="Q33" s="81" t="s">
        <v>39</v>
      </c>
      <c r="R33" s="75"/>
      <c r="S33" s="75" t="s">
        <v>35</v>
      </c>
      <c r="T33" s="77">
        <f>C42/1000</f>
        <v>263.32400000000001</v>
      </c>
      <c r="U33" s="79">
        <f>C43</f>
        <v>0.51699069650774665</v>
      </c>
    </row>
    <row r="34" spans="1:48" x14ac:dyDescent="0.2">
      <c r="A34" s="8" t="s">
        <v>40</v>
      </c>
      <c r="B34" s="10">
        <v>0</v>
      </c>
      <c r="C34" s="10">
        <v>252180</v>
      </c>
      <c r="D34" s="10">
        <v>0</v>
      </c>
      <c r="E34" s="10">
        <v>0</v>
      </c>
      <c r="F34" s="10">
        <v>20945</v>
      </c>
      <c r="G34" s="10">
        <v>0</v>
      </c>
      <c r="H34" s="10">
        <v>0</v>
      </c>
      <c r="I34" s="10"/>
      <c r="J34" s="10"/>
      <c r="K34" s="10"/>
      <c r="L34" s="10"/>
      <c r="N34" s="10">
        <v>197</v>
      </c>
      <c r="O34" s="10">
        <v>273322</v>
      </c>
      <c r="P34" s="80">
        <f>O34/O$39</f>
        <v>0.55346265997084076</v>
      </c>
      <c r="Q34" s="81" t="s">
        <v>41</v>
      </c>
      <c r="R34" s="75"/>
      <c r="S34" s="75"/>
      <c r="T34" s="77">
        <f>SUM(T24:T33)</f>
        <v>509.33992000000001</v>
      </c>
      <c r="U34" s="78">
        <f>SUM(U24:U33)</f>
        <v>0.99999999999999989</v>
      </c>
    </row>
    <row r="35" spans="1:48" x14ac:dyDescent="0.2">
      <c r="A35" s="8" t="s">
        <v>42</v>
      </c>
      <c r="B35" s="10">
        <v>0</v>
      </c>
      <c r="C35" s="10">
        <v>5572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98391</v>
      </c>
      <c r="O35" s="10">
        <v>103963</v>
      </c>
      <c r="P35" s="80">
        <f>O35/O$39</f>
        <v>0.21051960149036125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21">
        <v>1036</v>
      </c>
      <c r="D36" s="10">
        <v>0</v>
      </c>
      <c r="E36" s="10">
        <v>0</v>
      </c>
      <c r="F36" s="10">
        <v>0</v>
      </c>
      <c r="G36" s="10">
        <v>15497</v>
      </c>
      <c r="H36" s="10">
        <v>0</v>
      </c>
      <c r="I36" s="10"/>
      <c r="J36" s="10"/>
      <c r="K36" s="10"/>
      <c r="L36" s="10"/>
      <c r="N36" s="10">
        <v>47255</v>
      </c>
      <c r="O36" s="121">
        <f>SUM(C36:N36)</f>
        <v>63788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9987</v>
      </c>
      <c r="O37" s="10">
        <v>9987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14903</v>
      </c>
      <c r="O38" s="10">
        <v>14903</v>
      </c>
      <c r="P38" s="81">
        <f>SUM(P31:P35)</f>
        <v>0.82043171877531185</v>
      </c>
      <c r="Q38" s="81"/>
      <c r="R38" s="75"/>
      <c r="S38" s="83" t="s">
        <v>47</v>
      </c>
      <c r="T38" s="86">
        <f>O45/1000</f>
        <v>15.499919999999999</v>
      </c>
      <c r="U38" s="83"/>
    </row>
    <row r="39" spans="1:48" x14ac:dyDescent="0.2">
      <c r="A39" s="8" t="s">
        <v>16</v>
      </c>
      <c r="B39" s="10">
        <v>0</v>
      </c>
      <c r="C39" s="10">
        <v>263324</v>
      </c>
      <c r="D39" s="10">
        <v>0</v>
      </c>
      <c r="E39" s="10">
        <v>0</v>
      </c>
      <c r="F39" s="10">
        <v>21270</v>
      </c>
      <c r="G39" s="10">
        <v>15497</v>
      </c>
      <c r="H39" s="10">
        <v>0</v>
      </c>
      <c r="I39" s="10"/>
      <c r="J39" s="10"/>
      <c r="K39" s="10"/>
      <c r="L39" s="10"/>
      <c r="N39" s="10">
        <v>193749</v>
      </c>
      <c r="O39" s="10">
        <v>493840</v>
      </c>
      <c r="P39" s="75"/>
      <c r="Q39" s="75"/>
      <c r="R39" s="75"/>
      <c r="S39" s="83" t="s">
        <v>48</v>
      </c>
      <c r="T39" s="90">
        <f>O41/1000</f>
        <v>88.677999999999997</v>
      </c>
      <c r="U39" s="78">
        <f>P41</f>
        <v>0.17956828122468815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103.96299999999999</v>
      </c>
      <c r="U40" s="79">
        <f>P35</f>
        <v>0.21051960149036125</v>
      </c>
    </row>
    <row r="41" spans="1:48" x14ac:dyDescent="0.2">
      <c r="A41" s="14" t="s">
        <v>50</v>
      </c>
      <c r="B41" s="85">
        <f>B38+B37+B36</f>
        <v>0</v>
      </c>
      <c r="C41" s="85">
        <f t="shared" ref="C41:O41" si="0">C38+C37+C36</f>
        <v>1036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15497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72145</v>
      </c>
      <c r="O41" s="85">
        <f t="shared" si="0"/>
        <v>88678</v>
      </c>
      <c r="P41" s="80">
        <f>O41/O$39</f>
        <v>0.17956828122468815</v>
      </c>
      <c r="Q41" s="80" t="s">
        <v>51</v>
      </c>
      <c r="R41" s="83"/>
      <c r="S41" s="83" t="s">
        <v>52</v>
      </c>
      <c r="T41" s="90">
        <f>O33/1000</f>
        <v>8.3870000000000005</v>
      </c>
      <c r="U41" s="78">
        <f>P33</f>
        <v>1.6983233435930667E-2</v>
      </c>
    </row>
    <row r="42" spans="1:48" x14ac:dyDescent="0.2">
      <c r="A42" s="15" t="s">
        <v>53</v>
      </c>
      <c r="B42" s="85"/>
      <c r="C42" s="88">
        <f>C39+C23+C10</f>
        <v>263324</v>
      </c>
      <c r="D42" s="88">
        <f t="shared" ref="D42:M42" si="1">D39+D23+D10</f>
        <v>0</v>
      </c>
      <c r="E42" s="88">
        <f t="shared" si="1"/>
        <v>0</v>
      </c>
      <c r="F42" s="88">
        <f t="shared" si="1"/>
        <v>21270</v>
      </c>
      <c r="G42" s="88">
        <f t="shared" si="1"/>
        <v>15497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209248.92</v>
      </c>
      <c r="O42" s="89">
        <f>SUM(C42:N42)</f>
        <v>509339.92000000004</v>
      </c>
      <c r="P42" s="83"/>
      <c r="Q42" s="83"/>
      <c r="R42" s="83"/>
      <c r="S42" s="83" t="s">
        <v>34</v>
      </c>
      <c r="T42" s="90">
        <f>O31/1000</f>
        <v>9.98</v>
      </c>
      <c r="U42" s="78">
        <f>P31</f>
        <v>2.0208974566661268E-2</v>
      </c>
    </row>
    <row r="43" spans="1:48" x14ac:dyDescent="0.2">
      <c r="A43" s="15" t="s">
        <v>54</v>
      </c>
      <c r="B43" s="85"/>
      <c r="C43" s="80">
        <f t="shared" ref="C43:N43" si="2">C42/$O42</f>
        <v>0.51699069650774665</v>
      </c>
      <c r="D43" s="80">
        <f t="shared" si="2"/>
        <v>0</v>
      </c>
      <c r="E43" s="80">
        <f t="shared" si="2"/>
        <v>0</v>
      </c>
      <c r="F43" s="80">
        <f t="shared" si="2"/>
        <v>4.1759931167382282E-2</v>
      </c>
      <c r="G43" s="80">
        <f t="shared" si="2"/>
        <v>3.0425653657777302E-2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0.41082371866709366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9.51</v>
      </c>
      <c r="U43" s="79">
        <f>P32</f>
        <v>1.9257249311517899E-2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273.322</v>
      </c>
      <c r="U44" s="79">
        <f>P34</f>
        <v>0.55346265997084076</v>
      </c>
    </row>
    <row r="45" spans="1:48" x14ac:dyDescent="0.2">
      <c r="A45" s="6" t="s">
        <v>57</v>
      </c>
      <c r="B45" s="91">
        <f>B23-B39</f>
        <v>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15499.92</v>
      </c>
      <c r="O45" s="89">
        <f>B45+N45</f>
        <v>15499.92</v>
      </c>
      <c r="P45" s="83"/>
      <c r="Q45" s="83"/>
      <c r="R45" s="83"/>
      <c r="S45" s="83" t="s">
        <v>58</v>
      </c>
      <c r="T45" s="90">
        <f>SUM(T39:T44)</f>
        <v>493.84</v>
      </c>
      <c r="U45" s="78">
        <f>SUM(U39:U44)</f>
        <v>1</v>
      </c>
    </row>
    <row r="46" spans="1:48" x14ac:dyDescent="0.2">
      <c r="A46" s="6"/>
      <c r="B46" s="93" t="e">
        <f>B45/B23</f>
        <v>#DIV/0!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7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8.83203125" style="2"/>
    <col min="15" max="15" width="9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94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21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215828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20325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236174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0">
        <v>20500</v>
      </c>
      <c r="C18" s="120">
        <v>90</v>
      </c>
      <c r="D18" s="10">
        <v>0</v>
      </c>
      <c r="E18" s="10">
        <v>0</v>
      </c>
      <c r="F18" s="10">
        <v>23304</v>
      </c>
      <c r="G18" s="120">
        <v>0</v>
      </c>
      <c r="H18" s="10">
        <v>0</v>
      </c>
      <c r="I18" s="10"/>
      <c r="J18" s="10"/>
      <c r="K18" s="10"/>
      <c r="L18" s="10"/>
      <c r="M18" s="10"/>
      <c r="N18" s="10"/>
      <c r="O18" s="120">
        <f>SUM(C18:N18)</f>
        <v>23394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124250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1164.6077600000001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f>SUM(B17:B22)</f>
        <v>144750</v>
      </c>
      <c r="C23" s="120">
        <f>SUM(C17:C22)</f>
        <v>90</v>
      </c>
      <c r="D23" s="10">
        <v>0</v>
      </c>
      <c r="E23" s="10">
        <v>0</v>
      </c>
      <c r="F23" s="10">
        <v>23304</v>
      </c>
      <c r="G23" s="120">
        <v>0</v>
      </c>
      <c r="H23" s="10">
        <v>0</v>
      </c>
      <c r="I23" s="10"/>
      <c r="J23" s="10"/>
      <c r="K23" s="10"/>
      <c r="L23" s="10"/>
      <c r="M23" s="10"/>
      <c r="N23" s="10"/>
      <c r="O23" s="120">
        <f>O18</f>
        <v>23394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783.83375999999998</v>
      </c>
      <c r="U24" s="78">
        <f>N43</f>
        <v>0.67304528350386394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45.515999999999998</v>
      </c>
      <c r="U25" s="79">
        <f>G43</f>
        <v>3.9082686517561929E-2</v>
      </c>
    </row>
    <row r="26" spans="1:21" x14ac:dyDescent="0.2">
      <c r="B26" s="10"/>
      <c r="C26" s="10"/>
      <c r="D26" s="10"/>
      <c r="E26" s="10"/>
      <c r="F26" s="10"/>
      <c r="G26" s="10"/>
      <c r="H26" s="10"/>
      <c r="J26" s="10"/>
      <c r="K26" s="10"/>
      <c r="L26" s="10"/>
      <c r="M26" s="10"/>
      <c r="N26" s="147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46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47.140999999999998</v>
      </c>
      <c r="U27" s="78">
        <f>F43</f>
        <v>4.0478006088504853E-2</v>
      </c>
    </row>
    <row r="28" spans="1:21" x14ac:dyDescent="0.2">
      <c r="A28" s="4" t="s">
        <v>94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1.3029999999999999</v>
      </c>
      <c r="U28" s="78">
        <f>E43</f>
        <v>1.1188316313468494E-3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12151</v>
      </c>
      <c r="D31" s="10">
        <v>0</v>
      </c>
      <c r="E31" s="10">
        <v>0</v>
      </c>
      <c r="F31" s="10">
        <v>1258</v>
      </c>
      <c r="G31" s="10">
        <v>0</v>
      </c>
      <c r="H31" s="10">
        <v>0</v>
      </c>
      <c r="I31" s="10"/>
      <c r="J31" s="10"/>
      <c r="K31" s="10"/>
      <c r="L31" s="10"/>
      <c r="N31" s="10">
        <v>16733</v>
      </c>
      <c r="O31" s="10">
        <v>30141</v>
      </c>
      <c r="P31" s="80">
        <f>O31/O$39</f>
        <v>2.4851342125832336E-2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3260</v>
      </c>
      <c r="C32" s="10">
        <v>3910</v>
      </c>
      <c r="D32" s="148">
        <v>0</v>
      </c>
      <c r="E32" s="147">
        <v>1303</v>
      </c>
      <c r="F32" s="10">
        <v>0</v>
      </c>
      <c r="G32" s="121">
        <f>G39-G36</f>
        <v>316</v>
      </c>
      <c r="H32" s="121">
        <v>0</v>
      </c>
      <c r="I32" s="95"/>
      <c r="J32" s="95"/>
      <c r="K32" s="95"/>
      <c r="L32" s="95"/>
      <c r="N32" s="147">
        <f>O32-G32-E32-C32-B32</f>
        <v>458804</v>
      </c>
      <c r="O32" s="95">
        <f>O39-SUM(O33:O38,O31)</f>
        <v>467593</v>
      </c>
      <c r="P32" s="80">
        <f>O32/O$39</f>
        <v>0.38553178788508408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52">
        <f>B39-SUM(B34:B38,B31:B32)</f>
        <v>9795</v>
      </c>
      <c r="C33" s="10">
        <v>473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44994</v>
      </c>
      <c r="O33" s="152">
        <f>SUM(B33:N33)</f>
        <v>55262</v>
      </c>
      <c r="P33" s="80">
        <f>O33/O$39</f>
        <v>4.5563679657534474E-2</v>
      </c>
      <c r="Q33" s="81" t="s">
        <v>39</v>
      </c>
      <c r="R33" s="75"/>
      <c r="S33" s="75" t="s">
        <v>35</v>
      </c>
      <c r="T33" s="77">
        <f>C42/1000</f>
        <v>286.81400000000002</v>
      </c>
      <c r="U33" s="79">
        <f>C43</f>
        <v>0.24627519225872238</v>
      </c>
    </row>
    <row r="34" spans="1:48" x14ac:dyDescent="0.2">
      <c r="A34" s="8" t="s">
        <v>40</v>
      </c>
      <c r="B34" s="10">
        <v>0</v>
      </c>
      <c r="C34" s="10">
        <v>268431</v>
      </c>
      <c r="D34" s="10">
        <v>0</v>
      </c>
      <c r="E34" s="10">
        <v>0</v>
      </c>
      <c r="F34" s="10">
        <v>22580</v>
      </c>
      <c r="G34" s="10">
        <v>0</v>
      </c>
      <c r="H34" s="10">
        <v>0</v>
      </c>
      <c r="I34" s="10"/>
      <c r="J34" s="10"/>
      <c r="K34" s="10"/>
      <c r="L34" s="10"/>
      <c r="N34" s="10">
        <v>235</v>
      </c>
      <c r="O34" s="10">
        <v>291246</v>
      </c>
      <c r="P34" s="80">
        <f>O34/O$39</f>
        <v>0.24013317370957049</v>
      </c>
      <c r="Q34" s="81" t="s">
        <v>41</v>
      </c>
      <c r="R34" s="75"/>
      <c r="S34" s="75"/>
      <c r="T34" s="77">
        <f>SUM(T24:T33)</f>
        <v>1164.6077599999999</v>
      </c>
      <c r="U34" s="78">
        <f>SUM(U24:U33)</f>
        <v>1</v>
      </c>
    </row>
    <row r="35" spans="1:48" x14ac:dyDescent="0.2">
      <c r="A35" s="8" t="s">
        <v>42</v>
      </c>
      <c r="B35" s="10">
        <v>32033</v>
      </c>
      <c r="C35" s="10">
        <v>1279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75465</v>
      </c>
      <c r="O35" s="10">
        <v>108777</v>
      </c>
      <c r="P35" s="80">
        <f>O35/O$39</f>
        <v>8.9686952736195341E-2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5602</v>
      </c>
      <c r="C36" s="10">
        <v>420</v>
      </c>
      <c r="D36" s="10">
        <v>0</v>
      </c>
      <c r="E36" s="10">
        <v>0</v>
      </c>
      <c r="F36" s="10">
        <v>0</v>
      </c>
      <c r="G36" s="121">
        <v>45200</v>
      </c>
      <c r="H36" s="10">
        <v>0</v>
      </c>
      <c r="I36" s="10"/>
      <c r="J36" s="10"/>
      <c r="K36" s="10"/>
      <c r="L36" s="10"/>
      <c r="N36" s="10">
        <v>106127</v>
      </c>
      <c r="O36" s="121">
        <f>SUM(B36:N36)</f>
        <v>157349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79010</v>
      </c>
      <c r="C37" s="10">
        <v>60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15474</v>
      </c>
      <c r="O37" s="10">
        <v>94544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7940</v>
      </c>
      <c r="O38" s="10">
        <v>7940</v>
      </c>
      <c r="P38" s="81">
        <f>SUM(P31:P35)</f>
        <v>0.78576693611421666</v>
      </c>
      <c r="Q38" s="81"/>
      <c r="R38" s="75"/>
      <c r="S38" s="83" t="s">
        <v>47</v>
      </c>
      <c r="T38" s="86">
        <f>O45/1000</f>
        <v>73.111760000000004</v>
      </c>
      <c r="U38" s="83"/>
    </row>
    <row r="39" spans="1:48" x14ac:dyDescent="0.2">
      <c r="A39" s="8" t="s">
        <v>16</v>
      </c>
      <c r="B39" s="120">
        <v>129700</v>
      </c>
      <c r="C39" s="10">
        <v>286724</v>
      </c>
      <c r="D39" s="148">
        <v>0</v>
      </c>
      <c r="E39" s="147">
        <f>E32</f>
        <v>1303</v>
      </c>
      <c r="F39" s="10">
        <v>23837</v>
      </c>
      <c r="G39" s="10">
        <v>45516</v>
      </c>
      <c r="H39" s="121">
        <v>0</v>
      </c>
      <c r="I39" s="95"/>
      <c r="J39" s="95"/>
      <c r="K39" s="95"/>
      <c r="L39" s="95"/>
      <c r="N39" s="147">
        <v>725772</v>
      </c>
      <c r="O39" s="10">
        <f>1587252-374400</f>
        <v>1212852</v>
      </c>
      <c r="P39" s="75"/>
      <c r="Q39" s="75"/>
      <c r="R39" s="75"/>
      <c r="S39" s="83" t="s">
        <v>48</v>
      </c>
      <c r="T39" s="90">
        <f>O41/1000</f>
        <v>259.83300000000003</v>
      </c>
      <c r="U39" s="78">
        <f>P41</f>
        <v>0.21423306388578325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108.777</v>
      </c>
      <c r="U40" s="79">
        <f>P35</f>
        <v>8.9686952736195341E-2</v>
      </c>
    </row>
    <row r="41" spans="1:48" x14ac:dyDescent="0.2">
      <c r="A41" s="14" t="s">
        <v>50</v>
      </c>
      <c r="B41" s="85">
        <f>B38+B37+B36</f>
        <v>84612</v>
      </c>
      <c r="C41" s="85">
        <f t="shared" ref="C41:O41" si="0">C38+C37+C36</f>
        <v>480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45200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129541</v>
      </c>
      <c r="O41" s="85">
        <f t="shared" si="0"/>
        <v>259833</v>
      </c>
      <c r="P41" s="80">
        <f>O41/O$39</f>
        <v>0.21423306388578325</v>
      </c>
      <c r="Q41" s="80" t="s">
        <v>51</v>
      </c>
      <c r="R41" s="83"/>
      <c r="S41" s="83" t="s">
        <v>52</v>
      </c>
      <c r="T41" s="90">
        <f>O33/1000</f>
        <v>55.262</v>
      </c>
      <c r="U41" s="78">
        <f>P33</f>
        <v>4.5563679657534474E-2</v>
      </c>
    </row>
    <row r="42" spans="1:48" x14ac:dyDescent="0.2">
      <c r="A42" s="15" t="s">
        <v>53</v>
      </c>
      <c r="B42" s="85"/>
      <c r="C42" s="88">
        <f>C39+C23+C10</f>
        <v>286814</v>
      </c>
      <c r="D42" s="88">
        <f t="shared" ref="D42:M42" si="1">D39+D23+D10</f>
        <v>0</v>
      </c>
      <c r="E42" s="88">
        <f t="shared" si="1"/>
        <v>1303</v>
      </c>
      <c r="F42" s="88">
        <f t="shared" si="1"/>
        <v>47141</v>
      </c>
      <c r="G42" s="88">
        <f t="shared" si="1"/>
        <v>45516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783833.76</v>
      </c>
      <c r="O42" s="89">
        <f>SUM(C42:N42)</f>
        <v>1164607.76</v>
      </c>
      <c r="P42" s="83"/>
      <c r="Q42" s="83"/>
      <c r="R42" s="83"/>
      <c r="S42" s="83" t="s">
        <v>34</v>
      </c>
      <c r="T42" s="90">
        <f>O31/1000</f>
        <v>30.140999999999998</v>
      </c>
      <c r="U42" s="78">
        <f>P31</f>
        <v>2.4851342125832336E-2</v>
      </c>
    </row>
    <row r="43" spans="1:48" x14ac:dyDescent="0.2">
      <c r="A43" s="15" t="s">
        <v>54</v>
      </c>
      <c r="B43" s="85"/>
      <c r="C43" s="80">
        <f t="shared" ref="C43:N43" si="2">C42/$O42</f>
        <v>0.24627519225872238</v>
      </c>
      <c r="D43" s="80">
        <f t="shared" si="2"/>
        <v>0</v>
      </c>
      <c r="E43" s="80">
        <f t="shared" si="2"/>
        <v>1.1188316313468494E-3</v>
      </c>
      <c r="F43" s="80">
        <f t="shared" si="2"/>
        <v>4.0478006088504853E-2</v>
      </c>
      <c r="G43" s="80">
        <f t="shared" si="2"/>
        <v>3.9082686517561929E-2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0.67304528350386394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467.59300000000002</v>
      </c>
      <c r="U43" s="79">
        <f>P32</f>
        <v>0.38553178788508408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291.24599999999998</v>
      </c>
      <c r="U44" s="79">
        <f>P34</f>
        <v>0.24013317370957049</v>
      </c>
    </row>
    <row r="45" spans="1:48" x14ac:dyDescent="0.2">
      <c r="A45" s="6" t="s">
        <v>57</v>
      </c>
      <c r="B45" s="91">
        <f>B23-B39</f>
        <v>15050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58061.760000000002</v>
      </c>
      <c r="O45" s="89">
        <f>B45+N45</f>
        <v>73111.760000000009</v>
      </c>
      <c r="P45" s="83"/>
      <c r="Q45" s="83"/>
      <c r="R45" s="83"/>
      <c r="S45" s="83" t="s">
        <v>58</v>
      </c>
      <c r="T45" s="90">
        <f>SUM(T39:T44)</f>
        <v>1212.8519999999999</v>
      </c>
      <c r="U45" s="78">
        <f>SUM(U39:U44)</f>
        <v>1</v>
      </c>
    </row>
    <row r="46" spans="1:48" x14ac:dyDescent="0.2">
      <c r="A46" s="6"/>
      <c r="B46" s="93">
        <f>B45/B23</f>
        <v>0.10397236614853195</v>
      </c>
      <c r="C46" s="6"/>
      <c r="D46" s="6"/>
      <c r="E46" s="10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7"/>
      <c r="F48" s="17"/>
      <c r="G48" s="16"/>
      <c r="H48" s="16"/>
      <c r="I48" s="17"/>
      <c r="J48" s="17"/>
      <c r="K48" s="17"/>
      <c r="L48" s="17"/>
      <c r="M48" s="17"/>
      <c r="N48" s="16"/>
      <c r="O48" s="16"/>
      <c r="P48" s="17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7"/>
      <c r="F55" s="17"/>
      <c r="G55" s="16"/>
      <c r="H55" s="16"/>
      <c r="I55" s="17"/>
      <c r="J55" s="17"/>
      <c r="K55" s="17"/>
      <c r="L55" s="17"/>
      <c r="M55" s="17"/>
      <c r="N55" s="16"/>
      <c r="O55" s="16"/>
      <c r="P55" s="17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7"/>
      <c r="F56" s="17"/>
      <c r="G56" s="16"/>
      <c r="H56" s="16"/>
      <c r="I56" s="17"/>
      <c r="J56" s="17"/>
      <c r="K56" s="17"/>
      <c r="L56" s="17"/>
      <c r="M56" s="17"/>
      <c r="N56" s="16"/>
      <c r="O56" s="16"/>
      <c r="P56" s="17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1" enableFormatConditionsCalculation="0"/>
  <dimension ref="A1:AV48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8.83203125" style="2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95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454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59">
        <v>21057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614</v>
      </c>
      <c r="C7" s="10">
        <v>2480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2480</v>
      </c>
      <c r="Q7" s="8"/>
      <c r="R7" s="10"/>
    </row>
    <row r="8" spans="1:35" x14ac:dyDescent="0.2">
      <c r="A8" s="8" t="s">
        <v>14</v>
      </c>
      <c r="B8" s="121">
        <v>1550575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Q8" s="8"/>
      <c r="R8" s="10"/>
    </row>
    <row r="9" spans="1:35" x14ac:dyDescent="0.2">
      <c r="A9" s="8" t="s">
        <v>15</v>
      </c>
      <c r="B9" s="152">
        <f>1764</f>
        <v>1764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59">
        <v>1574464</v>
      </c>
      <c r="C10" s="10">
        <v>2480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2480</v>
      </c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117820</v>
      </c>
      <c r="C17" s="119">
        <v>130</v>
      </c>
      <c r="D17" s="10">
        <v>0</v>
      </c>
      <c r="E17" s="10">
        <v>0</v>
      </c>
      <c r="F17" s="10">
        <v>0</v>
      </c>
      <c r="G17" s="119">
        <v>127535</v>
      </c>
      <c r="H17" s="10">
        <v>0</v>
      </c>
      <c r="I17" s="10"/>
      <c r="J17" s="10"/>
      <c r="K17" s="10"/>
      <c r="L17" s="10"/>
      <c r="M17" s="10"/>
      <c r="N17" s="10"/>
      <c r="O17" s="119">
        <f>SUM(C17:N17)</f>
        <v>127665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241420</v>
      </c>
      <c r="C18" s="119">
        <v>347</v>
      </c>
      <c r="D18" s="10">
        <v>0</v>
      </c>
      <c r="E18" s="10">
        <v>0</v>
      </c>
      <c r="F18" s="119">
        <v>20691</v>
      </c>
      <c r="G18" s="119">
        <v>240633</v>
      </c>
      <c r="H18" s="10">
        <v>0</v>
      </c>
      <c r="I18" s="10"/>
      <c r="J18" s="10"/>
      <c r="K18" s="10"/>
      <c r="L18" s="10"/>
      <c r="M18" s="10"/>
      <c r="N18" s="10"/>
      <c r="O18" s="119">
        <f>SUM(C18:N18)</f>
        <v>261671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1287.1950400000001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v>359240</v>
      </c>
      <c r="C23" s="119">
        <v>477</v>
      </c>
      <c r="D23" s="10">
        <v>0</v>
      </c>
      <c r="E23" s="10">
        <v>0</v>
      </c>
      <c r="F23" s="119">
        <f>F18</f>
        <v>20691</v>
      </c>
      <c r="G23" s="119">
        <f>SUM(G17:G18)</f>
        <v>368168</v>
      </c>
      <c r="H23" s="10">
        <v>0</v>
      </c>
      <c r="I23" s="10"/>
      <c r="J23" s="10"/>
      <c r="K23" s="10"/>
      <c r="L23" s="10"/>
      <c r="M23" s="10"/>
      <c r="N23" s="10"/>
      <c r="O23" s="119">
        <f>SUM(O17:O18)</f>
        <v>389336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529.70303999999999</v>
      </c>
      <c r="U24" s="78">
        <f>N43</f>
        <v>0.41151730976216316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47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396.86</v>
      </c>
      <c r="U25" s="79">
        <f>G43</f>
        <v>0.30831380456531282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45.136000000000003</v>
      </c>
      <c r="U27" s="78">
        <f>F43</f>
        <v>3.5065393042533789E-2</v>
      </c>
    </row>
    <row r="28" spans="1:21" x14ac:dyDescent="0.2">
      <c r="A28" s="4" t="s">
        <v>95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5.0000000000000001E-3</v>
      </c>
      <c r="U28" s="78">
        <f>E43</f>
        <v>3.8844152165160613E-6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5874</v>
      </c>
      <c r="D31" s="10">
        <v>0</v>
      </c>
      <c r="E31" s="10">
        <v>0</v>
      </c>
      <c r="F31" s="10">
        <v>605</v>
      </c>
      <c r="G31" s="10">
        <v>0</v>
      </c>
      <c r="H31" s="10">
        <v>0</v>
      </c>
      <c r="I31" s="10"/>
      <c r="J31" s="10"/>
      <c r="K31" s="10"/>
      <c r="L31" s="10"/>
      <c r="N31" s="121">
        <v>6014</v>
      </c>
      <c r="O31" s="121">
        <f>SUM(B31:N31)</f>
        <v>12493</v>
      </c>
      <c r="P31" s="80">
        <f>O31/O$39</f>
        <v>1.0429101643044733E-2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75995</v>
      </c>
      <c r="C32" s="121">
        <v>2633</v>
      </c>
      <c r="D32" s="10">
        <v>0</v>
      </c>
      <c r="E32" s="121">
        <v>5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21">
        <f>N39-N38-N37-N36-N35-N34-N33-N31</f>
        <v>137908</v>
      </c>
      <c r="O32" s="121">
        <f>O39-SUM(O33:O38,O31)</f>
        <v>216541</v>
      </c>
      <c r="P32" s="80">
        <f>O32/O$39</f>
        <v>0.1807674776984351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18278</v>
      </c>
      <c r="C33" s="10">
        <v>3873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55972</v>
      </c>
      <c r="O33" s="10">
        <v>78124</v>
      </c>
      <c r="P33" s="80">
        <f>O33/O$39</f>
        <v>6.5217572781655866E-2</v>
      </c>
      <c r="Q33" s="81" t="s">
        <v>39</v>
      </c>
      <c r="R33" s="75"/>
      <c r="S33" s="75" t="s">
        <v>35</v>
      </c>
      <c r="T33" s="77">
        <f>C42/1000</f>
        <v>315.49099999999999</v>
      </c>
      <c r="U33" s="79">
        <f>C43</f>
        <v>0.24509960821477372</v>
      </c>
    </row>
    <row r="34" spans="1:48" x14ac:dyDescent="0.2">
      <c r="A34" s="8" t="s">
        <v>40</v>
      </c>
      <c r="B34" s="10">
        <v>0</v>
      </c>
      <c r="C34" s="10">
        <v>299082</v>
      </c>
      <c r="D34" s="10">
        <v>0</v>
      </c>
      <c r="E34" s="10">
        <v>0</v>
      </c>
      <c r="F34" s="10">
        <v>23839</v>
      </c>
      <c r="G34" s="10">
        <v>0</v>
      </c>
      <c r="H34" s="10">
        <v>0</v>
      </c>
      <c r="I34" s="10"/>
      <c r="J34" s="10"/>
      <c r="K34" s="10"/>
      <c r="L34" s="10"/>
      <c r="N34" s="10">
        <v>1728</v>
      </c>
      <c r="O34" s="10">
        <v>324649</v>
      </c>
      <c r="P34" s="80">
        <f>O34/O$39</f>
        <v>0.27101556225989193</v>
      </c>
      <c r="Q34" s="81" t="s">
        <v>41</v>
      </c>
      <c r="R34" s="75"/>
      <c r="S34" s="75"/>
      <c r="T34" s="77">
        <f>SUM(T24:T33)</f>
        <v>1287.1950400000001</v>
      </c>
      <c r="U34" s="78">
        <f>SUM(U24:U33)</f>
        <v>1</v>
      </c>
    </row>
    <row r="35" spans="1:48" x14ac:dyDescent="0.2">
      <c r="A35" s="8" t="s">
        <v>42</v>
      </c>
      <c r="B35" s="10">
        <v>45238</v>
      </c>
      <c r="C35" s="121">
        <v>500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1">
        <f>O35-C35-B35</f>
        <v>143640</v>
      </c>
      <c r="O35" s="10">
        <v>189378</v>
      </c>
      <c r="P35" s="80">
        <f>O35/O$39</f>
        <v>0.15809192435416036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14324</v>
      </c>
      <c r="C36" s="10">
        <v>502</v>
      </c>
      <c r="D36" s="10">
        <v>0</v>
      </c>
      <c r="E36" s="10">
        <v>0</v>
      </c>
      <c r="F36" s="10">
        <v>0</v>
      </c>
      <c r="G36" s="10">
        <v>28692</v>
      </c>
      <c r="H36" s="10">
        <v>0</v>
      </c>
      <c r="I36" s="10"/>
      <c r="J36" s="10"/>
      <c r="K36" s="10"/>
      <c r="L36" s="10"/>
      <c r="N36" s="10">
        <v>128099</v>
      </c>
      <c r="O36" s="10">
        <v>171617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168424</v>
      </c>
      <c r="C37" s="10">
        <v>70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33417</v>
      </c>
      <c r="O37" s="10">
        <v>201911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3185</v>
      </c>
      <c r="O38" s="121">
        <f>N38</f>
        <v>3185</v>
      </c>
      <c r="P38" s="81">
        <f>SUM(P31:P35)</f>
        <v>0.68552163873718786</v>
      </c>
      <c r="Q38" s="81"/>
      <c r="R38" s="75"/>
      <c r="S38" s="83" t="s">
        <v>47</v>
      </c>
      <c r="T38" s="86">
        <f>O45/1000</f>
        <v>77.778040000000004</v>
      </c>
      <c r="U38" s="83"/>
    </row>
    <row r="39" spans="1:48" x14ac:dyDescent="0.2">
      <c r="A39" s="8" t="s">
        <v>16</v>
      </c>
      <c r="B39" s="10">
        <v>322259</v>
      </c>
      <c r="C39" s="121">
        <f>SUM(C31:C37)</f>
        <v>312534</v>
      </c>
      <c r="D39" s="10">
        <v>0</v>
      </c>
      <c r="E39" s="121">
        <v>5</v>
      </c>
      <c r="F39" s="10">
        <v>24445</v>
      </c>
      <c r="G39" s="10">
        <v>28692</v>
      </c>
      <c r="H39" s="10">
        <v>0</v>
      </c>
      <c r="I39" s="10"/>
      <c r="J39" s="10"/>
      <c r="K39" s="10"/>
      <c r="L39" s="10"/>
      <c r="N39" s="10">
        <v>509963</v>
      </c>
      <c r="O39" s="10">
        <v>1197898</v>
      </c>
      <c r="P39" s="75"/>
      <c r="Q39" s="75"/>
      <c r="R39" s="75"/>
      <c r="S39" s="83" t="s">
        <v>48</v>
      </c>
      <c r="T39" s="90">
        <f>O41/1000</f>
        <v>376.71300000000002</v>
      </c>
      <c r="U39" s="78">
        <f>P41</f>
        <v>0.31447836126281203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189.37799999999999</v>
      </c>
      <c r="U40" s="79">
        <f>P35</f>
        <v>0.15809192435416036</v>
      </c>
    </row>
    <row r="41" spans="1:48" x14ac:dyDescent="0.2">
      <c r="A41" s="14" t="s">
        <v>50</v>
      </c>
      <c r="B41" s="85">
        <f>B38+B37+B36</f>
        <v>182748</v>
      </c>
      <c r="C41" s="85">
        <f t="shared" ref="C41:O41" si="0">C38+C37+C36</f>
        <v>572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28692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164701</v>
      </c>
      <c r="O41" s="85">
        <f t="shared" si="0"/>
        <v>376713</v>
      </c>
      <c r="P41" s="80">
        <f>O41/O$39</f>
        <v>0.31447836126281203</v>
      </c>
      <c r="Q41" s="80" t="s">
        <v>51</v>
      </c>
      <c r="R41" s="83"/>
      <c r="S41" s="83" t="s">
        <v>52</v>
      </c>
      <c r="T41" s="90">
        <f>O33/1000</f>
        <v>78.123999999999995</v>
      </c>
      <c r="U41" s="78">
        <f>P33</f>
        <v>6.5217572781655866E-2</v>
      </c>
    </row>
    <row r="42" spans="1:48" x14ac:dyDescent="0.2">
      <c r="A42" s="15" t="s">
        <v>53</v>
      </c>
      <c r="B42" s="85"/>
      <c r="C42" s="88">
        <f>C39+C23+C10</f>
        <v>315491</v>
      </c>
      <c r="D42" s="88">
        <f t="shared" ref="D42:M42" si="1">D39+D23+D10</f>
        <v>0</v>
      </c>
      <c r="E42" s="88">
        <f t="shared" si="1"/>
        <v>5</v>
      </c>
      <c r="F42" s="88">
        <f t="shared" si="1"/>
        <v>45136</v>
      </c>
      <c r="G42" s="88">
        <f t="shared" si="1"/>
        <v>396860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529703.04</v>
      </c>
      <c r="O42" s="89">
        <f>SUM(C42:N42)</f>
        <v>1287195.04</v>
      </c>
      <c r="P42" s="83"/>
      <c r="Q42" s="83"/>
      <c r="R42" s="83"/>
      <c r="S42" s="83" t="s">
        <v>34</v>
      </c>
      <c r="T42" s="90">
        <f>O31/1000</f>
        <v>12.493</v>
      </c>
      <c r="U42" s="78">
        <f>P31</f>
        <v>1.0429101643044733E-2</v>
      </c>
    </row>
    <row r="43" spans="1:48" x14ac:dyDescent="0.2">
      <c r="A43" s="15" t="s">
        <v>54</v>
      </c>
      <c r="B43" s="85"/>
      <c r="C43" s="80">
        <f t="shared" ref="C43:N43" si="2">C42/$O42</f>
        <v>0.24509960821477372</v>
      </c>
      <c r="D43" s="80">
        <f t="shared" si="2"/>
        <v>0</v>
      </c>
      <c r="E43" s="80">
        <f t="shared" si="2"/>
        <v>3.8844152165160613E-6</v>
      </c>
      <c r="F43" s="80">
        <f t="shared" si="2"/>
        <v>3.5065393042533789E-2</v>
      </c>
      <c r="G43" s="80">
        <f t="shared" si="2"/>
        <v>0.30831380456531282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0.41151730976216316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216.541</v>
      </c>
      <c r="U43" s="79">
        <f>P32</f>
        <v>0.1807674776984351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324.649</v>
      </c>
      <c r="U44" s="79">
        <f>P34</f>
        <v>0.27101556225989193</v>
      </c>
    </row>
    <row r="45" spans="1:48" x14ac:dyDescent="0.2">
      <c r="A45" s="6" t="s">
        <v>57</v>
      </c>
      <c r="B45" s="91">
        <f>B23-B39</f>
        <v>36981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40797.040000000001</v>
      </c>
      <c r="O45" s="89">
        <f>B45+N45</f>
        <v>77778.040000000008</v>
      </c>
      <c r="P45" s="83"/>
      <c r="Q45" s="83"/>
      <c r="R45" s="83"/>
      <c r="S45" s="83" t="s">
        <v>58</v>
      </c>
      <c r="T45" s="90">
        <f>SUM(T39:T44)</f>
        <v>1197.8980000000001</v>
      </c>
      <c r="U45" s="78">
        <f>SUM(U39:U44)</f>
        <v>1.0000000000000002</v>
      </c>
    </row>
    <row r="46" spans="1:48" x14ac:dyDescent="0.2">
      <c r="A46" s="6"/>
      <c r="B46" s="93">
        <f>B45/B23</f>
        <v>0.10294232268121591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16"/>
      <c r="I48" s="17"/>
      <c r="J48" s="17"/>
      <c r="K48" s="17"/>
      <c r="L48" s="17"/>
      <c r="M48" s="17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60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53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1940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1993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242.15532000000002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110.97432000000001</v>
      </c>
      <c r="U24" s="78">
        <f>N43</f>
        <v>0.45827743945497462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7.0620000000000003</v>
      </c>
      <c r="U25" s="79">
        <f>G43</f>
        <v>2.916310077350355E-2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2.9049999999999998</v>
      </c>
      <c r="U27" s="78">
        <f>F43</f>
        <v>1.1996432702779357E-2</v>
      </c>
    </row>
    <row r="28" spans="1:21" x14ac:dyDescent="0.2">
      <c r="A28" s="4" t="s">
        <v>60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4.0000000000000001E-3</v>
      </c>
      <c r="U28" s="78">
        <f>E43</f>
        <v>1.6518323859248684E-5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/>
      <c r="J31" s="10"/>
      <c r="K31" s="10"/>
      <c r="L31" s="10"/>
      <c r="N31" s="10">
        <v>1095</v>
      </c>
      <c r="O31" s="10">
        <v>1095</v>
      </c>
      <c r="P31" s="80">
        <f>O31/O$39</f>
        <v>4.6807873982089038E-3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v>457</v>
      </c>
      <c r="D32" s="10">
        <v>0</v>
      </c>
      <c r="E32" s="121">
        <v>4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21">
        <v>9930</v>
      </c>
      <c r="O32" s="121">
        <f>SUM(O39-SUM(O33:O38,O31))</f>
        <v>10391</v>
      </c>
      <c r="P32" s="80">
        <f>O32/O$39</f>
        <v>4.4418321328574178E-2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5495</v>
      </c>
      <c r="O33" s="10">
        <v>5495</v>
      </c>
      <c r="P33" s="80">
        <f>O33/O$39</f>
        <v>2.348943082480176E-2</v>
      </c>
      <c r="Q33" s="81" t="s">
        <v>39</v>
      </c>
      <c r="R33" s="75"/>
      <c r="S33" s="75" t="s">
        <v>35</v>
      </c>
      <c r="T33" s="77">
        <f>C42/1000</f>
        <v>121.21</v>
      </c>
      <c r="U33" s="79">
        <f>C43</f>
        <v>0.50054650874488327</v>
      </c>
    </row>
    <row r="34" spans="1:48" x14ac:dyDescent="0.2">
      <c r="A34" s="8" t="s">
        <v>40</v>
      </c>
      <c r="B34" s="10">
        <v>0</v>
      </c>
      <c r="C34" s="121">
        <v>39205</v>
      </c>
      <c r="D34" s="10">
        <v>0</v>
      </c>
      <c r="E34" s="10">
        <v>0</v>
      </c>
      <c r="F34" s="10">
        <v>2905</v>
      </c>
      <c r="G34" s="10">
        <v>0</v>
      </c>
      <c r="H34" s="10">
        <v>0</v>
      </c>
      <c r="I34" s="10"/>
      <c r="J34" s="10"/>
      <c r="K34" s="10"/>
      <c r="L34" s="10"/>
      <c r="N34" s="10">
        <v>393</v>
      </c>
      <c r="O34" s="121">
        <f>SUM(C34:N34)</f>
        <v>42503</v>
      </c>
      <c r="P34" s="80">
        <f>O34/O$39</f>
        <v>0.18168722080919913</v>
      </c>
      <c r="Q34" s="81" t="s">
        <v>41</v>
      </c>
      <c r="R34" s="75"/>
      <c r="S34" s="75"/>
      <c r="T34" s="77">
        <f>SUM(T24:T33)</f>
        <v>242.15532000000002</v>
      </c>
      <c r="U34" s="78">
        <f>SUM(U24:U33)</f>
        <v>1</v>
      </c>
    </row>
    <row r="35" spans="1:48" x14ac:dyDescent="0.2">
      <c r="A35" s="8" t="s">
        <v>42</v>
      </c>
      <c r="B35" s="10">
        <v>0</v>
      </c>
      <c r="C35" s="10">
        <v>81548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17620</v>
      </c>
      <c r="O35" s="10">
        <v>99168</v>
      </c>
      <c r="P35" s="80">
        <f>O35/O$39</f>
        <v>0.4239126253019001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7062</v>
      </c>
      <c r="H36" s="10">
        <v>0</v>
      </c>
      <c r="I36" s="10"/>
      <c r="J36" s="10"/>
      <c r="K36" s="10"/>
      <c r="L36" s="10"/>
      <c r="N36" s="10">
        <v>62420</v>
      </c>
      <c r="O36" s="10">
        <v>69482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3541</v>
      </c>
      <c r="O37" s="10">
        <v>3541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2260</v>
      </c>
      <c r="O38" s="10">
        <v>2260</v>
      </c>
      <c r="P38" s="81">
        <f>SUM(P31:P35)</f>
        <v>0.67818838566268402</v>
      </c>
      <c r="Q38" s="81"/>
      <c r="R38" s="75"/>
      <c r="S38" s="83" t="s">
        <v>47</v>
      </c>
      <c r="T38" s="86">
        <f>O45/1000</f>
        <v>8.2203199999999992</v>
      </c>
      <c r="U38" s="83"/>
    </row>
    <row r="39" spans="1:48" x14ac:dyDescent="0.2">
      <c r="A39" s="8" t="s">
        <v>16</v>
      </c>
      <c r="B39" s="10">
        <v>0</v>
      </c>
      <c r="C39" s="121">
        <f>SUM(C31:C38)</f>
        <v>121210</v>
      </c>
      <c r="D39" s="10">
        <v>0</v>
      </c>
      <c r="E39" s="121">
        <f>E32</f>
        <v>4</v>
      </c>
      <c r="F39" s="10">
        <v>2905</v>
      </c>
      <c r="G39" s="10">
        <v>7062</v>
      </c>
      <c r="H39" s="10">
        <v>0</v>
      </c>
      <c r="I39" s="10"/>
      <c r="J39" s="10"/>
      <c r="K39" s="10"/>
      <c r="L39" s="10"/>
      <c r="N39" s="121">
        <f>SUM(N31:N38)</f>
        <v>102754</v>
      </c>
      <c r="O39" s="10">
        <v>233935</v>
      </c>
      <c r="P39" s="75"/>
      <c r="Q39" s="75"/>
      <c r="R39" s="75"/>
      <c r="S39" s="83" t="s">
        <v>48</v>
      </c>
      <c r="T39" s="90">
        <f>O41/1000</f>
        <v>75.283000000000001</v>
      </c>
      <c r="U39" s="78">
        <f>P41</f>
        <v>0.32181161433731592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99.168000000000006</v>
      </c>
      <c r="U40" s="79">
        <f>P35</f>
        <v>0.4239126253019001</v>
      </c>
    </row>
    <row r="41" spans="1:48" x14ac:dyDescent="0.2">
      <c r="A41" s="14" t="s">
        <v>50</v>
      </c>
      <c r="B41" s="85">
        <f>B38+B37+B36</f>
        <v>0</v>
      </c>
      <c r="C41" s="85">
        <f t="shared" ref="C41:O41" si="0">C38+C37+C36</f>
        <v>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7062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68221</v>
      </c>
      <c r="O41" s="85">
        <f t="shared" si="0"/>
        <v>75283</v>
      </c>
      <c r="P41" s="80">
        <f>O41/O$39</f>
        <v>0.32181161433731592</v>
      </c>
      <c r="Q41" s="80" t="s">
        <v>51</v>
      </c>
      <c r="R41" s="83"/>
      <c r="S41" s="83" t="s">
        <v>52</v>
      </c>
      <c r="T41" s="90">
        <f>O33/1000</f>
        <v>5.4950000000000001</v>
      </c>
      <c r="U41" s="78">
        <f>P33</f>
        <v>2.348943082480176E-2</v>
      </c>
    </row>
    <row r="42" spans="1:48" x14ac:dyDescent="0.2">
      <c r="A42" s="15" t="s">
        <v>53</v>
      </c>
      <c r="B42" s="85"/>
      <c r="C42" s="88">
        <f>C39+C23+C10</f>
        <v>121210</v>
      </c>
      <c r="D42" s="88">
        <f t="shared" ref="D42:M42" si="1">D39+D23+D10</f>
        <v>0</v>
      </c>
      <c r="E42" s="88">
        <f t="shared" si="1"/>
        <v>4</v>
      </c>
      <c r="F42" s="88">
        <f t="shared" si="1"/>
        <v>2905</v>
      </c>
      <c r="G42" s="88">
        <f t="shared" si="1"/>
        <v>7062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110974.32</v>
      </c>
      <c r="O42" s="89">
        <f>SUM(C42:N42)</f>
        <v>242155.32</v>
      </c>
      <c r="P42" s="83"/>
      <c r="Q42" s="83"/>
      <c r="R42" s="83"/>
      <c r="S42" s="83" t="s">
        <v>34</v>
      </c>
      <c r="T42" s="90">
        <f>O31/1000</f>
        <v>1.095</v>
      </c>
      <c r="U42" s="78">
        <f>P31</f>
        <v>4.6807873982089038E-3</v>
      </c>
    </row>
    <row r="43" spans="1:48" x14ac:dyDescent="0.2">
      <c r="A43" s="15" t="s">
        <v>54</v>
      </c>
      <c r="B43" s="85"/>
      <c r="C43" s="80">
        <f t="shared" ref="C43:N43" si="2">C42/$O42</f>
        <v>0.50054650874488327</v>
      </c>
      <c r="D43" s="80">
        <f t="shared" si="2"/>
        <v>0</v>
      </c>
      <c r="E43" s="80">
        <f t="shared" si="2"/>
        <v>1.6518323859248684E-5</v>
      </c>
      <c r="F43" s="80">
        <f t="shared" si="2"/>
        <v>1.1996432702779357E-2</v>
      </c>
      <c r="G43" s="80">
        <f t="shared" si="2"/>
        <v>2.916310077350355E-2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0.45827743945497462</v>
      </c>
      <c r="O43" s="80">
        <f>SUM(C43:N43)</f>
        <v>1.0000000000000002</v>
      </c>
      <c r="P43" s="83"/>
      <c r="Q43" s="83"/>
      <c r="R43" s="83"/>
      <c r="S43" s="83" t="s">
        <v>55</v>
      </c>
      <c r="T43" s="90">
        <f>O32/1000</f>
        <v>10.391</v>
      </c>
      <c r="U43" s="79">
        <f>P32</f>
        <v>4.4418321328574178E-2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42.503</v>
      </c>
      <c r="U44" s="79">
        <f>P34</f>
        <v>0.18168722080919913</v>
      </c>
    </row>
    <row r="45" spans="1:48" x14ac:dyDescent="0.2">
      <c r="A45" s="6" t="s">
        <v>57</v>
      </c>
      <c r="B45" s="91">
        <f>B23-B39</f>
        <v>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8220.32</v>
      </c>
      <c r="O45" s="89">
        <f>B45+N45</f>
        <v>8220.32</v>
      </c>
      <c r="P45" s="83"/>
      <c r="Q45" s="83"/>
      <c r="R45" s="83"/>
      <c r="S45" s="83" t="s">
        <v>58</v>
      </c>
      <c r="T45" s="90">
        <f>SUM(T39:T44)</f>
        <v>233.935</v>
      </c>
      <c r="U45" s="78">
        <f>SUM(U39:U44)</f>
        <v>1</v>
      </c>
    </row>
    <row r="46" spans="1:48" x14ac:dyDescent="0.2">
      <c r="A46" s="6"/>
      <c r="B46" s="93" t="e">
        <f>B45/B23</f>
        <v>#DIV/0!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8.83203125" style="2"/>
    <col min="15" max="15" width="10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96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646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7998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2352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10996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0">
        <v>133800</v>
      </c>
      <c r="C18" s="120">
        <v>300</v>
      </c>
      <c r="D18" s="10">
        <v>0</v>
      </c>
      <c r="E18" s="10">
        <v>0</v>
      </c>
      <c r="F18" s="10">
        <v>3439</v>
      </c>
      <c r="G18" s="120">
        <f>133700-F18-H18</f>
        <v>128494</v>
      </c>
      <c r="H18" s="10">
        <v>1767</v>
      </c>
      <c r="I18" s="10"/>
      <c r="J18" s="10"/>
      <c r="K18" s="10"/>
      <c r="L18" s="10"/>
      <c r="M18" s="10"/>
      <c r="N18" s="10"/>
      <c r="O18" s="120">
        <f>SUM(C18:H18)</f>
        <v>134000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2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1090.4532400000001</v>
      </c>
      <c r="U21" s="75"/>
    </row>
    <row r="22" spans="1:21" x14ac:dyDescent="0.2">
      <c r="A22" s="8" t="s">
        <v>25</v>
      </c>
      <c r="B22" s="119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19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f>B18</f>
        <v>133800</v>
      </c>
      <c r="C23" s="120">
        <f>C18</f>
        <v>300</v>
      </c>
      <c r="D23" s="10">
        <v>0</v>
      </c>
      <c r="E23" s="10">
        <v>0</v>
      </c>
      <c r="F23" s="10">
        <v>3439</v>
      </c>
      <c r="G23" s="120">
        <f>G18</f>
        <v>128494</v>
      </c>
      <c r="H23" s="10">
        <v>1767</v>
      </c>
      <c r="I23" s="10"/>
      <c r="J23" s="10"/>
      <c r="K23" s="10"/>
      <c r="L23" s="10"/>
      <c r="M23" s="10"/>
      <c r="N23" s="10"/>
      <c r="O23" s="120">
        <f>O18</f>
        <v>134000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390.99023999999997</v>
      </c>
      <c r="U24" s="78">
        <f>N43</f>
        <v>0.3585575480522209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181.92099999999999</v>
      </c>
      <c r="U25" s="79">
        <f>G43</f>
        <v>0.16683062906943172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41.514000000000003</v>
      </c>
      <c r="U27" s="78">
        <f>F43</f>
        <v>3.8070408227683379E-2</v>
      </c>
    </row>
    <row r="28" spans="1:21" x14ac:dyDescent="0.2">
      <c r="A28" s="4" t="s">
        <v>96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3745</v>
      </c>
      <c r="D31" s="10">
        <v>0</v>
      </c>
      <c r="E31" s="10">
        <v>0</v>
      </c>
      <c r="F31" s="10">
        <v>384</v>
      </c>
      <c r="G31" s="10">
        <v>0</v>
      </c>
      <c r="H31" s="10">
        <v>0</v>
      </c>
      <c r="I31" s="10"/>
      <c r="J31" s="10"/>
      <c r="K31" s="10"/>
      <c r="L31" s="10"/>
      <c r="N31" s="10">
        <v>7426</v>
      </c>
      <c r="O31" s="10">
        <v>11555</v>
      </c>
      <c r="P31" s="80">
        <f>O31/O$39</f>
        <v>1.109306268372435E-2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9031</v>
      </c>
      <c r="C32" s="10">
        <v>1125</v>
      </c>
      <c r="D32" s="10">
        <v>0</v>
      </c>
      <c r="E32" s="10">
        <v>0</v>
      </c>
      <c r="F32" s="10">
        <v>0</v>
      </c>
      <c r="G32" s="121">
        <f>G39-G36</f>
        <v>5727</v>
      </c>
      <c r="H32" s="10">
        <v>0</v>
      </c>
      <c r="I32" s="10"/>
      <c r="J32" s="10"/>
      <c r="K32" s="10"/>
      <c r="L32" s="10"/>
      <c r="N32" s="121">
        <f>O32-G32-C32-B32</f>
        <v>26325</v>
      </c>
      <c r="O32" s="10">
        <v>42208</v>
      </c>
      <c r="P32" s="80">
        <f>O32/O$39</f>
        <v>4.0520639528744039E-2</v>
      </c>
      <c r="Q32" s="81" t="s">
        <v>37</v>
      </c>
      <c r="R32" s="75"/>
      <c r="S32" s="75" t="s">
        <v>6</v>
      </c>
      <c r="T32" s="77">
        <f>H42/1000</f>
        <v>1.7669999999999999</v>
      </c>
      <c r="U32" s="78">
        <f>H43</f>
        <v>1.6204271170765653E-3</v>
      </c>
    </row>
    <row r="33" spans="1:48" x14ac:dyDescent="0.2">
      <c r="A33" s="8" t="s">
        <v>38</v>
      </c>
      <c r="B33" s="121">
        <f>B39-SUM(B34:B38,B32)</f>
        <v>15259</v>
      </c>
      <c r="C33" s="10">
        <v>118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23">
        <v>35276</v>
      </c>
      <c r="O33" s="123">
        <f t="shared" ref="O33:O34" si="0">SUM(B33:N33)</f>
        <v>50653</v>
      </c>
      <c r="P33" s="80">
        <f>O33/O$39</f>
        <v>4.8628031511786199E-2</v>
      </c>
      <c r="Q33" s="81" t="s">
        <v>39</v>
      </c>
      <c r="R33" s="75"/>
      <c r="S33" s="75" t="s">
        <v>35</v>
      </c>
      <c r="T33" s="77">
        <f>C42/1000</f>
        <v>474.26100000000002</v>
      </c>
      <c r="U33" s="79">
        <f>C43</f>
        <v>0.43492098753358743</v>
      </c>
    </row>
    <row r="34" spans="1:48" x14ac:dyDescent="0.2">
      <c r="A34" s="8" t="s">
        <v>40</v>
      </c>
      <c r="B34" s="10">
        <v>0</v>
      </c>
      <c r="C34" s="10">
        <v>437298</v>
      </c>
      <c r="D34" s="10">
        <v>0</v>
      </c>
      <c r="E34" s="10">
        <v>0</v>
      </c>
      <c r="F34" s="10">
        <v>37691</v>
      </c>
      <c r="G34" s="10">
        <v>0</v>
      </c>
      <c r="H34" s="10">
        <v>0</v>
      </c>
      <c r="I34" s="10"/>
      <c r="J34" s="10"/>
      <c r="K34" s="10"/>
      <c r="L34" s="10"/>
      <c r="N34" s="121">
        <f>N39-SUM(N35:N38,N31:N33)</f>
        <v>61492</v>
      </c>
      <c r="O34" s="123">
        <f t="shared" si="0"/>
        <v>536481</v>
      </c>
      <c r="P34" s="80">
        <f>O34/O$39</f>
        <v>0.5150339560040782</v>
      </c>
      <c r="Q34" s="81" t="s">
        <v>41</v>
      </c>
      <c r="R34" s="75"/>
      <c r="S34" s="75"/>
      <c r="T34" s="77">
        <f>SUM(T24:T33)</f>
        <v>1090.4532400000001</v>
      </c>
      <c r="U34" s="78">
        <f>SUM(U24:U33)</f>
        <v>1</v>
      </c>
    </row>
    <row r="35" spans="1:48" x14ac:dyDescent="0.2">
      <c r="A35" s="8" t="s">
        <v>42</v>
      </c>
      <c r="B35" s="10">
        <v>21279</v>
      </c>
      <c r="C35" s="10">
        <v>31374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77037</v>
      </c>
      <c r="O35" s="123">
        <f>SUM(B35:N35)</f>
        <v>129690</v>
      </c>
      <c r="P35" s="80">
        <f>O35/O$39</f>
        <v>0.12450534828664743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52">
        <f>O36-N36-G36-C36</f>
        <v>9784</v>
      </c>
      <c r="C36" s="10">
        <v>300</v>
      </c>
      <c r="D36" s="10">
        <v>0</v>
      </c>
      <c r="E36" s="10">
        <v>0</v>
      </c>
      <c r="F36" s="10">
        <v>0</v>
      </c>
      <c r="G36" s="121">
        <v>47700</v>
      </c>
      <c r="H36" s="10">
        <v>0</v>
      </c>
      <c r="I36" s="10"/>
      <c r="J36" s="10"/>
      <c r="K36" s="10"/>
      <c r="L36" s="10"/>
      <c r="N36" s="10">
        <v>124808</v>
      </c>
      <c r="O36" s="10">
        <v>182592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20">
        <v>58800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21">
        <f>O37-B37</f>
        <v>21071</v>
      </c>
      <c r="O37" s="10">
        <v>79871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8593</v>
      </c>
      <c r="O38" s="10">
        <v>8593</v>
      </c>
      <c r="P38" s="81">
        <f>SUM(P31:P35)</f>
        <v>0.73978103801498019</v>
      </c>
      <c r="Q38" s="81"/>
      <c r="R38" s="75"/>
      <c r="S38" s="83" t="s">
        <v>47</v>
      </c>
      <c r="T38" s="86">
        <f>O45/1000</f>
        <v>48.609240000000007</v>
      </c>
      <c r="U38" s="83"/>
    </row>
    <row r="39" spans="1:48" x14ac:dyDescent="0.2">
      <c r="A39" s="8" t="s">
        <v>16</v>
      </c>
      <c r="B39" s="10">
        <v>114153</v>
      </c>
      <c r="C39" s="10">
        <v>473961</v>
      </c>
      <c r="D39" s="10">
        <v>0</v>
      </c>
      <c r="E39" s="10">
        <v>0</v>
      </c>
      <c r="F39" s="10">
        <v>38075</v>
      </c>
      <c r="G39" s="10">
        <v>53427</v>
      </c>
      <c r="H39" s="10">
        <v>0</v>
      </c>
      <c r="I39" s="10"/>
      <c r="J39" s="10"/>
      <c r="K39" s="10"/>
      <c r="L39" s="10"/>
      <c r="N39" s="10">
        <v>362028</v>
      </c>
      <c r="O39" s="10">
        <v>1041642</v>
      </c>
      <c r="P39" s="75"/>
      <c r="Q39" s="75"/>
      <c r="R39" s="75"/>
      <c r="S39" s="83" t="s">
        <v>48</v>
      </c>
      <c r="T39" s="90">
        <f>O41/1000</f>
        <v>271.05599999999998</v>
      </c>
      <c r="U39" s="78">
        <f>P41</f>
        <v>0.26021992200775312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129.69</v>
      </c>
      <c r="U40" s="79">
        <f>P35</f>
        <v>0.12450534828664743</v>
      </c>
    </row>
    <row r="41" spans="1:48" x14ac:dyDescent="0.2">
      <c r="A41" s="14" t="s">
        <v>50</v>
      </c>
      <c r="B41" s="85">
        <f>B38+B37+B36</f>
        <v>68584</v>
      </c>
      <c r="C41" s="85">
        <f t="shared" ref="C41:O41" si="1">C38+C37+C36</f>
        <v>300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47700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154472</v>
      </c>
      <c r="O41" s="85">
        <f t="shared" si="1"/>
        <v>271056</v>
      </c>
      <c r="P41" s="80">
        <f>O41/O$39</f>
        <v>0.26021992200775312</v>
      </c>
      <c r="Q41" s="80" t="s">
        <v>51</v>
      </c>
      <c r="R41" s="83"/>
      <c r="S41" s="83" t="s">
        <v>52</v>
      </c>
      <c r="T41" s="90">
        <f>O33/1000</f>
        <v>50.652999999999999</v>
      </c>
      <c r="U41" s="78">
        <f>P33</f>
        <v>4.8628031511786199E-2</v>
      </c>
    </row>
    <row r="42" spans="1:48" x14ac:dyDescent="0.2">
      <c r="A42" s="15" t="s">
        <v>53</v>
      </c>
      <c r="B42" s="85"/>
      <c r="C42" s="88">
        <f>C39+C23+C10</f>
        <v>474261</v>
      </c>
      <c r="D42" s="88">
        <f t="shared" ref="D42:M42" si="2">D39+D23+D10</f>
        <v>0</v>
      </c>
      <c r="E42" s="88">
        <f t="shared" si="2"/>
        <v>0</v>
      </c>
      <c r="F42" s="88">
        <f t="shared" si="2"/>
        <v>41514</v>
      </c>
      <c r="G42" s="88">
        <f t="shared" si="2"/>
        <v>181921</v>
      </c>
      <c r="H42" s="88">
        <f t="shared" si="2"/>
        <v>1767</v>
      </c>
      <c r="I42" s="88">
        <f t="shared" si="2"/>
        <v>0</v>
      </c>
      <c r="J42" s="88">
        <f t="shared" si="2"/>
        <v>0</v>
      </c>
      <c r="K42" s="88">
        <f t="shared" si="2"/>
        <v>0</v>
      </c>
      <c r="L42" s="88">
        <f t="shared" si="2"/>
        <v>0</v>
      </c>
      <c r="M42" s="88">
        <f t="shared" si="2"/>
        <v>0</v>
      </c>
      <c r="N42" s="88">
        <f>N39+N23-B6+N45</f>
        <v>390990.24</v>
      </c>
      <c r="O42" s="89">
        <f>SUM(C42:N42)</f>
        <v>1090453.24</v>
      </c>
      <c r="P42" s="83"/>
      <c r="Q42" s="83"/>
      <c r="R42" s="83"/>
      <c r="S42" s="83" t="s">
        <v>34</v>
      </c>
      <c r="T42" s="90">
        <f>O31/1000</f>
        <v>11.555</v>
      </c>
      <c r="U42" s="78">
        <f>P31</f>
        <v>1.109306268372435E-2</v>
      </c>
    </row>
    <row r="43" spans="1:48" x14ac:dyDescent="0.2">
      <c r="A43" s="15" t="s">
        <v>54</v>
      </c>
      <c r="B43" s="85"/>
      <c r="C43" s="80">
        <f t="shared" ref="C43:N43" si="3">C42/$O42</f>
        <v>0.43492098753358743</v>
      </c>
      <c r="D43" s="80">
        <f t="shared" si="3"/>
        <v>0</v>
      </c>
      <c r="E43" s="80">
        <f t="shared" si="3"/>
        <v>0</v>
      </c>
      <c r="F43" s="80">
        <f t="shared" si="3"/>
        <v>3.8070408227683379E-2</v>
      </c>
      <c r="G43" s="80">
        <f t="shared" si="3"/>
        <v>0.16683062906943172</v>
      </c>
      <c r="H43" s="80">
        <f t="shared" si="3"/>
        <v>1.6204271170765653E-3</v>
      </c>
      <c r="I43" s="80">
        <f t="shared" si="3"/>
        <v>0</v>
      </c>
      <c r="J43" s="80">
        <f t="shared" si="3"/>
        <v>0</v>
      </c>
      <c r="K43" s="80">
        <f t="shared" si="3"/>
        <v>0</v>
      </c>
      <c r="L43" s="80">
        <f t="shared" si="3"/>
        <v>0</v>
      </c>
      <c r="M43" s="80">
        <f t="shared" si="3"/>
        <v>0</v>
      </c>
      <c r="N43" s="80">
        <f t="shared" si="3"/>
        <v>0.3585575480522209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42.207999999999998</v>
      </c>
      <c r="U43" s="79">
        <f>P32</f>
        <v>4.0520639528744039E-2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536.48099999999999</v>
      </c>
      <c r="U44" s="79">
        <f>P34</f>
        <v>0.5150339560040782</v>
      </c>
    </row>
    <row r="45" spans="1:48" x14ac:dyDescent="0.2">
      <c r="A45" s="6" t="s">
        <v>57</v>
      </c>
      <c r="B45" s="91">
        <f>B23-B39</f>
        <v>19647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28962.240000000002</v>
      </c>
      <c r="O45" s="89">
        <f>B45+N45</f>
        <v>48609.240000000005</v>
      </c>
      <c r="P45" s="83"/>
      <c r="Q45" s="83"/>
      <c r="R45" s="83"/>
      <c r="S45" s="83" t="s">
        <v>58</v>
      </c>
      <c r="T45" s="90">
        <f>SUM(T39:T44)</f>
        <v>1041.643</v>
      </c>
      <c r="U45" s="78">
        <f>SUM(U39:U44)</f>
        <v>1.0000009600227333</v>
      </c>
    </row>
    <row r="46" spans="1:48" x14ac:dyDescent="0.2">
      <c r="A46" s="6"/>
      <c r="B46" s="93">
        <f>B45/B23</f>
        <v>0.14683856502242151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6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7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1" enableFormatConditionsCalculation="0"/>
  <dimension ref="A1:AV69"/>
  <sheetViews>
    <sheetView topLeftCell="A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10" style="2" customWidth="1"/>
    <col min="13" max="13" width="9.6640625" style="2" customWidth="1"/>
    <col min="14" max="14" width="8.83203125" style="2"/>
    <col min="15" max="15" width="10.1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97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765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19">
        <v>100300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19047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120112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97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660000</v>
      </c>
      <c r="C17" s="10">
        <v>10531</v>
      </c>
      <c r="D17" s="119">
        <v>0</v>
      </c>
      <c r="E17" s="10">
        <v>870</v>
      </c>
      <c r="F17" s="10">
        <v>9680</v>
      </c>
      <c r="G17" s="119">
        <v>448000</v>
      </c>
      <c r="H17" s="10">
        <v>0</v>
      </c>
      <c r="I17" s="10"/>
      <c r="J17" s="10"/>
      <c r="K17" s="119">
        <v>331496</v>
      </c>
      <c r="L17" s="10"/>
      <c r="M17" s="10"/>
      <c r="N17" s="119">
        <f>8900+2400</f>
        <v>11300</v>
      </c>
      <c r="O17" s="134">
        <f>SUM(C17:N17)</f>
        <v>811877</v>
      </c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21800</v>
      </c>
      <c r="C18" s="10">
        <v>2338</v>
      </c>
      <c r="D18" s="10">
        <v>0</v>
      </c>
      <c r="E18" s="10">
        <v>0</v>
      </c>
      <c r="F18" s="10">
        <v>0</v>
      </c>
      <c r="G18" s="10">
        <v>23566</v>
      </c>
      <c r="H18" s="10">
        <v>0</v>
      </c>
      <c r="I18" s="10"/>
      <c r="J18" s="10"/>
      <c r="K18" s="10"/>
      <c r="L18" s="10"/>
      <c r="M18" s="10"/>
      <c r="N18" s="10"/>
      <c r="O18" s="10">
        <v>25904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2970.2037999999998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SUM(B17:B18)</f>
        <v>681800</v>
      </c>
      <c r="C23" s="10">
        <v>12869</v>
      </c>
      <c r="D23" s="119">
        <v>0</v>
      </c>
      <c r="E23" s="10">
        <v>870</v>
      </c>
      <c r="F23" s="10">
        <v>9680</v>
      </c>
      <c r="G23" s="119">
        <f>SUM(G17:G18)</f>
        <v>471566</v>
      </c>
      <c r="H23" s="10">
        <v>0</v>
      </c>
      <c r="I23" s="10"/>
      <c r="J23" s="10"/>
      <c r="K23" s="119">
        <f>K17</f>
        <v>331496</v>
      </c>
      <c r="L23" s="10"/>
      <c r="M23" s="10"/>
      <c r="N23" s="119">
        <f t="shared" ref="N23" si="0">N17</f>
        <v>11300</v>
      </c>
      <c r="O23" s="119">
        <f>SUM(O17:O19)</f>
        <v>837781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7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891.2998</v>
      </c>
      <c r="U24" s="78">
        <f>N43</f>
        <v>0.3000803513886825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673.23099999999999</v>
      </c>
      <c r="U25" s="79">
        <f>G43</f>
        <v>0.22666155096832077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80.254999999999995</v>
      </c>
      <c r="U27" s="78">
        <f>F43</f>
        <v>2.7020031420066194E-2</v>
      </c>
    </row>
    <row r="28" spans="1:21" x14ac:dyDescent="0.2">
      <c r="A28" s="4" t="s">
        <v>97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2.718</v>
      </c>
      <c r="U28" s="78">
        <f>E43</f>
        <v>9.1508872219475321E-4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331.49599999999998</v>
      </c>
      <c r="U30" s="96">
        <f>K43</f>
        <v>0.11160715638435316</v>
      </c>
    </row>
    <row r="31" spans="1:21" x14ac:dyDescent="0.2">
      <c r="A31" s="8" t="s">
        <v>33</v>
      </c>
      <c r="B31" s="10">
        <v>0</v>
      </c>
      <c r="C31" s="10">
        <v>5554</v>
      </c>
      <c r="D31" s="10">
        <v>0</v>
      </c>
      <c r="E31" s="10">
        <v>0</v>
      </c>
      <c r="F31" s="10">
        <v>525</v>
      </c>
      <c r="G31" s="10">
        <v>0</v>
      </c>
      <c r="H31" s="10">
        <v>0</v>
      </c>
      <c r="I31" s="10"/>
      <c r="J31" s="10"/>
      <c r="K31" s="10"/>
      <c r="L31" s="10"/>
      <c r="N31" s="10">
        <v>12464</v>
      </c>
      <c r="O31" s="10">
        <v>18544</v>
      </c>
      <c r="P31" s="80">
        <f>O31/O$39</f>
        <v>6.6681121914191205E-3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44038</v>
      </c>
      <c r="C32" s="10">
        <v>32242</v>
      </c>
      <c r="D32" s="10">
        <v>0</v>
      </c>
      <c r="E32" s="147">
        <v>1848</v>
      </c>
      <c r="F32" s="10">
        <v>0</v>
      </c>
      <c r="G32" s="121">
        <f>G39-G36</f>
        <v>88965</v>
      </c>
      <c r="H32" s="10">
        <v>0</v>
      </c>
      <c r="I32" s="10"/>
      <c r="J32" s="10"/>
      <c r="K32" s="10"/>
      <c r="L32" s="10"/>
      <c r="N32" s="121">
        <f>N39-SUM(N33:N38,N31)</f>
        <v>160212</v>
      </c>
      <c r="O32" s="10">
        <v>327303</v>
      </c>
      <c r="P32" s="80">
        <f>O32/O$39</f>
        <v>0.11769268359512794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120017</v>
      </c>
      <c r="C33" s="10">
        <v>2652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118157</v>
      </c>
      <c r="O33" s="10">
        <v>240826</v>
      </c>
      <c r="P33" s="80">
        <f>O33/O$39</f>
        <v>8.6597001003596907E-2</v>
      </c>
      <c r="Q33" s="81" t="s">
        <v>39</v>
      </c>
      <c r="R33" s="75"/>
      <c r="S33" s="75" t="s">
        <v>35</v>
      </c>
      <c r="T33" s="77">
        <f>C42/1000</f>
        <v>991.20399999999995</v>
      </c>
      <c r="U33" s="79">
        <f>C43</f>
        <v>0.33371582111638265</v>
      </c>
    </row>
    <row r="34" spans="1:48" x14ac:dyDescent="0.2">
      <c r="A34" s="8" t="s">
        <v>40</v>
      </c>
      <c r="B34" s="10">
        <v>0</v>
      </c>
      <c r="C34" s="10">
        <v>887341</v>
      </c>
      <c r="D34" s="10">
        <v>0</v>
      </c>
      <c r="E34" s="10">
        <v>0</v>
      </c>
      <c r="F34" s="10">
        <v>70050</v>
      </c>
      <c r="G34" s="10">
        <v>0</v>
      </c>
      <c r="H34" s="10">
        <v>0</v>
      </c>
      <c r="I34" s="10"/>
      <c r="J34" s="10"/>
      <c r="K34" s="10"/>
      <c r="L34" s="10"/>
      <c r="N34" s="10">
        <v>20455</v>
      </c>
      <c r="O34" s="10">
        <v>977846</v>
      </c>
      <c r="P34" s="80">
        <f>O34/O$39</f>
        <v>0.35161706395224446</v>
      </c>
      <c r="Q34" s="81" t="s">
        <v>41</v>
      </c>
      <c r="R34" s="75"/>
      <c r="S34" s="75"/>
      <c r="T34" s="77">
        <f>SUM(T24:T33)</f>
        <v>2970.2038000000002</v>
      </c>
      <c r="U34" s="78">
        <f>SUM(U24:U33)</f>
        <v>0.99999999999999989</v>
      </c>
    </row>
    <row r="35" spans="1:48" x14ac:dyDescent="0.2">
      <c r="A35" s="8" t="s">
        <v>42</v>
      </c>
      <c r="B35" s="10">
        <v>101771</v>
      </c>
      <c r="C35" s="10">
        <v>48034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264480</v>
      </c>
      <c r="O35" s="10">
        <v>414285</v>
      </c>
      <c r="P35" s="80">
        <f>O35/O$39</f>
        <v>0.14896995573889507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52296</v>
      </c>
      <c r="C36" s="10">
        <v>2220</v>
      </c>
      <c r="D36" s="10">
        <v>0</v>
      </c>
      <c r="E36" s="10">
        <v>0</v>
      </c>
      <c r="F36" s="10">
        <v>0</v>
      </c>
      <c r="G36" s="121">
        <v>112700</v>
      </c>
      <c r="H36" s="10">
        <v>0</v>
      </c>
      <c r="I36" s="10"/>
      <c r="J36" s="10"/>
      <c r="K36" s="10"/>
      <c r="L36" s="10"/>
      <c r="N36" s="121">
        <f>O36-SUM(B36:H36)</f>
        <v>252566</v>
      </c>
      <c r="O36" s="10">
        <v>419782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302767</v>
      </c>
      <c r="C37" s="10">
        <v>293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66035</v>
      </c>
      <c r="O37" s="10">
        <v>369095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13316</v>
      </c>
      <c r="O38" s="10">
        <v>13316</v>
      </c>
      <c r="P38" s="81">
        <f>SUM(P31:P35)</f>
        <v>0.71154481648128343</v>
      </c>
      <c r="Q38" s="81"/>
      <c r="R38" s="75"/>
      <c r="S38" s="83" t="s">
        <v>47</v>
      </c>
      <c r="T38" s="86">
        <f>O45/1000</f>
        <v>133.52579999999998</v>
      </c>
      <c r="U38" s="83"/>
    </row>
    <row r="39" spans="1:48" x14ac:dyDescent="0.2">
      <c r="A39" s="8" t="s">
        <v>16</v>
      </c>
      <c r="B39" s="10">
        <v>620889</v>
      </c>
      <c r="C39" s="10">
        <v>978335</v>
      </c>
      <c r="D39" s="10">
        <v>0</v>
      </c>
      <c r="E39" s="147">
        <v>1848</v>
      </c>
      <c r="F39" s="10">
        <v>70575</v>
      </c>
      <c r="G39" s="121">
        <f>O39-SUM(B39:F39,H39:N39)</f>
        <v>201665</v>
      </c>
      <c r="H39" s="10">
        <v>0</v>
      </c>
      <c r="I39" s="10"/>
      <c r="J39" s="10"/>
      <c r="K39" s="10"/>
      <c r="L39" s="10"/>
      <c r="N39" s="10">
        <v>907685</v>
      </c>
      <c r="O39" s="10">
        <v>2780997</v>
      </c>
      <c r="P39" s="75"/>
      <c r="Q39" s="75"/>
      <c r="R39" s="75"/>
      <c r="S39" s="83" t="s">
        <v>48</v>
      </c>
      <c r="T39" s="90">
        <f>O41/1000</f>
        <v>802.19299999999998</v>
      </c>
      <c r="U39" s="78">
        <f>P41</f>
        <v>0.28845518351871646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414.28500000000003</v>
      </c>
      <c r="U40" s="79">
        <f>P35</f>
        <v>0.14896995573889507</v>
      </c>
    </row>
    <row r="41" spans="1:48" x14ac:dyDescent="0.2">
      <c r="A41" s="14" t="s">
        <v>50</v>
      </c>
      <c r="B41" s="85">
        <f>B38+B37+B36</f>
        <v>355063</v>
      </c>
      <c r="C41" s="85">
        <f t="shared" ref="C41:O41" si="1">C38+C37+C36</f>
        <v>2513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112700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331917</v>
      </c>
      <c r="O41" s="85">
        <f t="shared" si="1"/>
        <v>802193</v>
      </c>
      <c r="P41" s="80">
        <f>O41/O$39</f>
        <v>0.28845518351871646</v>
      </c>
      <c r="Q41" s="80" t="s">
        <v>51</v>
      </c>
      <c r="R41" s="83"/>
      <c r="S41" s="83" t="s">
        <v>52</v>
      </c>
      <c r="T41" s="90">
        <f>O33/1000</f>
        <v>240.82599999999999</v>
      </c>
      <c r="U41" s="78">
        <f>P33</f>
        <v>8.6597001003596907E-2</v>
      </c>
    </row>
    <row r="42" spans="1:48" x14ac:dyDescent="0.2">
      <c r="A42" s="15" t="s">
        <v>53</v>
      </c>
      <c r="B42" s="85"/>
      <c r="C42" s="88">
        <f>C39+C23+C10</f>
        <v>991204</v>
      </c>
      <c r="D42" s="88">
        <f t="shared" ref="D42:M42" si="2">D39+D23+D10</f>
        <v>0</v>
      </c>
      <c r="E42" s="88">
        <f t="shared" si="2"/>
        <v>2718</v>
      </c>
      <c r="F42" s="88">
        <f t="shared" si="2"/>
        <v>80255</v>
      </c>
      <c r="G42" s="88">
        <f t="shared" si="2"/>
        <v>673231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331496</v>
      </c>
      <c r="L42" s="88">
        <f t="shared" si="2"/>
        <v>0</v>
      </c>
      <c r="M42" s="88">
        <f t="shared" si="2"/>
        <v>0</v>
      </c>
      <c r="N42" s="88">
        <f>N39+N23-B6+N45</f>
        <v>891299.8</v>
      </c>
      <c r="O42" s="89">
        <f>SUM(C42:N42)</f>
        <v>2970203.8</v>
      </c>
      <c r="P42" s="83"/>
      <c r="Q42" s="83"/>
      <c r="R42" s="83"/>
      <c r="S42" s="83" t="s">
        <v>34</v>
      </c>
      <c r="T42" s="90">
        <f>O31/1000</f>
        <v>18.544</v>
      </c>
      <c r="U42" s="78">
        <f>P31</f>
        <v>6.6681121914191205E-3</v>
      </c>
    </row>
    <row r="43" spans="1:48" x14ac:dyDescent="0.2">
      <c r="A43" s="15" t="s">
        <v>54</v>
      </c>
      <c r="B43" s="85"/>
      <c r="C43" s="80">
        <f t="shared" ref="C43:N43" si="3">C42/$O42</f>
        <v>0.33371582111638265</v>
      </c>
      <c r="D43" s="80">
        <f t="shared" si="3"/>
        <v>0</v>
      </c>
      <c r="E43" s="80">
        <f t="shared" si="3"/>
        <v>9.1508872219475321E-4</v>
      </c>
      <c r="F43" s="80">
        <f t="shared" si="3"/>
        <v>2.7020031420066194E-2</v>
      </c>
      <c r="G43" s="80">
        <f t="shared" si="3"/>
        <v>0.22666155096832077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0.11160715638435316</v>
      </c>
      <c r="L43" s="80">
        <f t="shared" si="3"/>
        <v>0</v>
      </c>
      <c r="M43" s="80">
        <f t="shared" si="3"/>
        <v>0</v>
      </c>
      <c r="N43" s="80">
        <f t="shared" si="3"/>
        <v>0.3000803513886825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327.303</v>
      </c>
      <c r="U43" s="79">
        <f>P32</f>
        <v>0.11769268359512794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977.846</v>
      </c>
      <c r="U44" s="79">
        <f>P34</f>
        <v>0.35161706395224446</v>
      </c>
    </row>
    <row r="45" spans="1:48" x14ac:dyDescent="0.2">
      <c r="A45" s="6" t="s">
        <v>57</v>
      </c>
      <c r="B45" s="91">
        <f>B23-B39</f>
        <v>60911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72614.8</v>
      </c>
      <c r="O45" s="89">
        <f>B45+N45</f>
        <v>133525.79999999999</v>
      </c>
      <c r="P45" s="83"/>
      <c r="Q45" s="83"/>
      <c r="R45" s="83"/>
      <c r="S45" s="83" t="s">
        <v>58</v>
      </c>
      <c r="T45" s="90">
        <f>SUM(T39:T44)</f>
        <v>2780.9970000000003</v>
      </c>
      <c r="U45" s="78">
        <f>SUM(U39:U44)</f>
        <v>1</v>
      </c>
    </row>
    <row r="46" spans="1:48" x14ac:dyDescent="0.2">
      <c r="A46" s="6"/>
      <c r="B46" s="93">
        <f>B45/B23</f>
        <v>8.9338515693751827E-2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4"/>
      <c r="B51" s="59"/>
      <c r="C51" s="59"/>
      <c r="D51" s="59"/>
      <c r="E51" s="59"/>
      <c r="F51" s="59"/>
      <c r="G51" s="59"/>
      <c r="H51" s="59"/>
      <c r="I51" s="59"/>
      <c r="J51" s="59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10"/>
      <c r="C52" s="10"/>
      <c r="D52" s="10"/>
      <c r="E52" s="10"/>
      <c r="F52" s="10"/>
      <c r="G52" s="10"/>
      <c r="H52" s="10"/>
      <c r="I52" s="10"/>
      <c r="J52" s="10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10"/>
      <c r="C53" s="10"/>
      <c r="D53" s="10"/>
      <c r="E53" s="10"/>
      <c r="F53" s="10"/>
      <c r="G53" s="10"/>
      <c r="H53" s="10"/>
      <c r="I53" s="10"/>
      <c r="J53" s="10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10"/>
      <c r="C54" s="10"/>
      <c r="D54" s="10"/>
      <c r="E54" s="10"/>
      <c r="F54" s="10"/>
      <c r="G54" s="10"/>
      <c r="H54" s="10"/>
      <c r="I54" s="10"/>
      <c r="J54" s="10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10"/>
      <c r="C55" s="10"/>
      <c r="D55" s="10"/>
      <c r="E55" s="10"/>
      <c r="F55" s="10"/>
      <c r="G55" s="10"/>
      <c r="H55" s="10"/>
      <c r="I55" s="10"/>
      <c r="J55" s="10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7"/>
      <c r="B56" s="10"/>
      <c r="C56" s="10"/>
      <c r="D56" s="10"/>
      <c r="E56" s="10"/>
      <c r="F56" s="10"/>
      <c r="G56" s="10"/>
      <c r="H56" s="10"/>
      <c r="I56" s="10"/>
      <c r="J56" s="10"/>
      <c r="K56" s="18"/>
      <c r="L56" s="6"/>
      <c r="M56" s="29"/>
      <c r="N56" s="19"/>
      <c r="O56" s="7"/>
      <c r="P56" s="6"/>
      <c r="Q56" s="12"/>
      <c r="R56" s="7"/>
      <c r="S56" s="7"/>
      <c r="T56" s="6"/>
      <c r="U56" s="27"/>
    </row>
    <row r="57" spans="1:48" x14ac:dyDescent="0.2">
      <c r="A57" s="7"/>
      <c r="B57" s="10"/>
      <c r="C57" s="10"/>
      <c r="D57" s="10"/>
      <c r="E57" s="10"/>
      <c r="F57" s="10"/>
      <c r="G57" s="10"/>
      <c r="H57" s="10"/>
      <c r="I57" s="10"/>
      <c r="J57" s="10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15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6"/>
      <c r="M60" s="29"/>
      <c r="N60" s="19"/>
      <c r="O60" s="7"/>
      <c r="P60" s="6"/>
      <c r="Q60" s="12"/>
      <c r="R60" s="7"/>
      <c r="S60" s="7"/>
      <c r="T60" s="21"/>
      <c r="U60" s="22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6"/>
    </row>
    <row r="62" spans="1:48" x14ac:dyDescent="0.2">
      <c r="A62" s="7"/>
      <c r="B62" s="23"/>
      <c r="C62" s="23"/>
      <c r="D62" s="23"/>
      <c r="E62" s="23"/>
      <c r="F62" s="23"/>
      <c r="G62" s="23"/>
      <c r="H62" s="23"/>
      <c r="I62" s="23"/>
      <c r="J62" s="7"/>
      <c r="K62" s="7"/>
      <c r="L62" s="7"/>
      <c r="M62" s="7"/>
      <c r="N62" s="7"/>
      <c r="O62" s="7"/>
      <c r="P62" s="7"/>
      <c r="Q62" s="7"/>
      <c r="R62" s="7"/>
      <c r="S62" s="7"/>
      <c r="T62" s="23"/>
      <c r="U62" s="24"/>
    </row>
    <row r="63" spans="1:48" x14ac:dyDescent="0.2">
      <c r="A63" s="7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19"/>
      <c r="R63" s="7"/>
      <c r="S63" s="7"/>
      <c r="T63" s="6"/>
      <c r="U63" s="27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21"/>
      <c r="C69" s="21"/>
      <c r="D69" s="21"/>
      <c r="E69" s="21"/>
      <c r="F69" s="21"/>
      <c r="G69" s="21"/>
      <c r="H69" s="21"/>
      <c r="I69" s="21"/>
      <c r="J69" s="7"/>
      <c r="K69" s="7"/>
      <c r="L69" s="7"/>
      <c r="M69" s="7"/>
      <c r="N69" s="7"/>
      <c r="O69" s="7"/>
      <c r="P69" s="21"/>
      <c r="Q69" s="25"/>
      <c r="R69" s="7"/>
      <c r="S69" s="28"/>
      <c r="T69" s="21"/>
      <c r="U69" s="25"/>
    </row>
  </sheetData>
  <pageMargins left="0.75" right="0.75" top="0.75" bottom="0.5" header="0.5" footer="0.75"/>
  <pageSetup paperSize="9" orientation="portrait" r:id="rId1"/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98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339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17771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18110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5511</v>
      </c>
      <c r="C18" s="10">
        <v>100</v>
      </c>
      <c r="D18" s="10">
        <v>0</v>
      </c>
      <c r="E18" s="10">
        <v>0</v>
      </c>
      <c r="F18" s="10">
        <v>0</v>
      </c>
      <c r="G18" s="10">
        <v>6139</v>
      </c>
      <c r="H18" s="10">
        <v>0</v>
      </c>
      <c r="I18" s="10"/>
      <c r="J18" s="10"/>
      <c r="K18" s="10"/>
      <c r="L18" s="10"/>
      <c r="M18" s="10"/>
      <c r="N18" s="10"/>
      <c r="O18" s="10">
        <v>6239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5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50042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659.56428000000005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55558</v>
      </c>
      <c r="C23" s="10">
        <v>100</v>
      </c>
      <c r="D23" s="10">
        <v>0</v>
      </c>
      <c r="E23" s="10">
        <v>0</v>
      </c>
      <c r="F23" s="10">
        <v>0</v>
      </c>
      <c r="G23" s="10">
        <v>6139</v>
      </c>
      <c r="H23" s="10">
        <v>0</v>
      </c>
      <c r="I23" s="10"/>
      <c r="J23" s="10"/>
      <c r="K23" s="10"/>
      <c r="L23" s="10"/>
      <c r="M23" s="10"/>
      <c r="N23" s="10"/>
      <c r="O23" s="10">
        <v>6239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283.27428000000003</v>
      </c>
      <c r="U24" s="78">
        <f>N43</f>
        <v>0.42948699405007201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179.99799999999999</v>
      </c>
      <c r="U25" s="79">
        <f>G43</f>
        <v>0.27290440895313495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14.473000000000001</v>
      </c>
      <c r="U27" s="78">
        <f>F43</f>
        <v>2.1943274429597672E-2</v>
      </c>
    </row>
    <row r="28" spans="1:21" x14ac:dyDescent="0.2">
      <c r="A28" s="4" t="s">
        <v>98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5.0000000000000001E-3</v>
      </c>
      <c r="U28" s="78">
        <f>E43</f>
        <v>7.5807622571677169E-6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20601</v>
      </c>
      <c r="D31" s="10">
        <v>0</v>
      </c>
      <c r="E31" s="10">
        <v>0</v>
      </c>
      <c r="F31" s="10">
        <v>2104</v>
      </c>
      <c r="G31" s="10">
        <v>0</v>
      </c>
      <c r="H31" s="10">
        <v>0</v>
      </c>
      <c r="I31" s="10"/>
      <c r="J31" s="10"/>
      <c r="K31" s="10"/>
      <c r="L31" s="10"/>
      <c r="N31" s="10">
        <v>18903</v>
      </c>
      <c r="O31" s="10">
        <v>41607</v>
      </c>
      <c r="P31" s="80">
        <f>O31/O$39</f>
        <v>6.1207287149220621E-2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2459</v>
      </c>
      <c r="C32" s="10">
        <v>3183</v>
      </c>
      <c r="D32" s="10">
        <v>0</v>
      </c>
      <c r="E32" s="121">
        <v>5</v>
      </c>
      <c r="F32" s="10">
        <v>0</v>
      </c>
      <c r="G32" s="121">
        <f>O32-N32-E32-C32-B32</f>
        <v>100220</v>
      </c>
      <c r="H32" s="10">
        <v>0</v>
      </c>
      <c r="I32" s="10"/>
      <c r="J32" s="10"/>
      <c r="K32" s="10"/>
      <c r="L32" s="10"/>
      <c r="N32" s="10">
        <v>84745</v>
      </c>
      <c r="O32" s="10">
        <v>190612</v>
      </c>
      <c r="P32" s="80">
        <f>O32/O$39</f>
        <v>0.28040578311551523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11486</v>
      </c>
      <c r="C33" s="10">
        <v>189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16019</v>
      </c>
      <c r="O33" s="10">
        <v>27694</v>
      </c>
      <c r="P33" s="80">
        <f>O33/O$39</f>
        <v>4.0740130514348931E-2</v>
      </c>
      <c r="Q33" s="81" t="s">
        <v>39</v>
      </c>
      <c r="R33" s="75"/>
      <c r="S33" s="75" t="s">
        <v>35</v>
      </c>
      <c r="T33" s="77">
        <f>C42/1000</f>
        <v>181.81399999999999</v>
      </c>
      <c r="U33" s="79">
        <f>C43</f>
        <v>0.27565774180493824</v>
      </c>
    </row>
    <row r="34" spans="1:48" x14ac:dyDescent="0.2">
      <c r="A34" s="8" t="s">
        <v>40</v>
      </c>
      <c r="B34" s="10">
        <v>0</v>
      </c>
      <c r="C34" s="10">
        <v>156613</v>
      </c>
      <c r="D34" s="10">
        <v>0</v>
      </c>
      <c r="E34" s="10">
        <v>0</v>
      </c>
      <c r="F34" s="10">
        <v>12369</v>
      </c>
      <c r="G34" s="10">
        <v>0</v>
      </c>
      <c r="H34" s="10">
        <v>0</v>
      </c>
      <c r="I34" s="10"/>
      <c r="J34" s="10"/>
      <c r="K34" s="10"/>
      <c r="L34" s="10"/>
      <c r="N34" s="10">
        <v>181</v>
      </c>
      <c r="O34" s="10">
        <v>169163</v>
      </c>
      <c r="P34" s="80">
        <f>O34/O$39</f>
        <v>0.24885255644539639</v>
      </c>
      <c r="Q34" s="81" t="s">
        <v>41</v>
      </c>
      <c r="R34" s="75"/>
      <c r="S34" s="75"/>
      <c r="T34" s="77">
        <f>SUM(T24:T33)</f>
        <v>659.56428000000005</v>
      </c>
      <c r="U34" s="78">
        <f>SUM(U24:U33)</f>
        <v>1</v>
      </c>
    </row>
    <row r="35" spans="1:48" x14ac:dyDescent="0.2">
      <c r="A35" s="8" t="s">
        <v>42</v>
      </c>
      <c r="B35" s="10">
        <v>8734</v>
      </c>
      <c r="C35" s="10">
        <v>207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45413</v>
      </c>
      <c r="O35" s="10">
        <v>54355</v>
      </c>
      <c r="P35" s="80">
        <f>O35/O$39</f>
        <v>7.9960633859588209E-2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2218</v>
      </c>
      <c r="C36" s="10">
        <v>572</v>
      </c>
      <c r="D36" s="10">
        <v>0</v>
      </c>
      <c r="E36" s="10">
        <v>0</v>
      </c>
      <c r="F36" s="10">
        <v>0</v>
      </c>
      <c r="G36" s="10">
        <v>73639</v>
      </c>
      <c r="H36" s="10">
        <v>0</v>
      </c>
      <c r="I36" s="10"/>
      <c r="J36" s="10"/>
      <c r="K36" s="10"/>
      <c r="L36" s="10"/>
      <c r="N36" s="10">
        <v>77463</v>
      </c>
      <c r="O36" s="10">
        <v>153891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22534</v>
      </c>
      <c r="C37" s="10">
        <v>348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10382</v>
      </c>
      <c r="O37" s="10">
        <v>33264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9185</v>
      </c>
      <c r="O38" s="10">
        <v>9185</v>
      </c>
      <c r="P38" s="81">
        <f>SUM(P31:P35)</f>
        <v>0.71116639108406932</v>
      </c>
      <c r="Q38" s="81"/>
      <c r="R38" s="75"/>
      <c r="S38" s="83" t="s">
        <v>47</v>
      </c>
      <c r="T38" s="86">
        <f>O45/1000</f>
        <v>29.110279999999999</v>
      </c>
      <c r="U38" s="83"/>
    </row>
    <row r="39" spans="1:48" x14ac:dyDescent="0.2">
      <c r="A39" s="8" t="s">
        <v>16</v>
      </c>
      <c r="B39" s="10">
        <v>47431</v>
      </c>
      <c r="C39" s="10">
        <v>181714</v>
      </c>
      <c r="D39" s="10">
        <v>0</v>
      </c>
      <c r="E39" s="121">
        <v>5</v>
      </c>
      <c r="F39" s="10">
        <v>14473</v>
      </c>
      <c r="G39" s="121">
        <f>SUM(G31:G38)</f>
        <v>173859</v>
      </c>
      <c r="H39" s="10">
        <v>0</v>
      </c>
      <c r="I39" s="10"/>
      <c r="J39" s="10"/>
      <c r="K39" s="10"/>
      <c r="L39" s="10"/>
      <c r="N39" s="10">
        <v>262291</v>
      </c>
      <c r="O39" s="10">
        <v>679772</v>
      </c>
      <c r="P39" s="75"/>
      <c r="Q39" s="75"/>
      <c r="R39" s="75"/>
      <c r="S39" s="83" t="s">
        <v>48</v>
      </c>
      <c r="T39" s="90">
        <f>O41/1000</f>
        <v>196.34</v>
      </c>
      <c r="U39" s="78">
        <f>P41</f>
        <v>0.28883213783445039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54.354999999999997</v>
      </c>
      <c r="U40" s="79">
        <f>P35</f>
        <v>7.9960633859588209E-2</v>
      </c>
    </row>
    <row r="41" spans="1:48" x14ac:dyDescent="0.2">
      <c r="A41" s="14" t="s">
        <v>50</v>
      </c>
      <c r="B41" s="85">
        <f>B38+B37+B36</f>
        <v>24752</v>
      </c>
      <c r="C41" s="85">
        <f t="shared" ref="C41:O41" si="0">C38+C37+C36</f>
        <v>920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73639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97030</v>
      </c>
      <c r="O41" s="85">
        <f t="shared" si="0"/>
        <v>196340</v>
      </c>
      <c r="P41" s="80">
        <f>O41/O$39</f>
        <v>0.28883213783445039</v>
      </c>
      <c r="Q41" s="80" t="s">
        <v>51</v>
      </c>
      <c r="R41" s="83"/>
      <c r="S41" s="83" t="s">
        <v>52</v>
      </c>
      <c r="T41" s="90">
        <f>O33/1000</f>
        <v>27.693999999999999</v>
      </c>
      <c r="U41" s="78">
        <f>P33</f>
        <v>4.0740130514348931E-2</v>
      </c>
    </row>
    <row r="42" spans="1:48" x14ac:dyDescent="0.2">
      <c r="A42" s="15" t="s">
        <v>53</v>
      </c>
      <c r="B42" s="85"/>
      <c r="C42" s="88">
        <f>C39+C23+C10</f>
        <v>181814</v>
      </c>
      <c r="D42" s="88">
        <f t="shared" ref="D42:M42" si="1">D39+D23+D10</f>
        <v>0</v>
      </c>
      <c r="E42" s="88">
        <f t="shared" si="1"/>
        <v>5</v>
      </c>
      <c r="F42" s="88">
        <f t="shared" si="1"/>
        <v>14473</v>
      </c>
      <c r="G42" s="88">
        <f t="shared" si="1"/>
        <v>179998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283274.28000000003</v>
      </c>
      <c r="O42" s="89">
        <f>SUM(C42:N42)</f>
        <v>659564.28</v>
      </c>
      <c r="P42" s="83"/>
      <c r="Q42" s="83"/>
      <c r="R42" s="83"/>
      <c r="S42" s="83" t="s">
        <v>34</v>
      </c>
      <c r="T42" s="90">
        <f>O31/1000</f>
        <v>41.606999999999999</v>
      </c>
      <c r="U42" s="78">
        <f>P31</f>
        <v>6.1207287149220621E-2</v>
      </c>
    </row>
    <row r="43" spans="1:48" x14ac:dyDescent="0.2">
      <c r="A43" s="15" t="s">
        <v>54</v>
      </c>
      <c r="B43" s="85"/>
      <c r="C43" s="80">
        <f t="shared" ref="C43:N43" si="2">C42/$O42</f>
        <v>0.27565774180493824</v>
      </c>
      <c r="D43" s="80">
        <f t="shared" si="2"/>
        <v>0</v>
      </c>
      <c r="E43" s="80">
        <f t="shared" si="2"/>
        <v>7.5807622571677169E-6</v>
      </c>
      <c r="F43" s="80">
        <f t="shared" si="2"/>
        <v>2.1943274429597672E-2</v>
      </c>
      <c r="G43" s="80">
        <f t="shared" si="2"/>
        <v>0.27290440895313495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0.42948699405007201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190.61199999999999</v>
      </c>
      <c r="U43" s="79">
        <f>P32</f>
        <v>0.28040578311551523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169.16300000000001</v>
      </c>
      <c r="U44" s="79">
        <f>P34</f>
        <v>0.24885255644539639</v>
      </c>
    </row>
    <row r="45" spans="1:48" x14ac:dyDescent="0.2">
      <c r="A45" s="6" t="s">
        <v>57</v>
      </c>
      <c r="B45" s="91">
        <f>B23-B39</f>
        <v>8127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20983.279999999999</v>
      </c>
      <c r="O45" s="89">
        <f>B45+N45</f>
        <v>29110.28</v>
      </c>
      <c r="P45" s="83"/>
      <c r="Q45" s="83"/>
      <c r="R45" s="83"/>
      <c r="S45" s="83" t="s">
        <v>58</v>
      </c>
      <c r="T45" s="90">
        <f>SUM(T39:T44)</f>
        <v>679.77099999999996</v>
      </c>
      <c r="U45" s="78">
        <f>SUM(U39:U44)</f>
        <v>0.9999985289185197</v>
      </c>
    </row>
    <row r="46" spans="1:48" x14ac:dyDescent="0.2">
      <c r="A46" s="6"/>
      <c r="B46" s="93">
        <f>B45/B23</f>
        <v>0.14627956369919723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9"/>
      <c r="H47" s="16"/>
      <c r="I47" s="16"/>
      <c r="J47" s="9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7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7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7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1" enableFormatConditionsCalculation="0"/>
  <dimension ref="A1:AV70"/>
  <sheetViews>
    <sheetView topLeftCell="F19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99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111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6552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52">
        <v>15434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55">
        <f>SUM(B4:B9)</f>
        <v>22097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99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20">
        <v>44371</v>
      </c>
      <c r="C18" s="120">
        <v>989</v>
      </c>
      <c r="D18" s="10">
        <v>0</v>
      </c>
      <c r="E18" s="10">
        <v>0</v>
      </c>
      <c r="F18" s="10">
        <v>0</v>
      </c>
      <c r="G18" s="120">
        <v>43733</v>
      </c>
      <c r="H18" s="10">
        <v>0</v>
      </c>
      <c r="I18" s="10"/>
      <c r="J18" s="10"/>
      <c r="K18" s="10"/>
      <c r="L18" s="10"/>
      <c r="M18" s="10"/>
      <c r="N18" s="10"/>
      <c r="O18" s="120">
        <f>SUM(C18:G18)</f>
        <v>44722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329.67171999999999</v>
      </c>
      <c r="U21" s="75"/>
    </row>
    <row r="22" spans="1:21" x14ac:dyDescent="0.2">
      <c r="A22" s="8" t="s">
        <v>25</v>
      </c>
      <c r="B22" s="95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59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v>44371</v>
      </c>
      <c r="C23" s="120">
        <v>989</v>
      </c>
      <c r="D23" s="10">
        <v>0</v>
      </c>
      <c r="E23" s="10">
        <v>0</v>
      </c>
      <c r="F23" s="10">
        <v>0</v>
      </c>
      <c r="G23" s="120">
        <v>43733</v>
      </c>
      <c r="H23" s="10">
        <v>0</v>
      </c>
      <c r="I23" s="10"/>
      <c r="J23" s="10"/>
      <c r="K23" s="10"/>
      <c r="L23" s="10"/>
      <c r="M23" s="10"/>
      <c r="N23" s="10"/>
      <c r="O23" s="120">
        <f>O18</f>
        <v>44722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137.62871999999999</v>
      </c>
      <c r="U24" s="78">
        <f>N43</f>
        <v>0.41747202338132011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71.97</v>
      </c>
      <c r="U25" s="79">
        <f>G43</f>
        <v>0.21830807932206014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9.1679999999999993</v>
      </c>
      <c r="U27" s="78">
        <f>F43</f>
        <v>2.7809482718141553E-2</v>
      </c>
    </row>
    <row r="28" spans="1:21" x14ac:dyDescent="0.2">
      <c r="A28" s="4" t="s">
        <v>99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0.95699999999999996</v>
      </c>
      <c r="U28" s="78">
        <f>E43</f>
        <v>2.9028877575546972E-3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3400</v>
      </c>
      <c r="D31" s="10">
        <v>0</v>
      </c>
      <c r="E31" s="10">
        <v>0</v>
      </c>
      <c r="F31" s="10">
        <v>348</v>
      </c>
      <c r="G31" s="10">
        <v>0</v>
      </c>
      <c r="H31" s="10">
        <v>0</v>
      </c>
      <c r="I31" s="10"/>
      <c r="J31" s="10"/>
      <c r="K31" s="10"/>
      <c r="L31" s="10"/>
      <c r="N31" s="10">
        <v>5057</v>
      </c>
      <c r="O31" s="10">
        <v>8805</v>
      </c>
      <c r="P31" s="80">
        <f>O31/O$39</f>
        <v>2.8112129242361356E-2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55">
        <v>8580</v>
      </c>
      <c r="C32" s="10">
        <v>1192</v>
      </c>
      <c r="D32" s="10">
        <v>0</v>
      </c>
      <c r="E32" s="121">
        <v>957</v>
      </c>
      <c r="F32" s="10">
        <v>0</v>
      </c>
      <c r="G32" s="121">
        <v>404</v>
      </c>
      <c r="H32" s="10">
        <v>0</v>
      </c>
      <c r="I32" s="10"/>
      <c r="J32" s="10"/>
      <c r="K32" s="10"/>
      <c r="L32" s="10"/>
      <c r="N32" s="155">
        <v>25851</v>
      </c>
      <c r="O32" s="155">
        <v>36984</v>
      </c>
      <c r="P32" s="80">
        <f>O32/O$39</f>
        <v>0.1180805210561604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55">
        <v>6333</v>
      </c>
      <c r="C33" s="10">
        <v>40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9447</v>
      </c>
      <c r="O33" s="120">
        <v>15820</v>
      </c>
      <c r="P33" s="80">
        <f>O33/O$39</f>
        <v>5.0509242999904218E-2</v>
      </c>
      <c r="Q33" s="81" t="s">
        <v>39</v>
      </c>
      <c r="R33" s="75"/>
      <c r="S33" s="75" t="s">
        <v>35</v>
      </c>
      <c r="T33" s="77">
        <f>C42/1000</f>
        <v>109.94799999999999</v>
      </c>
      <c r="U33" s="79">
        <f>C43</f>
        <v>0.33350752682092361</v>
      </c>
    </row>
    <row r="34" spans="1:48" x14ac:dyDescent="0.2">
      <c r="A34" s="8" t="s">
        <v>40</v>
      </c>
      <c r="B34" s="10">
        <v>0</v>
      </c>
      <c r="C34" s="10">
        <v>102848</v>
      </c>
      <c r="D34" s="10">
        <v>0</v>
      </c>
      <c r="E34" s="10">
        <v>0</v>
      </c>
      <c r="F34" s="10">
        <v>8820</v>
      </c>
      <c r="G34" s="10">
        <v>0</v>
      </c>
      <c r="H34" s="10">
        <v>0</v>
      </c>
      <c r="I34" s="10"/>
      <c r="J34" s="10"/>
      <c r="K34" s="10"/>
      <c r="L34" s="10"/>
      <c r="N34" s="10">
        <v>11</v>
      </c>
      <c r="O34" s="10">
        <v>111678</v>
      </c>
      <c r="P34" s="80">
        <f>O34/O$39</f>
        <v>0.35655949682321764</v>
      </c>
      <c r="Q34" s="81" t="s">
        <v>41</v>
      </c>
      <c r="R34" s="75"/>
      <c r="S34" s="75"/>
      <c r="T34" s="77">
        <f>SUM(T24:T33)</f>
        <v>329.67171999999999</v>
      </c>
      <c r="U34" s="78">
        <f>SUM(U24:U33)</f>
        <v>1</v>
      </c>
    </row>
    <row r="35" spans="1:48" x14ac:dyDescent="0.2">
      <c r="A35" s="8" t="s">
        <v>42</v>
      </c>
      <c r="B35" s="155">
        <v>12215</v>
      </c>
      <c r="C35" s="10">
        <v>507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20">
        <v>36971</v>
      </c>
      <c r="O35" s="10">
        <v>49693</v>
      </c>
      <c r="P35" s="80">
        <f>O35/O$39</f>
        <v>0.1586571309983717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55">
        <v>572</v>
      </c>
      <c r="C36" s="10">
        <v>760</v>
      </c>
      <c r="D36" s="10">
        <v>0</v>
      </c>
      <c r="E36" s="10">
        <v>0</v>
      </c>
      <c r="F36" s="10">
        <v>0</v>
      </c>
      <c r="G36" s="121">
        <v>27832</v>
      </c>
      <c r="H36" s="10">
        <v>0</v>
      </c>
      <c r="I36" s="10"/>
      <c r="J36" s="10"/>
      <c r="K36" s="10"/>
      <c r="L36" s="10"/>
      <c r="N36" s="10">
        <v>40122</v>
      </c>
      <c r="O36" s="10">
        <v>69286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20">
        <v>10755</v>
      </c>
      <c r="C37" s="10">
        <v>211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5624</v>
      </c>
      <c r="O37" s="120">
        <v>16590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4351</v>
      </c>
      <c r="O38" s="10">
        <v>4351</v>
      </c>
      <c r="P38" s="81">
        <f>SUM(P31:P35)</f>
        <v>0.71191852112001541</v>
      </c>
      <c r="Q38" s="81"/>
      <c r="R38" s="75"/>
      <c r="S38" s="83" t="s">
        <v>47</v>
      </c>
      <c r="T38" s="86">
        <f>O45/1000</f>
        <v>16.110720000000001</v>
      </c>
      <c r="U38" s="83"/>
    </row>
    <row r="39" spans="1:48" x14ac:dyDescent="0.2">
      <c r="A39" s="8" t="s">
        <v>16</v>
      </c>
      <c r="B39" s="120">
        <v>38455</v>
      </c>
      <c r="C39" s="10">
        <v>108959</v>
      </c>
      <c r="D39" s="10">
        <v>0</v>
      </c>
      <c r="E39" s="121">
        <v>957</v>
      </c>
      <c r="F39" s="10">
        <v>9168</v>
      </c>
      <c r="G39" s="10">
        <v>28237</v>
      </c>
      <c r="H39" s="10">
        <v>0</v>
      </c>
      <c r="I39" s="10"/>
      <c r="J39" s="10"/>
      <c r="K39" s="10"/>
      <c r="L39" s="10"/>
      <c r="N39" s="10">
        <v>127434</v>
      </c>
      <c r="O39" s="10">
        <v>313210</v>
      </c>
      <c r="P39" s="75"/>
      <c r="Q39" s="75"/>
      <c r="R39" s="75"/>
      <c r="S39" s="83" t="s">
        <v>48</v>
      </c>
      <c r="T39" s="90">
        <f>O41/1000</f>
        <v>90.227000000000004</v>
      </c>
      <c r="U39" s="78">
        <f>P41</f>
        <v>0.28807190064174198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49.692999999999998</v>
      </c>
      <c r="U40" s="79">
        <f>P35</f>
        <v>0.1586571309983717</v>
      </c>
    </row>
    <row r="41" spans="1:48" x14ac:dyDescent="0.2">
      <c r="A41" s="14" t="s">
        <v>50</v>
      </c>
      <c r="B41" s="85">
        <f>B38+B37+B36</f>
        <v>11327</v>
      </c>
      <c r="C41" s="85">
        <f t="shared" ref="C41:O41" si="0">C38+C37+C36</f>
        <v>971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27832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50097</v>
      </c>
      <c r="O41" s="85">
        <f t="shared" si="0"/>
        <v>90227</v>
      </c>
      <c r="P41" s="80">
        <f>O41/O$39</f>
        <v>0.28807190064174198</v>
      </c>
      <c r="Q41" s="80" t="s">
        <v>51</v>
      </c>
      <c r="R41" s="83"/>
      <c r="S41" s="83" t="s">
        <v>52</v>
      </c>
      <c r="T41" s="90">
        <f>O33/1000</f>
        <v>15.82</v>
      </c>
      <c r="U41" s="78">
        <f>P33</f>
        <v>5.0509242999904218E-2</v>
      </c>
    </row>
    <row r="42" spans="1:48" x14ac:dyDescent="0.2">
      <c r="A42" s="15" t="s">
        <v>53</v>
      </c>
      <c r="B42" s="85"/>
      <c r="C42" s="88">
        <f>C39+C23+C10</f>
        <v>109948</v>
      </c>
      <c r="D42" s="88">
        <f t="shared" ref="D42:M42" si="1">D39+D23+D10</f>
        <v>0</v>
      </c>
      <c r="E42" s="88">
        <f t="shared" si="1"/>
        <v>957</v>
      </c>
      <c r="F42" s="88">
        <f t="shared" si="1"/>
        <v>9168</v>
      </c>
      <c r="G42" s="88">
        <f t="shared" si="1"/>
        <v>71970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137628.72</v>
      </c>
      <c r="O42" s="89">
        <f>SUM(C42:N42)</f>
        <v>329671.71999999997</v>
      </c>
      <c r="P42" s="83"/>
      <c r="Q42" s="83"/>
      <c r="R42" s="83"/>
      <c r="S42" s="83" t="s">
        <v>34</v>
      </c>
      <c r="T42" s="90">
        <f>O31/1000</f>
        <v>8.8049999999999997</v>
      </c>
      <c r="U42" s="78">
        <f>P31</f>
        <v>2.8112129242361356E-2</v>
      </c>
    </row>
    <row r="43" spans="1:48" x14ac:dyDescent="0.2">
      <c r="A43" s="15" t="s">
        <v>54</v>
      </c>
      <c r="B43" s="85"/>
      <c r="C43" s="80">
        <f t="shared" ref="C43:N43" si="2">C42/$O42</f>
        <v>0.33350752682092361</v>
      </c>
      <c r="D43" s="80">
        <f t="shared" si="2"/>
        <v>0</v>
      </c>
      <c r="E43" s="80">
        <f t="shared" si="2"/>
        <v>2.9028877575546972E-3</v>
      </c>
      <c r="F43" s="80">
        <f t="shared" si="2"/>
        <v>2.7809482718141553E-2</v>
      </c>
      <c r="G43" s="80">
        <f t="shared" si="2"/>
        <v>0.21830807932206014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0.41747202338132011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36.984000000000002</v>
      </c>
      <c r="U43" s="79">
        <f>P32</f>
        <v>0.1180805210561604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111.678</v>
      </c>
      <c r="U44" s="79">
        <f>P34</f>
        <v>0.35655949682321764</v>
      </c>
    </row>
    <row r="45" spans="1:48" x14ac:dyDescent="0.2">
      <c r="A45" s="6" t="s">
        <v>57</v>
      </c>
      <c r="B45" s="91">
        <f>B23-B39</f>
        <v>5916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10194.719999999999</v>
      </c>
      <c r="O45" s="89">
        <f>B45+N45</f>
        <v>16110.72</v>
      </c>
      <c r="P45" s="83"/>
      <c r="Q45" s="83"/>
      <c r="R45" s="83"/>
      <c r="S45" s="83" t="s">
        <v>58</v>
      </c>
      <c r="T45" s="90">
        <f>SUM(T39:T44)</f>
        <v>313.20699999999999</v>
      </c>
      <c r="U45" s="78">
        <f>SUM(U39:U44)</f>
        <v>0.99999042176175734</v>
      </c>
    </row>
    <row r="46" spans="1:48" x14ac:dyDescent="0.2">
      <c r="A46" s="6"/>
      <c r="B46" s="93">
        <f>B45/B23</f>
        <v>0.13333032836762751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29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29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29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7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29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29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29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29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29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29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1" enableFormatConditionsCalculation="0"/>
  <dimension ref="A1:AV70"/>
  <sheetViews>
    <sheetView topLeftCell="C8" workbookViewId="0">
      <selection activeCell="L43" sqref="L43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7.1640625" style="2" customWidth="1"/>
    <col min="13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100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4">
        <v>117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20">
        <v>14345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95"/>
      <c r="Q7" s="8"/>
      <c r="R7" s="10"/>
    </row>
    <row r="8" spans="1:35" x14ac:dyDescent="0.2">
      <c r="A8" s="8" t="s">
        <v>14</v>
      </c>
      <c r="B8" s="121">
        <v>19248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95"/>
      <c r="Q8" s="8"/>
      <c r="R8" s="10"/>
    </row>
    <row r="9" spans="1:35" x14ac:dyDescent="0.2">
      <c r="A9" s="8" t="s">
        <v>15</v>
      </c>
      <c r="B9" s="10">
        <v>29251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95"/>
      <c r="Q9" s="8"/>
      <c r="R9" s="10"/>
      <c r="S9" s="8"/>
      <c r="T9" s="95"/>
      <c r="U9" s="95"/>
      <c r="V9" s="10"/>
      <c r="W9" s="10"/>
      <c r="X9" s="10"/>
      <c r="Y9" s="95"/>
      <c r="Z9" s="10"/>
      <c r="AA9" s="10"/>
      <c r="AB9" s="10"/>
      <c r="AC9" s="10"/>
      <c r="AD9" s="10"/>
      <c r="AE9" s="10"/>
      <c r="AF9" s="10"/>
      <c r="AG9" s="95"/>
    </row>
    <row r="10" spans="1:35" x14ac:dyDescent="0.2">
      <c r="A10" s="8" t="s">
        <v>16</v>
      </c>
      <c r="B10" s="128">
        <f>SUM(B4:B9)</f>
        <v>62961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95"/>
      <c r="Q10" s="8"/>
      <c r="R10" s="10"/>
      <c r="S10" s="8"/>
      <c r="T10" s="95"/>
      <c r="U10" s="95"/>
      <c r="V10" s="10"/>
      <c r="W10" s="10"/>
      <c r="X10" s="10"/>
      <c r="Y10" s="95"/>
      <c r="Z10" s="10"/>
      <c r="AA10" s="10"/>
      <c r="AB10" s="10"/>
      <c r="AC10" s="10"/>
      <c r="AD10" s="10"/>
      <c r="AE10" s="10"/>
      <c r="AF10" s="10"/>
      <c r="AG10" s="95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127892</v>
      </c>
      <c r="C17" s="120">
        <v>3559</v>
      </c>
      <c r="D17" s="10">
        <v>0</v>
      </c>
      <c r="E17" s="10">
        <v>0</v>
      </c>
      <c r="F17" s="10">
        <v>0</v>
      </c>
      <c r="G17" s="120">
        <v>115098</v>
      </c>
      <c r="H17" s="10">
        <v>0</v>
      </c>
      <c r="I17" s="10"/>
      <c r="J17" s="10"/>
      <c r="K17" s="10"/>
      <c r="L17" s="10"/>
      <c r="M17" s="10"/>
      <c r="N17" s="10"/>
      <c r="O17" s="120">
        <f>SUM(C17:N17)</f>
        <v>118657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2500</v>
      </c>
      <c r="C18" s="119">
        <v>200</v>
      </c>
      <c r="D18" s="10">
        <v>0</v>
      </c>
      <c r="E18" s="10">
        <v>0</v>
      </c>
      <c r="F18" s="10">
        <v>0</v>
      </c>
      <c r="G18" s="119">
        <v>2600</v>
      </c>
      <c r="H18" s="10">
        <v>0</v>
      </c>
      <c r="I18" s="10"/>
      <c r="J18" s="10"/>
      <c r="K18" s="10"/>
      <c r="L18" s="10"/>
      <c r="M18" s="10"/>
      <c r="N18" s="10"/>
      <c r="O18" s="119">
        <v>2800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870.95371999999998</v>
      </c>
      <c r="U21" s="75"/>
    </row>
    <row r="22" spans="1:21" x14ac:dyDescent="0.2">
      <c r="A22" s="8" t="s">
        <v>25</v>
      </c>
      <c r="B22" s="95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20">
        <f>SUM(B17:B22)</f>
        <v>130392</v>
      </c>
      <c r="C23" s="120">
        <f t="shared" ref="C23:O23" si="0">SUM(C17:C22)</f>
        <v>3759</v>
      </c>
      <c r="D23" s="95">
        <f t="shared" si="0"/>
        <v>0</v>
      </c>
      <c r="E23" s="95">
        <f t="shared" si="0"/>
        <v>0</v>
      </c>
      <c r="F23" s="95">
        <f t="shared" si="0"/>
        <v>0</v>
      </c>
      <c r="G23" s="120">
        <f t="shared" si="0"/>
        <v>117698</v>
      </c>
      <c r="H23" s="95">
        <f t="shared" si="0"/>
        <v>0</v>
      </c>
      <c r="I23" s="95"/>
      <c r="J23" s="95"/>
      <c r="K23" s="95"/>
      <c r="L23" s="95"/>
      <c r="M23" s="95"/>
      <c r="N23" s="95"/>
      <c r="O23" s="120">
        <f t="shared" si="0"/>
        <v>121457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A24" s="8" t="s">
        <v>118</v>
      </c>
      <c r="B24" s="119">
        <f>90500+8864</f>
        <v>99364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318.14272</v>
      </c>
      <c r="U24" s="78">
        <f>N43</f>
        <v>0.36528085556601098</v>
      </c>
    </row>
    <row r="25" spans="1:21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154.93100000000001</v>
      </c>
      <c r="U25" s="79">
        <f>G43</f>
        <v>0.17788660458330668</v>
      </c>
    </row>
    <row r="26" spans="1:21" x14ac:dyDescent="0.2"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25.545000000000002</v>
      </c>
      <c r="U27" s="78">
        <f>F43</f>
        <v>2.9329916634376396E-2</v>
      </c>
    </row>
    <row r="28" spans="1:21" x14ac:dyDescent="0.2">
      <c r="A28" s="4" t="s">
        <v>100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45.9</v>
      </c>
      <c r="U28" s="78">
        <f>E43</f>
        <v>5.2700848444622292E-2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114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14003</v>
      </c>
      <c r="D31" s="10">
        <v>0</v>
      </c>
      <c r="E31" s="10">
        <v>0</v>
      </c>
      <c r="F31" s="10">
        <v>1359</v>
      </c>
      <c r="G31" s="10">
        <v>0</v>
      </c>
      <c r="H31" s="10">
        <v>0</v>
      </c>
      <c r="I31" s="10"/>
      <c r="J31" s="10"/>
      <c r="K31" s="10"/>
      <c r="L31" s="10"/>
      <c r="N31" s="10">
        <v>14618</v>
      </c>
      <c r="O31" s="10">
        <f>SUM(B31:N31)</f>
        <v>29980</v>
      </c>
      <c r="P31" s="80">
        <f>O31/O$39</f>
        <v>3.1576874100117017E-2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20">
        <f>15748-8864</f>
        <v>6884</v>
      </c>
      <c r="C32" s="10">
        <v>3217</v>
      </c>
      <c r="D32" s="10">
        <v>0</v>
      </c>
      <c r="E32" s="147">
        <v>45900</v>
      </c>
      <c r="F32" s="10">
        <v>0</v>
      </c>
      <c r="G32" s="10">
        <v>0</v>
      </c>
      <c r="H32" s="10">
        <v>0</v>
      </c>
      <c r="I32" s="10"/>
      <c r="J32" s="10"/>
      <c r="K32" s="10"/>
      <c r="L32" s="167">
        <f>90500+8864</f>
        <v>99364</v>
      </c>
      <c r="N32" s="10">
        <v>136620</v>
      </c>
      <c r="O32" s="10">
        <f t="shared" ref="O32:O39" si="1">SUM(B32:N32)</f>
        <v>291985</v>
      </c>
      <c r="P32" s="80">
        <f>O32/O$39</f>
        <v>0.30753747778928175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21537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18166</v>
      </c>
      <c r="O33" s="10">
        <f t="shared" si="1"/>
        <v>39703</v>
      </c>
      <c r="P33" s="80">
        <f>O33/O$39</f>
        <v>4.1817766257403133E-2</v>
      </c>
      <c r="Q33" s="81" t="s">
        <v>39</v>
      </c>
      <c r="R33" s="75"/>
      <c r="S33" s="75" t="s">
        <v>35</v>
      </c>
      <c r="T33" s="77">
        <f>C42/1000</f>
        <v>326.435</v>
      </c>
      <c r="U33" s="79">
        <f>C43</f>
        <v>0.37480177477168364</v>
      </c>
    </row>
    <row r="34" spans="1:48" x14ac:dyDescent="0.2">
      <c r="A34" s="8" t="s">
        <v>40</v>
      </c>
      <c r="B34" s="10">
        <v>0</v>
      </c>
      <c r="C34" s="10">
        <v>298289</v>
      </c>
      <c r="D34" s="10">
        <v>0</v>
      </c>
      <c r="E34" s="10">
        <v>0</v>
      </c>
      <c r="F34" s="10">
        <v>24186</v>
      </c>
      <c r="G34" s="10">
        <v>0</v>
      </c>
      <c r="H34" s="10">
        <v>0</v>
      </c>
      <c r="I34" s="10"/>
      <c r="J34" s="10"/>
      <c r="K34" s="10"/>
      <c r="L34" s="10"/>
      <c r="N34" s="10">
        <v>690</v>
      </c>
      <c r="O34" s="10">
        <f t="shared" si="1"/>
        <v>323165</v>
      </c>
      <c r="P34" s="80">
        <f>O34/O$39</f>
        <v>0.34037826946512062</v>
      </c>
      <c r="Q34" s="81" t="s">
        <v>41</v>
      </c>
      <c r="R34" s="75"/>
      <c r="S34" s="75"/>
      <c r="T34" s="77">
        <f>SUM(T24:T33)</f>
        <v>870.95371999999998</v>
      </c>
      <c r="U34" s="78">
        <f>SUM(U24:U33)</f>
        <v>1</v>
      </c>
    </row>
    <row r="35" spans="1:48" x14ac:dyDescent="0.2">
      <c r="A35" s="8" t="s">
        <v>42</v>
      </c>
      <c r="B35" s="119">
        <v>11091</v>
      </c>
      <c r="C35" s="10">
        <v>6982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55507</v>
      </c>
      <c r="O35" s="10">
        <f t="shared" si="1"/>
        <v>73580</v>
      </c>
      <c r="P35" s="80">
        <f>O35/O$39</f>
        <v>7.7499212684676785E-2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23955</v>
      </c>
      <c r="C36" s="10">
        <v>149</v>
      </c>
      <c r="D36" s="10">
        <v>0</v>
      </c>
      <c r="E36" s="10">
        <v>0</v>
      </c>
      <c r="F36" s="10">
        <v>0</v>
      </c>
      <c r="G36" s="10">
        <v>37233</v>
      </c>
      <c r="H36" s="10">
        <v>0</v>
      </c>
      <c r="I36" s="10"/>
      <c r="J36" s="10"/>
      <c r="K36" s="10"/>
      <c r="L36" s="10"/>
      <c r="N36" s="10">
        <v>65567</v>
      </c>
      <c r="O36" s="10">
        <f t="shared" si="1"/>
        <v>126904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47385</v>
      </c>
      <c r="C37" s="10">
        <v>37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12197</v>
      </c>
      <c r="O37" s="10">
        <f t="shared" si="1"/>
        <v>59619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4494</v>
      </c>
      <c r="O38" s="10">
        <f t="shared" si="1"/>
        <v>4494</v>
      </c>
      <c r="P38" s="81">
        <f>SUM(P31:P35)</f>
        <v>0.7988096002965992</v>
      </c>
      <c r="Q38" s="81"/>
      <c r="R38" s="75"/>
      <c r="S38" s="83" t="s">
        <v>47</v>
      </c>
      <c r="T38" s="86">
        <f>O45/1000</f>
        <v>44.16872</v>
      </c>
      <c r="U38" s="83"/>
    </row>
    <row r="39" spans="1:48" x14ac:dyDescent="0.2">
      <c r="A39" s="8" t="s">
        <v>16</v>
      </c>
      <c r="B39" s="120">
        <v>110852</v>
      </c>
      <c r="C39" s="10">
        <v>322676</v>
      </c>
      <c r="D39" s="10">
        <v>0</v>
      </c>
      <c r="E39" s="147">
        <f>E32</f>
        <v>45900</v>
      </c>
      <c r="F39" s="10">
        <v>25545</v>
      </c>
      <c r="G39" s="10">
        <v>37233</v>
      </c>
      <c r="H39" s="10">
        <v>0</v>
      </c>
      <c r="I39" s="10"/>
      <c r="J39" s="10"/>
      <c r="K39" s="10"/>
      <c r="L39" s="167">
        <f>L32</f>
        <v>99364</v>
      </c>
      <c r="N39" s="10">
        <v>307859</v>
      </c>
      <c r="O39" s="10">
        <f t="shared" si="1"/>
        <v>949429</v>
      </c>
      <c r="P39" s="75"/>
      <c r="Q39" s="75"/>
      <c r="R39" s="75"/>
      <c r="S39" s="83" t="s">
        <v>48</v>
      </c>
      <c r="T39" s="90">
        <f>O41/1000</f>
        <v>191.017</v>
      </c>
      <c r="U39" s="78">
        <f>P41</f>
        <v>0.20119145296804711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73.58</v>
      </c>
      <c r="U40" s="79">
        <f>P35</f>
        <v>7.7499212684676785E-2</v>
      </c>
    </row>
    <row r="41" spans="1:48" x14ac:dyDescent="0.2">
      <c r="A41" s="14" t="s">
        <v>50</v>
      </c>
      <c r="B41" s="85">
        <f>B38+B37+B36</f>
        <v>71340</v>
      </c>
      <c r="C41" s="85">
        <f t="shared" ref="C41:O41" si="2">C38+C37+C36</f>
        <v>186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37233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82258</v>
      </c>
      <c r="O41" s="85">
        <f t="shared" si="2"/>
        <v>191017</v>
      </c>
      <c r="P41" s="80">
        <f>O41/O$39</f>
        <v>0.20119145296804711</v>
      </c>
      <c r="Q41" s="80" t="s">
        <v>51</v>
      </c>
      <c r="R41" s="83"/>
      <c r="S41" s="83" t="s">
        <v>52</v>
      </c>
      <c r="T41" s="90">
        <f>O33/1000</f>
        <v>39.703000000000003</v>
      </c>
      <c r="U41" s="78">
        <f>P33</f>
        <v>4.1817766257403133E-2</v>
      </c>
    </row>
    <row r="42" spans="1:48" x14ac:dyDescent="0.2">
      <c r="A42" s="15" t="s">
        <v>53</v>
      </c>
      <c r="B42" s="85"/>
      <c r="C42" s="88">
        <f>C39+C23+C10</f>
        <v>326435</v>
      </c>
      <c r="D42" s="88">
        <f t="shared" ref="D42:M42" si="3">D39+D23+D10</f>
        <v>0</v>
      </c>
      <c r="E42" s="88">
        <f t="shared" si="3"/>
        <v>45900</v>
      </c>
      <c r="F42" s="88">
        <f t="shared" si="3"/>
        <v>25545</v>
      </c>
      <c r="G42" s="88">
        <f t="shared" si="3"/>
        <v>154931</v>
      </c>
      <c r="H42" s="88">
        <f t="shared" si="3"/>
        <v>0</v>
      </c>
      <c r="I42" s="88">
        <f t="shared" si="3"/>
        <v>0</v>
      </c>
      <c r="J42" s="88">
        <f t="shared" si="3"/>
        <v>0</v>
      </c>
      <c r="K42" s="88">
        <f t="shared" si="3"/>
        <v>0</v>
      </c>
      <c r="L42" s="88">
        <v>0</v>
      </c>
      <c r="M42" s="88">
        <f t="shared" si="3"/>
        <v>0</v>
      </c>
      <c r="N42" s="88">
        <f>N39+N23-B6+N45</f>
        <v>318142.71999999997</v>
      </c>
      <c r="O42" s="89">
        <f>SUM(C42:N42)</f>
        <v>870953.72</v>
      </c>
      <c r="P42" s="83"/>
      <c r="Q42" s="83"/>
      <c r="R42" s="83"/>
      <c r="S42" s="83" t="s">
        <v>34</v>
      </c>
      <c r="T42" s="90">
        <f>O31/1000</f>
        <v>29.98</v>
      </c>
      <c r="U42" s="78">
        <f>P31</f>
        <v>3.1576874100117017E-2</v>
      </c>
    </row>
    <row r="43" spans="1:48" x14ac:dyDescent="0.2">
      <c r="A43" s="15" t="s">
        <v>54</v>
      </c>
      <c r="B43" s="85"/>
      <c r="C43" s="80">
        <f t="shared" ref="C43:N43" si="4">C42/$O42</f>
        <v>0.37480177477168364</v>
      </c>
      <c r="D43" s="80">
        <f t="shared" si="4"/>
        <v>0</v>
      </c>
      <c r="E43" s="80">
        <f t="shared" si="4"/>
        <v>5.2700848444622292E-2</v>
      </c>
      <c r="F43" s="80">
        <f t="shared" si="4"/>
        <v>2.9329916634376396E-2</v>
      </c>
      <c r="G43" s="80">
        <f t="shared" si="4"/>
        <v>0.17788660458330668</v>
      </c>
      <c r="H43" s="80">
        <f t="shared" si="4"/>
        <v>0</v>
      </c>
      <c r="I43" s="80">
        <f t="shared" si="4"/>
        <v>0</v>
      </c>
      <c r="J43" s="80">
        <f t="shared" si="4"/>
        <v>0</v>
      </c>
      <c r="K43" s="80">
        <f t="shared" si="4"/>
        <v>0</v>
      </c>
      <c r="L43" s="80">
        <f t="shared" si="4"/>
        <v>0</v>
      </c>
      <c r="M43" s="80">
        <f t="shared" si="4"/>
        <v>0</v>
      </c>
      <c r="N43" s="80">
        <f t="shared" si="4"/>
        <v>0.36528085556601098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291.98500000000001</v>
      </c>
      <c r="U43" s="79">
        <f>P32</f>
        <v>0.30753747778928175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323.16500000000002</v>
      </c>
      <c r="U44" s="79">
        <f>P34</f>
        <v>0.34037826946512062</v>
      </c>
    </row>
    <row r="45" spans="1:48" x14ac:dyDescent="0.2">
      <c r="A45" s="6" t="s">
        <v>57</v>
      </c>
      <c r="B45" s="91">
        <f>B23-B39</f>
        <v>19540</v>
      </c>
      <c r="C45" s="132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24628.720000000001</v>
      </c>
      <c r="O45" s="89">
        <f>B45+N45</f>
        <v>44168.72</v>
      </c>
      <c r="P45" s="83"/>
      <c r="Q45" s="83"/>
      <c r="R45" s="83"/>
      <c r="S45" s="83" t="s">
        <v>58</v>
      </c>
      <c r="T45" s="90">
        <f>SUM(T39:T44)</f>
        <v>949.43000000000006</v>
      </c>
      <c r="U45" s="78">
        <f>SUM(U39:U44)</f>
        <v>1.0000010532646464</v>
      </c>
    </row>
    <row r="46" spans="1:48" x14ac:dyDescent="0.2">
      <c r="A46" s="6"/>
      <c r="B46" s="93">
        <f>B45/B23</f>
        <v>0.14985581937542181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8"/>
      <c r="B48" s="4"/>
      <c r="C48" s="16"/>
      <c r="D48" s="17"/>
      <c r="E48" s="16"/>
      <c r="F48" s="17"/>
      <c r="G48" s="16"/>
      <c r="H48" s="16"/>
      <c r="I48" s="9"/>
      <c r="J48" s="9"/>
      <c r="K48" s="9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8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8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8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8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8"/>
      <c r="B53" s="133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8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8"/>
      <c r="B55" s="4"/>
      <c r="C55" s="16"/>
      <c r="D55" s="17"/>
      <c r="E55" s="16"/>
      <c r="F55" s="17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8"/>
      <c r="B56" s="4"/>
      <c r="C56" s="16"/>
      <c r="D56" s="17"/>
      <c r="E56" s="16"/>
      <c r="F56" s="17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4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1" enableFormatConditionsCalculation="0"/>
  <dimension ref="A1:AV70"/>
  <sheetViews>
    <sheetView topLeftCell="C8" workbookViewId="0">
      <selection activeCell="L43" sqref="L43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8.6640625" style="2" customWidth="1"/>
    <col min="13" max="13" width="9.1640625" style="2" customWidth="1"/>
    <col min="14" max="14" width="8.83203125" style="2"/>
    <col min="15" max="15" width="11.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101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527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22339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  <c r="AH7" s="8"/>
    </row>
    <row r="8" spans="1:35" x14ac:dyDescent="0.2">
      <c r="A8" s="8" t="s">
        <v>14</v>
      </c>
      <c r="B8" s="10">
        <v>4675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  <c r="AH8" s="8"/>
    </row>
    <row r="9" spans="1:35" x14ac:dyDescent="0.2">
      <c r="A9" s="8" t="s">
        <v>15</v>
      </c>
      <c r="B9" s="10">
        <v>93398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8"/>
    </row>
    <row r="10" spans="1:35" x14ac:dyDescent="0.2">
      <c r="A10" s="8" t="s">
        <v>16</v>
      </c>
      <c r="B10" s="128">
        <f>SUM(B4:B9)</f>
        <v>120939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8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336905</v>
      </c>
      <c r="C17" s="119">
        <f>4427</f>
        <v>4427</v>
      </c>
      <c r="D17" s="119">
        <v>0</v>
      </c>
      <c r="E17" s="10">
        <v>0</v>
      </c>
      <c r="F17" s="119">
        <v>6172</v>
      </c>
      <c r="G17" s="119">
        <v>982</v>
      </c>
      <c r="H17" s="10">
        <v>0</v>
      </c>
      <c r="I17" s="10"/>
      <c r="J17" s="10"/>
      <c r="K17" s="119">
        <v>400600</v>
      </c>
      <c r="L17" s="10"/>
      <c r="M17" s="10"/>
      <c r="N17" s="10"/>
      <c r="O17" s="119">
        <f>SUM(C17:M17)</f>
        <v>412181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f t="shared" ref="O18:O22" si="0">SUM(C18:M18)</f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f t="shared" si="0"/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f t="shared" si="0"/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59">
        <v>9095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f t="shared" si="0"/>
        <v>0</v>
      </c>
      <c r="P21" s="75"/>
      <c r="Q21" s="75"/>
      <c r="R21" s="75"/>
      <c r="S21" s="75" t="s">
        <v>26</v>
      </c>
      <c r="T21" s="76">
        <f>O42/1000</f>
        <v>1385.01728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f t="shared" si="0"/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SUM(B17:B22)</f>
        <v>346000</v>
      </c>
      <c r="C23" s="119">
        <f t="shared" ref="C23:O23" si="1">SUM(C17:C22)</f>
        <v>4427</v>
      </c>
      <c r="D23" s="119">
        <f t="shared" si="1"/>
        <v>0</v>
      </c>
      <c r="E23" s="119">
        <f t="shared" si="1"/>
        <v>0</v>
      </c>
      <c r="F23" s="119">
        <f t="shared" si="1"/>
        <v>6172</v>
      </c>
      <c r="G23" s="119">
        <f t="shared" si="1"/>
        <v>982</v>
      </c>
      <c r="H23" s="119">
        <f t="shared" si="1"/>
        <v>0</v>
      </c>
      <c r="I23" s="119"/>
      <c r="J23" s="119"/>
      <c r="K23" s="119">
        <f t="shared" si="1"/>
        <v>400600</v>
      </c>
      <c r="L23" s="119"/>
      <c r="M23" s="119"/>
      <c r="N23" s="119"/>
      <c r="O23" s="119">
        <f t="shared" si="1"/>
        <v>412181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A24" s="8"/>
      <c r="B24" s="11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467.64728000000002</v>
      </c>
      <c r="U24" s="78">
        <f>N43</f>
        <v>0.33764725303643867</v>
      </c>
    </row>
    <row r="25" spans="1:21" x14ac:dyDescent="0.2">
      <c r="A25" s="8"/>
      <c r="B25" s="11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51.244999999999997</v>
      </c>
      <c r="U25" s="79">
        <f>G43</f>
        <v>3.6999538373990538E-2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33.555999999999997</v>
      </c>
      <c r="U27" s="78">
        <f>F43</f>
        <v>2.4227856565081991E-2</v>
      </c>
    </row>
    <row r="28" spans="1:21" x14ac:dyDescent="0.2">
      <c r="A28" s="4" t="s">
        <v>101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3.964</v>
      </c>
      <c r="U28" s="78">
        <f>E43</f>
        <v>2.8620581542491657E-3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114</v>
      </c>
      <c r="M29" s="91"/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400.6</v>
      </c>
      <c r="U30" s="96">
        <f>K43</f>
        <v>0.28923826856514023</v>
      </c>
    </row>
    <row r="31" spans="1:21" x14ac:dyDescent="0.2">
      <c r="A31" s="8" t="s">
        <v>33</v>
      </c>
      <c r="B31" s="10">
        <v>0</v>
      </c>
      <c r="C31" s="10">
        <v>24702</v>
      </c>
      <c r="D31" s="10">
        <v>0</v>
      </c>
      <c r="E31" s="10">
        <v>0</v>
      </c>
      <c r="F31" s="10">
        <v>2394</v>
      </c>
      <c r="G31" s="10">
        <v>0</v>
      </c>
      <c r="H31" s="10">
        <v>0</v>
      </c>
      <c r="I31" s="10"/>
      <c r="J31" s="10"/>
      <c r="K31" s="10"/>
      <c r="L31" s="10"/>
      <c r="N31" s="10">
        <v>27473</v>
      </c>
      <c r="O31" s="10">
        <v>54569</v>
      </c>
      <c r="P31" s="80">
        <f>O31/O$39</f>
        <v>4.3815529786595107E-2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ht="19" x14ac:dyDescent="0.35">
      <c r="A32" s="8" t="s">
        <v>36</v>
      </c>
      <c r="B32" s="119">
        <f>87516-L32</f>
        <v>45324</v>
      </c>
      <c r="C32" s="10">
        <v>18306</v>
      </c>
      <c r="D32" s="10">
        <v>0</v>
      </c>
      <c r="E32" s="121">
        <f>E39</f>
        <v>3964</v>
      </c>
      <c r="F32" s="121">
        <v>280</v>
      </c>
      <c r="G32" s="10">
        <v>3896</v>
      </c>
      <c r="H32" s="10">
        <v>0</v>
      </c>
      <c r="I32" s="10"/>
      <c r="J32" s="10"/>
      <c r="K32" s="10"/>
      <c r="L32" s="159">
        <v>42192</v>
      </c>
      <c r="M32" s="158"/>
      <c r="N32" s="10">
        <v>130250</v>
      </c>
      <c r="O32" s="10">
        <v>244211</v>
      </c>
      <c r="P32" s="80">
        <f>O32/O$39</f>
        <v>0.19608631905869958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29276</v>
      </c>
      <c r="C33" s="10">
        <v>6537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48756</v>
      </c>
      <c r="O33" s="10">
        <v>84569</v>
      </c>
      <c r="P33" s="80">
        <f>O33/O$39</f>
        <v>6.7903673120683197E-2</v>
      </c>
      <c r="Q33" s="81" t="s">
        <v>39</v>
      </c>
      <c r="R33" s="75"/>
      <c r="S33" s="75" t="s">
        <v>35</v>
      </c>
      <c r="T33" s="77">
        <f>C42/1000</f>
        <v>428.005</v>
      </c>
      <c r="U33" s="79">
        <f>C43</f>
        <v>0.30902502530509945</v>
      </c>
    </row>
    <row r="34" spans="1:48" x14ac:dyDescent="0.2">
      <c r="A34" s="8" t="s">
        <v>40</v>
      </c>
      <c r="B34" s="10">
        <v>0</v>
      </c>
      <c r="C34" s="10">
        <v>307979</v>
      </c>
      <c r="D34" s="10">
        <v>0</v>
      </c>
      <c r="E34" s="10">
        <v>0</v>
      </c>
      <c r="F34" s="10">
        <v>24710</v>
      </c>
      <c r="G34" s="10">
        <v>0</v>
      </c>
      <c r="H34" s="10">
        <v>0</v>
      </c>
      <c r="I34" s="10"/>
      <c r="J34" s="10"/>
      <c r="K34" s="10"/>
      <c r="L34" s="10"/>
      <c r="N34" s="10">
        <v>46</v>
      </c>
      <c r="O34" s="10">
        <v>332734</v>
      </c>
      <c r="P34" s="80">
        <f>O34/O$39</f>
        <v>0.26716480947081561</v>
      </c>
      <c r="Q34" s="81" t="s">
        <v>41</v>
      </c>
      <c r="R34" s="75"/>
      <c r="S34" s="75"/>
      <c r="T34" s="77">
        <f>SUM(T24:T33)</f>
        <v>1385.01728</v>
      </c>
      <c r="U34" s="78">
        <f>SUM(U24:U33)</f>
        <v>1</v>
      </c>
    </row>
    <row r="35" spans="1:48" x14ac:dyDescent="0.2">
      <c r="A35" s="8" t="s">
        <v>42</v>
      </c>
      <c r="B35" s="10">
        <v>30597</v>
      </c>
      <c r="C35" s="10">
        <v>65864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129311</v>
      </c>
      <c r="O35" s="10">
        <v>225772</v>
      </c>
      <c r="P35" s="80">
        <f>O35/O$39</f>
        <v>0.18128094322745791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53169</v>
      </c>
      <c r="C36" s="10">
        <v>191</v>
      </c>
      <c r="D36" s="10">
        <v>0</v>
      </c>
      <c r="E36" s="10">
        <v>0</v>
      </c>
      <c r="F36" s="10">
        <v>0</v>
      </c>
      <c r="G36" s="10">
        <v>46368</v>
      </c>
      <c r="H36" s="10">
        <v>0</v>
      </c>
      <c r="I36" s="10"/>
      <c r="J36" s="10"/>
      <c r="K36" s="10"/>
      <c r="L36" s="10"/>
      <c r="N36" s="10">
        <v>92934</v>
      </c>
      <c r="O36" s="10">
        <v>192662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85988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17497</v>
      </c>
      <c r="O37" s="10">
        <v>103485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7424</v>
      </c>
      <c r="O38" s="10">
        <v>7424</v>
      </c>
      <c r="P38" s="81">
        <f>SUM(P31:P35)</f>
        <v>0.75625127466425146</v>
      </c>
      <c r="Q38" s="81"/>
      <c r="R38" s="75"/>
      <c r="S38" s="83" t="s">
        <v>47</v>
      </c>
      <c r="T38" s="86">
        <f>O45/1000</f>
        <v>95.749279999999999</v>
      </c>
      <c r="U38" s="83"/>
    </row>
    <row r="39" spans="1:48" x14ac:dyDescent="0.2">
      <c r="A39" s="8" t="s">
        <v>16</v>
      </c>
      <c r="B39" s="119">
        <f>286546-L39</f>
        <v>244354</v>
      </c>
      <c r="C39" s="10">
        <v>423578</v>
      </c>
      <c r="D39" s="10">
        <v>0</v>
      </c>
      <c r="E39" s="121">
        <v>3964</v>
      </c>
      <c r="F39" s="121">
        <f>SUM(F30:F38)</f>
        <v>27384</v>
      </c>
      <c r="G39" s="10">
        <v>50263</v>
      </c>
      <c r="H39" s="10">
        <v>0</v>
      </c>
      <c r="I39" s="10"/>
      <c r="J39" s="10"/>
      <c r="K39" s="10"/>
      <c r="L39" s="119">
        <f>L32</f>
        <v>42192</v>
      </c>
      <c r="N39" s="10">
        <v>453691</v>
      </c>
      <c r="O39" s="10">
        <v>1245426</v>
      </c>
      <c r="P39" s="75"/>
      <c r="Q39" s="75"/>
      <c r="R39" s="75"/>
      <c r="S39" s="83" t="s">
        <v>48</v>
      </c>
      <c r="T39" s="90">
        <f>O41/1000</f>
        <v>303.57100000000003</v>
      </c>
      <c r="U39" s="78">
        <f>P41</f>
        <v>0.24374872533574857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225.77199999999999</v>
      </c>
      <c r="U40" s="79">
        <f>P35</f>
        <v>0.18128094322745791</v>
      </c>
    </row>
    <row r="41" spans="1:48" x14ac:dyDescent="0.2">
      <c r="A41" s="14" t="s">
        <v>50</v>
      </c>
      <c r="B41" s="85">
        <f>B38+B37+B36</f>
        <v>139157</v>
      </c>
      <c r="C41" s="85">
        <f t="shared" ref="C41:O41" si="2">C38+C37+C36</f>
        <v>191</v>
      </c>
      <c r="D41" s="85">
        <f t="shared" si="2"/>
        <v>0</v>
      </c>
      <c r="E41" s="85">
        <f t="shared" si="2"/>
        <v>0</v>
      </c>
      <c r="F41" s="85">
        <f t="shared" si="2"/>
        <v>0</v>
      </c>
      <c r="G41" s="85">
        <f t="shared" si="2"/>
        <v>46368</v>
      </c>
      <c r="H41" s="85">
        <f t="shared" si="2"/>
        <v>0</v>
      </c>
      <c r="I41" s="85">
        <f t="shared" si="2"/>
        <v>0</v>
      </c>
      <c r="J41" s="85">
        <f t="shared" si="2"/>
        <v>0</v>
      </c>
      <c r="K41" s="85">
        <f t="shared" si="2"/>
        <v>0</v>
      </c>
      <c r="L41" s="85">
        <f t="shared" si="2"/>
        <v>0</v>
      </c>
      <c r="M41" s="85">
        <f t="shared" si="2"/>
        <v>0</v>
      </c>
      <c r="N41" s="85">
        <f t="shared" si="2"/>
        <v>117855</v>
      </c>
      <c r="O41" s="85">
        <f t="shared" si="2"/>
        <v>303571</v>
      </c>
      <c r="P41" s="80">
        <f>O41/O$39</f>
        <v>0.24374872533574857</v>
      </c>
      <c r="Q41" s="80" t="s">
        <v>51</v>
      </c>
      <c r="R41" s="83"/>
      <c r="S41" s="83" t="s">
        <v>52</v>
      </c>
      <c r="T41" s="90">
        <f>O33/1000</f>
        <v>84.569000000000003</v>
      </c>
      <c r="U41" s="78">
        <f>P33</f>
        <v>6.7903673120683197E-2</v>
      </c>
    </row>
    <row r="42" spans="1:48" x14ac:dyDescent="0.2">
      <c r="A42" s="15" t="s">
        <v>53</v>
      </c>
      <c r="B42" s="85"/>
      <c r="C42" s="88">
        <f>C39+C23+C10</f>
        <v>428005</v>
      </c>
      <c r="D42" s="88">
        <f t="shared" ref="D42:M42" si="3">D39+D23+D10</f>
        <v>0</v>
      </c>
      <c r="E42" s="88">
        <f t="shared" si="3"/>
        <v>3964</v>
      </c>
      <c r="F42" s="88">
        <f t="shared" si="3"/>
        <v>33556</v>
      </c>
      <c r="G42" s="88">
        <f t="shared" si="3"/>
        <v>51245</v>
      </c>
      <c r="H42" s="88">
        <f t="shared" si="3"/>
        <v>0</v>
      </c>
      <c r="I42" s="88">
        <f t="shared" si="3"/>
        <v>0</v>
      </c>
      <c r="J42" s="88">
        <f t="shared" si="3"/>
        <v>0</v>
      </c>
      <c r="K42" s="88">
        <f t="shared" si="3"/>
        <v>400600</v>
      </c>
      <c r="L42" s="88">
        <v>0</v>
      </c>
      <c r="M42" s="88">
        <f t="shared" si="3"/>
        <v>0</v>
      </c>
      <c r="N42" s="88">
        <f>N39+N23-B6+N45</f>
        <v>467647.28</v>
      </c>
      <c r="O42" s="89">
        <f>SUM(C42:N42)</f>
        <v>1385017.28</v>
      </c>
      <c r="P42" s="83"/>
      <c r="Q42" s="83"/>
      <c r="R42" s="83"/>
      <c r="S42" s="83" t="s">
        <v>34</v>
      </c>
      <c r="T42" s="90">
        <f>O31/1000</f>
        <v>54.569000000000003</v>
      </c>
      <c r="U42" s="78">
        <f>P31</f>
        <v>4.3815529786595107E-2</v>
      </c>
    </row>
    <row r="43" spans="1:48" x14ac:dyDescent="0.2">
      <c r="A43" s="15" t="s">
        <v>54</v>
      </c>
      <c r="B43" s="85"/>
      <c r="C43" s="80">
        <f t="shared" ref="C43:N43" si="4">C42/$O42</f>
        <v>0.30902502530509945</v>
      </c>
      <c r="D43" s="80">
        <f t="shared" si="4"/>
        <v>0</v>
      </c>
      <c r="E43" s="80">
        <f t="shared" si="4"/>
        <v>2.8620581542491657E-3</v>
      </c>
      <c r="F43" s="80">
        <f t="shared" si="4"/>
        <v>2.4227856565081991E-2</v>
      </c>
      <c r="G43" s="80">
        <f t="shared" si="4"/>
        <v>3.6999538373990538E-2</v>
      </c>
      <c r="H43" s="80">
        <f t="shared" si="4"/>
        <v>0</v>
      </c>
      <c r="I43" s="80">
        <f t="shared" si="4"/>
        <v>0</v>
      </c>
      <c r="J43" s="80">
        <f t="shared" si="4"/>
        <v>0</v>
      </c>
      <c r="K43" s="80">
        <f t="shared" si="4"/>
        <v>0.28923826856514023</v>
      </c>
      <c r="L43" s="80">
        <f t="shared" si="4"/>
        <v>0</v>
      </c>
      <c r="M43" s="80">
        <f t="shared" si="4"/>
        <v>0</v>
      </c>
      <c r="N43" s="80">
        <f t="shared" si="4"/>
        <v>0.33764725303643867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244.21100000000001</v>
      </c>
      <c r="U43" s="79">
        <f>P32</f>
        <v>0.19608631905869958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332.73399999999998</v>
      </c>
      <c r="U44" s="79">
        <f>P34</f>
        <v>0.26716480947081561</v>
      </c>
    </row>
    <row r="45" spans="1:48" x14ac:dyDescent="0.2">
      <c r="A45" s="6" t="s">
        <v>57</v>
      </c>
      <c r="B45" s="91">
        <f>B23-B39-L39</f>
        <v>59454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36295.279999999999</v>
      </c>
      <c r="O45" s="89">
        <f>B45+N45</f>
        <v>95749.28</v>
      </c>
      <c r="P45" s="83"/>
      <c r="Q45" s="83"/>
      <c r="R45" s="83"/>
      <c r="S45" s="83" t="s">
        <v>58</v>
      </c>
      <c r="T45" s="90">
        <f>SUM(T39:T44)</f>
        <v>1245.4259999999999</v>
      </c>
      <c r="U45" s="78">
        <f>SUM(U39:U44)</f>
        <v>1</v>
      </c>
    </row>
    <row r="46" spans="1:48" x14ac:dyDescent="0.2">
      <c r="A46" s="6"/>
      <c r="B46" s="93">
        <f>B45/B23</f>
        <v>0.17183236994219653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102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121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3918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176129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180168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f>94313+15175</f>
        <v>109488</v>
      </c>
      <c r="C18" s="10">
        <v>1095</v>
      </c>
      <c r="D18" s="10">
        <v>0</v>
      </c>
      <c r="E18" s="10">
        <v>0</v>
      </c>
      <c r="F18" s="10">
        <v>0</v>
      </c>
      <c r="G18" s="10">
        <v>106234</v>
      </c>
      <c r="H18" s="10">
        <v>1725</v>
      </c>
      <c r="I18" s="10"/>
      <c r="J18" s="10"/>
      <c r="K18" s="10"/>
      <c r="L18" s="10"/>
      <c r="M18" s="10"/>
      <c r="N18" s="10"/>
      <c r="O18" s="10">
        <v>109054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653.77404000000001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109488</v>
      </c>
      <c r="C23" s="10">
        <v>1095</v>
      </c>
      <c r="D23" s="10">
        <v>0</v>
      </c>
      <c r="E23" s="10">
        <v>0</v>
      </c>
      <c r="F23" s="10">
        <v>0</v>
      </c>
      <c r="G23" s="10">
        <v>106234</v>
      </c>
      <c r="H23" s="10">
        <v>1725</v>
      </c>
      <c r="I23" s="10"/>
      <c r="J23" s="10"/>
      <c r="K23" s="10"/>
      <c r="L23" s="10"/>
      <c r="M23" s="10"/>
      <c r="N23" s="10"/>
      <c r="O23" s="10">
        <v>109054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261.56304</v>
      </c>
      <c r="U24" s="78">
        <f>N43</f>
        <v>0.40008171630675332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145.20599999999999</v>
      </c>
      <c r="U25" s="79">
        <f>G43</f>
        <v>0.22210426097677416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17.094000000000001</v>
      </c>
      <c r="U27" s="78">
        <f>F43</f>
        <v>2.6146648465882799E-2</v>
      </c>
    </row>
    <row r="28" spans="1:21" x14ac:dyDescent="0.2">
      <c r="A28" s="4" t="s">
        <v>102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6.2720000000000002</v>
      </c>
      <c r="U28" s="78">
        <f>E43</f>
        <v>9.5935286754426641E-3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13904</v>
      </c>
      <c r="D31" s="10">
        <v>0</v>
      </c>
      <c r="E31" s="10">
        <v>0</v>
      </c>
      <c r="F31" s="10">
        <v>1376</v>
      </c>
      <c r="G31" s="10">
        <v>0</v>
      </c>
      <c r="H31" s="10">
        <v>0</v>
      </c>
      <c r="I31" s="10"/>
      <c r="J31" s="10"/>
      <c r="K31" s="10"/>
      <c r="L31" s="10"/>
      <c r="N31" s="10">
        <v>29676</v>
      </c>
      <c r="O31" s="10">
        <v>44957</v>
      </c>
      <c r="P31" s="80">
        <f>O31/O$39</f>
        <v>7.3642414046720839E-2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12878</v>
      </c>
      <c r="C32" s="121">
        <f>C39-SUM(C33:C37,C31)</f>
        <v>4145</v>
      </c>
      <c r="D32" s="10">
        <v>0</v>
      </c>
      <c r="E32" s="121">
        <v>6272</v>
      </c>
      <c r="F32" s="121">
        <v>134</v>
      </c>
      <c r="G32" s="121">
        <v>6272</v>
      </c>
      <c r="H32" s="10">
        <v>0</v>
      </c>
      <c r="I32" s="10"/>
      <c r="J32" s="10"/>
      <c r="K32" s="10"/>
      <c r="L32" s="10"/>
      <c r="N32" s="10">
        <v>70246</v>
      </c>
      <c r="O32" s="10">
        <v>99947</v>
      </c>
      <c r="P32" s="80">
        <f>O32/O$39</f>
        <v>0.16371951768862708</v>
      </c>
      <c r="Q32" s="81" t="s">
        <v>37</v>
      </c>
      <c r="R32" s="75"/>
      <c r="S32" s="75" t="s">
        <v>6</v>
      </c>
      <c r="T32" s="77">
        <f>H42/1000</f>
        <v>1.7250000000000001</v>
      </c>
      <c r="U32" s="78">
        <f>H43</f>
        <v>2.6385263018396995E-3</v>
      </c>
    </row>
    <row r="33" spans="1:48" x14ac:dyDescent="0.2">
      <c r="A33" s="8" t="s">
        <v>38</v>
      </c>
      <c r="B33" s="10">
        <v>2135</v>
      </c>
      <c r="C33" s="10">
        <v>857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28148</v>
      </c>
      <c r="O33" s="10">
        <v>31139</v>
      </c>
      <c r="P33" s="80">
        <f>O33/O$39</f>
        <v>5.1007654670036706E-2</v>
      </c>
      <c r="Q33" s="81" t="s">
        <v>39</v>
      </c>
      <c r="R33" s="75"/>
      <c r="S33" s="75" t="s">
        <v>35</v>
      </c>
      <c r="T33" s="77">
        <f>C42/1000</f>
        <v>221.91399999999999</v>
      </c>
      <c r="U33" s="79">
        <f>C43</f>
        <v>0.33943531927330733</v>
      </c>
    </row>
    <row r="34" spans="1:48" x14ac:dyDescent="0.2">
      <c r="A34" s="8" t="s">
        <v>40</v>
      </c>
      <c r="B34" s="10">
        <v>0</v>
      </c>
      <c r="C34" s="10">
        <v>198815</v>
      </c>
      <c r="D34" s="10">
        <v>0</v>
      </c>
      <c r="E34" s="10">
        <v>0</v>
      </c>
      <c r="F34" s="121">
        <f>O34-N34-C34</f>
        <v>15584</v>
      </c>
      <c r="G34" s="10">
        <v>0</v>
      </c>
      <c r="H34" s="10">
        <v>0</v>
      </c>
      <c r="I34" s="10"/>
      <c r="J34" s="10"/>
      <c r="K34" s="10"/>
      <c r="L34" s="10"/>
      <c r="N34" s="121">
        <f>N39-SUM(N35:N38,N31:N33)</f>
        <v>202</v>
      </c>
      <c r="O34" s="10">
        <v>214601</v>
      </c>
      <c r="P34" s="80">
        <f>O34/O$39</f>
        <v>0.35153003307249903</v>
      </c>
      <c r="Q34" s="81" t="s">
        <v>41</v>
      </c>
      <c r="R34" s="75"/>
      <c r="S34" s="75"/>
      <c r="T34" s="77">
        <f>SUM(T24:T33)</f>
        <v>653.77404000000001</v>
      </c>
      <c r="U34" s="78">
        <f>SUM(U24:U33)</f>
        <v>1</v>
      </c>
    </row>
    <row r="35" spans="1:48" x14ac:dyDescent="0.2">
      <c r="A35" s="8" t="s">
        <v>42</v>
      </c>
      <c r="B35" s="10">
        <v>20683</v>
      </c>
      <c r="C35" s="10">
        <v>2998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51325</v>
      </c>
      <c r="O35" s="10">
        <v>75006</v>
      </c>
      <c r="P35" s="80">
        <f>O35/O$39</f>
        <v>0.12286457966475395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4677</v>
      </c>
      <c r="C36" s="121">
        <v>100</v>
      </c>
      <c r="D36" s="10">
        <v>0</v>
      </c>
      <c r="E36" s="10">
        <v>0</v>
      </c>
      <c r="F36" s="10">
        <v>0</v>
      </c>
      <c r="G36" s="121">
        <v>32700</v>
      </c>
      <c r="H36" s="10">
        <v>0</v>
      </c>
      <c r="I36" s="10"/>
      <c r="J36" s="10"/>
      <c r="K36" s="10"/>
      <c r="L36" s="10"/>
      <c r="N36" s="121">
        <f>O36-SUM(B36:I36)</f>
        <v>49423</v>
      </c>
      <c r="O36" s="10">
        <v>86900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44759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10432</v>
      </c>
      <c r="O37" s="10">
        <v>55191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2736</v>
      </c>
      <c r="O38" s="10">
        <v>2736</v>
      </c>
      <c r="P38" s="81">
        <f>SUM(P31:P35)</f>
        <v>0.7627641991426376</v>
      </c>
      <c r="Q38" s="81"/>
      <c r="R38" s="75"/>
      <c r="S38" s="83" t="s">
        <v>47</v>
      </c>
      <c r="T38" s="86">
        <f>O45/1000</f>
        <v>43.73104</v>
      </c>
      <c r="U38" s="83"/>
    </row>
    <row r="39" spans="1:48" x14ac:dyDescent="0.2">
      <c r="A39" s="8" t="s">
        <v>16</v>
      </c>
      <c r="B39" s="10">
        <v>85132</v>
      </c>
      <c r="C39" s="10">
        <v>220819</v>
      </c>
      <c r="D39" s="10">
        <v>0</v>
      </c>
      <c r="E39" s="121">
        <f>SUM(E32:E38)</f>
        <v>6272</v>
      </c>
      <c r="F39" s="121">
        <f>SUM(F30:F35)</f>
        <v>17094</v>
      </c>
      <c r="G39" s="121">
        <f>SUM(G32:G38)</f>
        <v>38972</v>
      </c>
      <c r="H39" s="10">
        <v>0</v>
      </c>
      <c r="I39" s="10"/>
      <c r="J39" s="10"/>
      <c r="K39" s="10"/>
      <c r="L39" s="10"/>
      <c r="N39" s="10">
        <v>242188</v>
      </c>
      <c r="O39" s="10">
        <v>610477</v>
      </c>
      <c r="P39" s="75"/>
      <c r="Q39" s="75"/>
      <c r="R39" s="75"/>
      <c r="S39" s="83" t="s">
        <v>48</v>
      </c>
      <c r="T39" s="90">
        <f>O41/1000</f>
        <v>144.827</v>
      </c>
      <c r="U39" s="78">
        <f>P41</f>
        <v>0.23723580085736234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75.006</v>
      </c>
      <c r="U40" s="79">
        <f>P35</f>
        <v>0.12286457966475395</v>
      </c>
    </row>
    <row r="41" spans="1:48" x14ac:dyDescent="0.2">
      <c r="A41" s="14" t="s">
        <v>50</v>
      </c>
      <c r="B41" s="85">
        <f>B38+B37+B36</f>
        <v>49436</v>
      </c>
      <c r="C41" s="85">
        <f t="shared" ref="C41:O41" si="0">C38+C37+C36</f>
        <v>100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32700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62591</v>
      </c>
      <c r="O41" s="85">
        <f t="shared" si="0"/>
        <v>144827</v>
      </c>
      <c r="P41" s="80">
        <f>O41/O$39</f>
        <v>0.23723580085736234</v>
      </c>
      <c r="Q41" s="80" t="s">
        <v>51</v>
      </c>
      <c r="R41" s="83"/>
      <c r="S41" s="83" t="s">
        <v>52</v>
      </c>
      <c r="T41" s="90">
        <f>O33/1000</f>
        <v>31.138999999999999</v>
      </c>
      <c r="U41" s="78">
        <f>P33</f>
        <v>5.1007654670036706E-2</v>
      </c>
    </row>
    <row r="42" spans="1:48" x14ac:dyDescent="0.2">
      <c r="A42" s="15" t="s">
        <v>53</v>
      </c>
      <c r="B42" s="85"/>
      <c r="C42" s="88">
        <f>C39+C23+C10</f>
        <v>221914</v>
      </c>
      <c r="D42" s="88">
        <f t="shared" ref="D42:M42" si="1">D39+D23+D10</f>
        <v>0</v>
      </c>
      <c r="E42" s="88">
        <f t="shared" si="1"/>
        <v>6272</v>
      </c>
      <c r="F42" s="88">
        <f t="shared" si="1"/>
        <v>17094</v>
      </c>
      <c r="G42" s="88">
        <f t="shared" si="1"/>
        <v>145206</v>
      </c>
      <c r="H42" s="88">
        <f t="shared" si="1"/>
        <v>1725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261563.04</v>
      </c>
      <c r="O42" s="89">
        <f>SUM(C42:N42)</f>
        <v>653774.04</v>
      </c>
      <c r="P42" s="83"/>
      <c r="Q42" s="83"/>
      <c r="R42" s="83"/>
      <c r="S42" s="83" t="s">
        <v>34</v>
      </c>
      <c r="T42" s="90">
        <f>O31/1000</f>
        <v>44.957000000000001</v>
      </c>
      <c r="U42" s="78">
        <f>P31</f>
        <v>7.3642414046720839E-2</v>
      </c>
    </row>
    <row r="43" spans="1:48" x14ac:dyDescent="0.2">
      <c r="A43" s="15" t="s">
        <v>54</v>
      </c>
      <c r="B43" s="85"/>
      <c r="C43" s="80">
        <f t="shared" ref="C43:N43" si="2">C42/$O42</f>
        <v>0.33943531927330733</v>
      </c>
      <c r="D43" s="80">
        <f t="shared" si="2"/>
        <v>0</v>
      </c>
      <c r="E43" s="80">
        <f t="shared" si="2"/>
        <v>9.5935286754426641E-3</v>
      </c>
      <c r="F43" s="80">
        <f t="shared" si="2"/>
        <v>2.6146648465882799E-2</v>
      </c>
      <c r="G43" s="80">
        <f t="shared" si="2"/>
        <v>0.22210426097677416</v>
      </c>
      <c r="H43" s="80">
        <f t="shared" si="2"/>
        <v>2.6385263018396995E-3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0.40008171630675332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99.947000000000003</v>
      </c>
      <c r="U43" s="79">
        <f>P32</f>
        <v>0.16371951768862708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214.601</v>
      </c>
      <c r="U44" s="79">
        <f>P34</f>
        <v>0.35153003307249903</v>
      </c>
    </row>
    <row r="45" spans="1:48" x14ac:dyDescent="0.2">
      <c r="A45" s="6" t="s">
        <v>57</v>
      </c>
      <c r="B45" s="91">
        <f>B23-B39</f>
        <v>24356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19375.04</v>
      </c>
      <c r="O45" s="89">
        <f>B45+N45</f>
        <v>43731.040000000001</v>
      </c>
      <c r="P45" s="83"/>
      <c r="Q45" s="83"/>
      <c r="R45" s="83"/>
      <c r="S45" s="83" t="s">
        <v>58</v>
      </c>
      <c r="T45" s="90">
        <f>SUM(T39:T44)</f>
        <v>610.47700000000009</v>
      </c>
      <c r="U45" s="78">
        <f>SUM(U39:U44)</f>
        <v>1</v>
      </c>
    </row>
    <row r="46" spans="1:48" x14ac:dyDescent="0.2">
      <c r="A46" s="6"/>
      <c r="B46" s="93">
        <f>B45/B23</f>
        <v>0.22245360222124799</v>
      </c>
      <c r="C46" s="6"/>
      <c r="D46" s="6"/>
      <c r="E46" s="6"/>
      <c r="F46" s="52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1" enableFormatConditionsCalculation="0"/>
  <dimension ref="A1:AV58"/>
  <sheetViews>
    <sheetView topLeftCell="D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8.83203125" style="2" customWidth="1"/>
    <col min="13" max="13" width="9" style="2" customWidth="1"/>
    <col min="14" max="14" width="8.83203125" style="2"/>
    <col min="15" max="15" width="13.332031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103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786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9718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3666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8184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22354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19">
        <v>188500</v>
      </c>
      <c r="C17" s="119">
        <v>800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19">
        <v>221800</v>
      </c>
      <c r="L17" s="10"/>
      <c r="M17" s="10"/>
      <c r="N17" s="10"/>
      <c r="O17" s="119">
        <f>SUM(C17:N17)</f>
        <v>222600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236300</v>
      </c>
      <c r="C18" s="119">
        <v>2300</v>
      </c>
      <c r="D18" s="10">
        <v>0</v>
      </c>
      <c r="E18" s="10">
        <v>0</v>
      </c>
      <c r="F18" s="10">
        <v>0</v>
      </c>
      <c r="G18" s="119">
        <v>255900</v>
      </c>
      <c r="H18" s="10">
        <v>0</v>
      </c>
      <c r="I18" s="10"/>
      <c r="J18" s="10"/>
      <c r="K18" s="10"/>
      <c r="L18" s="10"/>
      <c r="M18" s="10"/>
      <c r="N18" s="10"/>
      <c r="O18" s="119">
        <f t="shared" ref="O18:O22" si="0">SUM(C18:N18)</f>
        <v>258200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f t="shared" si="0"/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f t="shared" si="0"/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19">
        <v>3700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f t="shared" si="0"/>
        <v>0</v>
      </c>
      <c r="P21" s="75"/>
      <c r="Q21" s="75"/>
      <c r="R21" s="75"/>
      <c r="S21" s="75" t="s">
        <v>26</v>
      </c>
      <c r="T21" s="76">
        <f>O42/1000</f>
        <v>2268.48452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f t="shared" si="0"/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SUM(B17:B22)</f>
        <v>428500</v>
      </c>
      <c r="C23" s="119">
        <f t="shared" ref="C23:O23" si="1">SUM(C17:C22)</f>
        <v>3100</v>
      </c>
      <c r="D23" s="10">
        <f t="shared" si="1"/>
        <v>0</v>
      </c>
      <c r="E23" s="10">
        <f t="shared" si="1"/>
        <v>0</v>
      </c>
      <c r="F23" s="10">
        <f t="shared" si="1"/>
        <v>0</v>
      </c>
      <c r="G23" s="119">
        <f t="shared" si="1"/>
        <v>255900</v>
      </c>
      <c r="H23" s="10">
        <f t="shared" si="1"/>
        <v>0</v>
      </c>
      <c r="I23" s="10"/>
      <c r="J23" s="10"/>
      <c r="K23" s="119">
        <f t="shared" si="1"/>
        <v>221800</v>
      </c>
      <c r="L23" s="10"/>
      <c r="M23" s="10"/>
      <c r="N23" s="10"/>
      <c r="O23" s="119">
        <f t="shared" si="1"/>
        <v>480800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830.97451999999998</v>
      </c>
      <c r="U24" s="78">
        <f>N43</f>
        <v>0.36631262531163317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308.39999999999998</v>
      </c>
      <c r="U25" s="79">
        <f>G43</f>
        <v>0.13594979259545487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21.018999999999998</v>
      </c>
      <c r="U26" s="78">
        <f>J43</f>
        <v>9.2656572326973597E-3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25.463000000000001</v>
      </c>
      <c r="U27" s="78">
        <f>F43</f>
        <v>1.1224674347788805E-2</v>
      </c>
    </row>
    <row r="28" spans="1:21" x14ac:dyDescent="0.2">
      <c r="A28" s="4" t="s">
        <v>103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13.621</v>
      </c>
      <c r="U28" s="78">
        <f>E43</f>
        <v>6.0044491729659231E-3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121</v>
      </c>
      <c r="J29" s="91" t="s">
        <v>19</v>
      </c>
      <c r="K29" s="91" t="s">
        <v>8</v>
      </c>
      <c r="L29" s="91" t="s">
        <v>120</v>
      </c>
      <c r="M29" s="91" t="s">
        <v>119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248.965</v>
      </c>
      <c r="U29" s="96">
        <f>D43</f>
        <v>0.10974948156137296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221.8</v>
      </c>
      <c r="U30" s="96">
        <f>K43</f>
        <v>9.7774526581296664E-2</v>
      </c>
    </row>
    <row r="31" spans="1:21" x14ac:dyDescent="0.2">
      <c r="A31" s="8" t="s">
        <v>33</v>
      </c>
      <c r="B31" s="10">
        <v>0</v>
      </c>
      <c r="C31" s="10">
        <v>21058</v>
      </c>
      <c r="D31" s="10">
        <v>0</v>
      </c>
      <c r="E31" s="10">
        <v>0</v>
      </c>
      <c r="F31" s="10">
        <v>2115</v>
      </c>
      <c r="G31" s="10">
        <v>0</v>
      </c>
      <c r="H31" s="10">
        <v>0</v>
      </c>
      <c r="I31" s="10"/>
      <c r="J31" s="10"/>
      <c r="K31" s="10"/>
      <c r="L31" s="10"/>
      <c r="N31" s="10">
        <v>20926</v>
      </c>
      <c r="O31" s="10">
        <f>SUM(B31:N31)</f>
        <v>44099</v>
      </c>
      <c r="P31" s="80">
        <f>O31/O$39</f>
        <v>2.1024342545318975E-2</v>
      </c>
      <c r="Q31" s="81" t="s">
        <v>34</v>
      </c>
      <c r="R31" s="75"/>
      <c r="S31" s="75" t="s">
        <v>5</v>
      </c>
      <c r="T31" s="77">
        <f>I42/1000</f>
        <v>22.408999999999999</v>
      </c>
      <c r="U31" s="78">
        <f>I43</f>
        <v>9.8784011098299231E-3</v>
      </c>
    </row>
    <row r="32" spans="1:21" x14ac:dyDescent="0.2">
      <c r="A32" s="8" t="s">
        <v>36</v>
      </c>
      <c r="B32" s="10">
        <v>87554</v>
      </c>
      <c r="C32" s="121">
        <f>C39-SUM(C33:C38,C31)</f>
        <v>19446</v>
      </c>
      <c r="D32" s="160">
        <v>248965</v>
      </c>
      <c r="E32" s="10">
        <v>13621</v>
      </c>
      <c r="F32" s="148">
        <v>0</v>
      </c>
      <c r="G32" s="121">
        <v>0</v>
      </c>
      <c r="H32" s="10">
        <v>0</v>
      </c>
      <c r="I32" s="149">
        <v>22409</v>
      </c>
      <c r="J32" s="149">
        <v>21019</v>
      </c>
      <c r="K32" s="10"/>
      <c r="L32" s="150">
        <v>44119</v>
      </c>
      <c r="M32" s="150">
        <v>66706</v>
      </c>
      <c r="N32" s="121">
        <f>N39-SUM(N33:N38,N31)</f>
        <v>382865</v>
      </c>
      <c r="O32" s="149">
        <f>(SUM(B32:N32))</f>
        <v>906704</v>
      </c>
      <c r="P32" s="80">
        <f>O32/O$39</f>
        <v>0.43227409880520862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67103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77169</v>
      </c>
      <c r="O33" s="10">
        <f t="shared" ref="O33:O38" si="2">(SUM(B33:N33))+0</f>
        <v>144272</v>
      </c>
      <c r="P33" s="80">
        <f>O33/O$39</f>
        <v>6.8782148069077731E-2</v>
      </c>
      <c r="Q33" s="81" t="s">
        <v>39</v>
      </c>
      <c r="R33" s="75"/>
      <c r="S33" s="75" t="s">
        <v>35</v>
      </c>
      <c r="T33" s="77">
        <f>C42/1000</f>
        <v>465.00799999999998</v>
      </c>
      <c r="U33" s="79">
        <f>C43</f>
        <v>0.20498619051630115</v>
      </c>
    </row>
    <row r="34" spans="1:48" x14ac:dyDescent="0.2">
      <c r="A34" s="8" t="s">
        <v>40</v>
      </c>
      <c r="B34" s="10">
        <v>0</v>
      </c>
      <c r="C34" s="121">
        <v>416099</v>
      </c>
      <c r="D34" s="10">
        <v>0</v>
      </c>
      <c r="E34" s="10">
        <v>0</v>
      </c>
      <c r="F34" s="121">
        <v>23348</v>
      </c>
      <c r="G34" s="10">
        <v>0</v>
      </c>
      <c r="H34" s="10">
        <v>0</v>
      </c>
      <c r="I34" s="10"/>
      <c r="J34" s="10"/>
      <c r="K34" s="10"/>
      <c r="L34" s="10"/>
      <c r="N34" s="10">
        <v>2218</v>
      </c>
      <c r="O34" s="10">
        <f t="shared" si="2"/>
        <v>441665</v>
      </c>
      <c r="P34" s="80">
        <f>O34/O$39</f>
        <v>0.21056523391184165</v>
      </c>
      <c r="Q34" s="81" t="s">
        <v>41</v>
      </c>
      <c r="R34" s="75"/>
      <c r="S34" s="75"/>
      <c r="T34" s="77">
        <f>SUM(T24:T33)</f>
        <v>2157.6595199999997</v>
      </c>
      <c r="U34" s="78">
        <f>SUM(U24:U33)</f>
        <v>0.95114579842934099</v>
      </c>
    </row>
    <row r="35" spans="1:48" x14ac:dyDescent="0.2">
      <c r="A35" s="8" t="s">
        <v>42</v>
      </c>
      <c r="B35" s="10">
        <v>41343</v>
      </c>
      <c r="C35" s="10">
        <v>4370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126086</v>
      </c>
      <c r="O35" s="10">
        <f t="shared" si="2"/>
        <v>171799</v>
      </c>
      <c r="P35" s="80">
        <f>O35/O$39</f>
        <v>8.1905735389538409E-2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39678</v>
      </c>
      <c r="C36" s="10">
        <v>651</v>
      </c>
      <c r="D36" s="10">
        <v>0</v>
      </c>
      <c r="E36" s="10">
        <v>0</v>
      </c>
      <c r="F36" s="10">
        <v>0</v>
      </c>
      <c r="G36" s="121">
        <v>52500</v>
      </c>
      <c r="H36" s="10">
        <v>0</v>
      </c>
      <c r="I36" s="10"/>
      <c r="J36" s="10"/>
      <c r="K36" s="10"/>
      <c r="L36" s="10"/>
      <c r="N36" s="121">
        <v>133355</v>
      </c>
      <c r="O36" s="10">
        <f t="shared" si="2"/>
        <v>226184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126714</v>
      </c>
      <c r="C37" s="10">
        <v>284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31634</v>
      </c>
      <c r="O37" s="10">
        <f t="shared" si="2"/>
        <v>158632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4166</v>
      </c>
      <c r="O38" s="10">
        <f t="shared" si="2"/>
        <v>4166</v>
      </c>
      <c r="P38" s="81">
        <f>SUM(P31:P35)</f>
        <v>0.81455155872098539</v>
      </c>
      <c r="Q38" s="81"/>
      <c r="R38" s="75"/>
      <c r="S38" s="83" t="s">
        <v>47</v>
      </c>
      <c r="T38" s="86">
        <f>O45/1000</f>
        <v>128.38151999999999</v>
      </c>
      <c r="U38" s="83"/>
    </row>
    <row r="39" spans="1:48" x14ac:dyDescent="0.2">
      <c r="A39" s="8" t="s">
        <v>16</v>
      </c>
      <c r="B39" s="10">
        <v>362392</v>
      </c>
      <c r="C39" s="10">
        <v>461908</v>
      </c>
      <c r="D39" s="160">
        <f>D32</f>
        <v>248965</v>
      </c>
      <c r="E39" s="10">
        <v>13621</v>
      </c>
      <c r="F39" s="123">
        <f>SUM(F31:F34)</f>
        <v>25463</v>
      </c>
      <c r="G39" s="121">
        <f>SUM(G31:G37)</f>
        <v>52500</v>
      </c>
      <c r="H39" s="10">
        <v>0</v>
      </c>
      <c r="I39" s="149">
        <f>I32</f>
        <v>22409</v>
      </c>
      <c r="J39" s="149">
        <v>21019</v>
      </c>
      <c r="K39" s="10"/>
      <c r="L39" s="149">
        <f>L32</f>
        <v>44119</v>
      </c>
      <c r="M39" s="149">
        <f>M32</f>
        <v>66706</v>
      </c>
      <c r="N39" s="10">
        <v>778419</v>
      </c>
      <c r="O39" s="149">
        <f>(SUM(B39:N39))</f>
        <v>2097521</v>
      </c>
      <c r="P39" s="75"/>
      <c r="Q39" s="75"/>
      <c r="R39" s="75"/>
      <c r="S39" s="83" t="s">
        <v>48</v>
      </c>
      <c r="T39" s="90">
        <f>O41/1000</f>
        <v>388.98200000000003</v>
      </c>
      <c r="U39" s="78">
        <f>P41</f>
        <v>0.18544844127901461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171.79900000000001</v>
      </c>
      <c r="U40" s="79">
        <f>P35</f>
        <v>8.1905735389538409E-2</v>
      </c>
    </row>
    <row r="41" spans="1:48" x14ac:dyDescent="0.2">
      <c r="A41" s="14" t="s">
        <v>50</v>
      </c>
      <c r="B41" s="85">
        <f>B38+B37+B36</f>
        <v>166392</v>
      </c>
      <c r="C41" s="85">
        <f t="shared" ref="C41:O41" si="3">C38+C37+C36</f>
        <v>935</v>
      </c>
      <c r="D41" s="85">
        <f t="shared" si="3"/>
        <v>0</v>
      </c>
      <c r="E41" s="85">
        <f t="shared" si="3"/>
        <v>0</v>
      </c>
      <c r="F41" s="85">
        <f t="shared" si="3"/>
        <v>0</v>
      </c>
      <c r="G41" s="85">
        <f t="shared" si="3"/>
        <v>52500</v>
      </c>
      <c r="H41" s="85">
        <f t="shared" si="3"/>
        <v>0</v>
      </c>
      <c r="I41" s="85">
        <f t="shared" si="3"/>
        <v>0</v>
      </c>
      <c r="J41" s="85">
        <f t="shared" si="3"/>
        <v>0</v>
      </c>
      <c r="K41" s="85">
        <f t="shared" si="3"/>
        <v>0</v>
      </c>
      <c r="L41" s="85">
        <f t="shared" si="3"/>
        <v>0</v>
      </c>
      <c r="M41" s="85">
        <f t="shared" si="3"/>
        <v>0</v>
      </c>
      <c r="N41" s="85">
        <f t="shared" si="3"/>
        <v>169155</v>
      </c>
      <c r="O41" s="85">
        <f t="shared" si="3"/>
        <v>388982</v>
      </c>
      <c r="P41" s="80">
        <f>O41/O$39</f>
        <v>0.18544844127901461</v>
      </c>
      <c r="Q41" s="80" t="s">
        <v>51</v>
      </c>
      <c r="R41" s="83"/>
      <c r="S41" s="83" t="s">
        <v>52</v>
      </c>
      <c r="T41" s="90">
        <f>O33/1000</f>
        <v>144.27199999999999</v>
      </c>
      <c r="U41" s="78">
        <f>P33</f>
        <v>6.8782148069077731E-2</v>
      </c>
    </row>
    <row r="42" spans="1:48" x14ac:dyDescent="0.2">
      <c r="A42" s="15" t="s">
        <v>53</v>
      </c>
      <c r="B42" s="85"/>
      <c r="C42" s="88">
        <f>C39+C23+C10</f>
        <v>465008</v>
      </c>
      <c r="D42" s="88">
        <f t="shared" ref="D42:M42" si="4">D39+D23+D10</f>
        <v>248965</v>
      </c>
      <c r="E42" s="88">
        <f t="shared" si="4"/>
        <v>13621</v>
      </c>
      <c r="F42" s="88">
        <f t="shared" si="4"/>
        <v>25463</v>
      </c>
      <c r="G42" s="88">
        <f t="shared" si="4"/>
        <v>308400</v>
      </c>
      <c r="H42" s="88">
        <f t="shared" si="4"/>
        <v>0</v>
      </c>
      <c r="I42" s="88">
        <f t="shared" si="4"/>
        <v>22409</v>
      </c>
      <c r="J42" s="88">
        <f t="shared" si="4"/>
        <v>21019</v>
      </c>
      <c r="K42" s="88">
        <f t="shared" si="4"/>
        <v>221800</v>
      </c>
      <c r="L42" s="88">
        <f t="shared" si="4"/>
        <v>44119</v>
      </c>
      <c r="M42" s="88">
        <f t="shared" si="4"/>
        <v>66706</v>
      </c>
      <c r="N42" s="88">
        <f>N39+N23-B6+N45</f>
        <v>830974.52</v>
      </c>
      <c r="O42" s="89">
        <f>SUM(C42:N42)</f>
        <v>2268484.52</v>
      </c>
      <c r="P42" s="83"/>
      <c r="Q42" s="83"/>
      <c r="R42" s="83"/>
      <c r="S42" s="83" t="s">
        <v>34</v>
      </c>
      <c r="T42" s="90">
        <f>O31/1000</f>
        <v>44.098999999999997</v>
      </c>
      <c r="U42" s="78">
        <f>P31</f>
        <v>2.1024342545318975E-2</v>
      </c>
    </row>
    <row r="43" spans="1:48" x14ac:dyDescent="0.2">
      <c r="A43" s="15" t="s">
        <v>54</v>
      </c>
      <c r="B43" s="85"/>
      <c r="C43" s="80">
        <f t="shared" ref="C43:N43" si="5">C42/$O42</f>
        <v>0.20498619051630115</v>
      </c>
      <c r="D43" s="80">
        <f t="shared" si="5"/>
        <v>0.10974948156137296</v>
      </c>
      <c r="E43" s="80">
        <f t="shared" si="5"/>
        <v>6.0044491729659231E-3</v>
      </c>
      <c r="F43" s="80">
        <f t="shared" si="5"/>
        <v>1.1224674347788805E-2</v>
      </c>
      <c r="G43" s="80">
        <f t="shared" si="5"/>
        <v>0.13594979259545487</v>
      </c>
      <c r="H43" s="80">
        <f t="shared" si="5"/>
        <v>0</v>
      </c>
      <c r="I43" s="80">
        <f t="shared" si="5"/>
        <v>9.8784011098299231E-3</v>
      </c>
      <c r="J43" s="80">
        <f t="shared" si="5"/>
        <v>9.2656572326973597E-3</v>
      </c>
      <c r="K43" s="80">
        <f t="shared" si="5"/>
        <v>9.7774526581296664E-2</v>
      </c>
      <c r="L43" s="80">
        <f t="shared" si="5"/>
        <v>1.9448666989360808E-2</v>
      </c>
      <c r="M43" s="80">
        <f t="shared" si="5"/>
        <v>2.9405534581298354E-2</v>
      </c>
      <c r="N43" s="80">
        <f t="shared" si="5"/>
        <v>0.36631262531163317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906.70399999999995</v>
      </c>
      <c r="U43" s="79">
        <f>P32</f>
        <v>0.43227409880520862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441.66500000000002</v>
      </c>
      <c r="U44" s="79">
        <f>P34</f>
        <v>0.21056523391184165</v>
      </c>
    </row>
    <row r="45" spans="1:48" x14ac:dyDescent="0.2">
      <c r="A45" s="6" t="s">
        <v>57</v>
      </c>
      <c r="B45" s="91">
        <f>B23-B39</f>
        <v>66108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62273.520000000004</v>
      </c>
      <c r="O45" s="89">
        <f>B45+N45</f>
        <v>128381.52</v>
      </c>
      <c r="P45" s="83"/>
      <c r="Q45" s="83"/>
      <c r="R45" s="83"/>
      <c r="S45" s="83" t="s">
        <v>58</v>
      </c>
      <c r="T45" s="90">
        <f>SUM(T39:T44)</f>
        <v>2097.5210000000002</v>
      </c>
      <c r="U45" s="78">
        <f>SUM(U39:U44)</f>
        <v>1</v>
      </c>
    </row>
    <row r="46" spans="1:48" x14ac:dyDescent="0.2">
      <c r="A46" s="6"/>
      <c r="B46" s="93">
        <f>B45/B23</f>
        <v>0.1542777129521587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5"/>
      <c r="B48" s="7"/>
      <c r="C48" s="18"/>
      <c r="D48" s="18"/>
      <c r="E48" s="18"/>
      <c r="F48" s="18"/>
      <c r="G48" s="18"/>
      <c r="H48" s="18"/>
      <c r="I48" s="18"/>
      <c r="J48" s="18"/>
      <c r="K48" s="18"/>
      <c r="L48" s="6"/>
      <c r="M48" s="16"/>
      <c r="N48" s="19"/>
      <c r="O48" s="7"/>
      <c r="P48" s="6"/>
      <c r="Q48" s="12"/>
      <c r="R48" s="7"/>
      <c r="S48" s="7"/>
      <c r="T48" s="6"/>
      <c r="U48" s="27"/>
    </row>
    <row r="49" spans="1:2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16"/>
      <c r="N49" s="19"/>
      <c r="O49" s="7"/>
      <c r="P49" s="6"/>
      <c r="Q49" s="12"/>
      <c r="R49" s="7"/>
      <c r="S49" s="7"/>
      <c r="T49" s="21"/>
      <c r="U49" s="22"/>
    </row>
    <row r="50" spans="1:2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16"/>
      <c r="N50" s="7"/>
      <c r="O50" s="7"/>
      <c r="P50" s="7"/>
      <c r="Q50" s="7"/>
      <c r="R50" s="7"/>
      <c r="S50" s="7"/>
      <c r="T50" s="7"/>
      <c r="U50" s="6"/>
    </row>
    <row r="51" spans="1:21" x14ac:dyDescent="0.2">
      <c r="A51" s="7"/>
      <c r="B51" s="161"/>
      <c r="C51" s="23"/>
      <c r="D51" s="23"/>
      <c r="E51" s="23"/>
      <c r="F51" s="23"/>
      <c r="G51" s="23"/>
      <c r="H51" s="23"/>
      <c r="I51" s="23"/>
      <c r="J51" s="7"/>
      <c r="K51" s="7"/>
      <c r="L51" s="7"/>
      <c r="M51" s="16"/>
      <c r="N51" s="7"/>
      <c r="O51" s="7"/>
      <c r="P51" s="7"/>
      <c r="Q51" s="7"/>
      <c r="R51" s="7"/>
      <c r="S51" s="7"/>
      <c r="T51" s="23"/>
      <c r="U51" s="24"/>
    </row>
    <row r="52" spans="1:21" x14ac:dyDescent="0.2">
      <c r="A52" s="7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16"/>
      <c r="N52" s="7"/>
      <c r="O52" s="7"/>
      <c r="P52" s="6"/>
      <c r="Q52" s="19"/>
      <c r="R52" s="7"/>
      <c r="S52" s="7"/>
      <c r="T52" s="6"/>
      <c r="U52" s="27"/>
    </row>
    <row r="53" spans="1:21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16"/>
      <c r="N53" s="7"/>
      <c r="O53" s="7"/>
      <c r="P53" s="6"/>
      <c r="Q53" s="19"/>
      <c r="R53" s="7"/>
      <c r="S53" s="7"/>
      <c r="T53" s="6"/>
      <c r="U53" s="27"/>
    </row>
    <row r="54" spans="1:21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16"/>
      <c r="N54" s="7"/>
      <c r="O54" s="7"/>
      <c r="P54" s="6"/>
      <c r="Q54" s="19"/>
      <c r="R54" s="7"/>
      <c r="S54" s="7"/>
      <c r="T54" s="6"/>
      <c r="U54" s="27"/>
    </row>
    <row r="55" spans="1:21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16"/>
      <c r="N55" s="7"/>
      <c r="O55" s="7"/>
      <c r="P55" s="6"/>
      <c r="Q55" s="19"/>
      <c r="R55" s="7"/>
      <c r="S55" s="7"/>
      <c r="T55" s="6"/>
      <c r="U55" s="27"/>
    </row>
    <row r="56" spans="1:21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16"/>
      <c r="N56" s="7"/>
      <c r="O56" s="7"/>
      <c r="P56" s="6"/>
      <c r="Q56" s="19"/>
      <c r="R56" s="7"/>
      <c r="S56" s="7"/>
      <c r="T56" s="6"/>
      <c r="U56" s="27"/>
    </row>
    <row r="57" spans="1:21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19"/>
      <c r="R57" s="7"/>
      <c r="S57" s="7"/>
      <c r="T57" s="6"/>
      <c r="U57" s="27"/>
    </row>
    <row r="58" spans="1:21" x14ac:dyDescent="0.2">
      <c r="A58" s="7"/>
      <c r="B58" s="21"/>
      <c r="C58" s="21"/>
      <c r="D58" s="21"/>
      <c r="E58" s="21"/>
      <c r="F58" s="21"/>
      <c r="G58" s="21"/>
      <c r="H58" s="21"/>
      <c r="I58" s="21"/>
      <c r="J58" s="7"/>
      <c r="K58" s="7"/>
      <c r="L58" s="7"/>
      <c r="M58" s="7"/>
      <c r="N58" s="7"/>
      <c r="O58" s="7"/>
      <c r="P58" s="21"/>
      <c r="Q58" s="25"/>
      <c r="R58" s="7"/>
      <c r="S58" s="28"/>
      <c r="T58" s="21"/>
      <c r="U58" s="25"/>
    </row>
  </sheetData>
  <pageMargins left="0.75" right="0.75" top="0.75" bottom="0.5" header="0.5" footer="0.75"/>
  <pageSetup paperSize="9" orientation="portrait" r:id="rId1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104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224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2205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107180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109609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f>33303+5391</f>
        <v>38694</v>
      </c>
      <c r="C18" s="10">
        <v>318</v>
      </c>
      <c r="D18" s="10">
        <v>0</v>
      </c>
      <c r="E18" s="10">
        <v>0</v>
      </c>
      <c r="F18" s="10">
        <v>0</v>
      </c>
      <c r="G18" s="10">
        <v>39180</v>
      </c>
      <c r="H18" s="10">
        <v>0</v>
      </c>
      <c r="I18" s="10"/>
      <c r="J18" s="10"/>
      <c r="K18" s="10"/>
      <c r="L18" s="10"/>
      <c r="M18" s="10"/>
      <c r="N18" s="10"/>
      <c r="O18" s="10">
        <v>39498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236.65312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38694</v>
      </c>
      <c r="C23" s="10">
        <v>318</v>
      </c>
      <c r="D23" s="10">
        <v>0</v>
      </c>
      <c r="E23" s="10">
        <v>0</v>
      </c>
      <c r="F23" s="10">
        <v>0</v>
      </c>
      <c r="G23" s="10">
        <v>39180</v>
      </c>
      <c r="H23" s="10">
        <v>0</v>
      </c>
      <c r="I23" s="10"/>
      <c r="J23" s="10"/>
      <c r="K23" s="10"/>
      <c r="L23" s="10"/>
      <c r="M23" s="10"/>
      <c r="N23" s="10"/>
      <c r="O23" s="10">
        <v>39498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105.50412</v>
      </c>
      <c r="U24" s="78">
        <f>N43</f>
        <v>0.44581757468483829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61.094000000000001</v>
      </c>
      <c r="U25" s="79">
        <f>G43</f>
        <v>0.25815843881542744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4.5739999999999998</v>
      </c>
      <c r="U27" s="78">
        <f>F43</f>
        <v>1.9327866879591531E-2</v>
      </c>
    </row>
    <row r="28" spans="1:21" x14ac:dyDescent="0.2">
      <c r="A28" s="4" t="s">
        <v>104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4.0140000000000002</v>
      </c>
      <c r="U28" s="78">
        <f>E43</f>
        <v>1.6961534248946305E-2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10295</v>
      </c>
      <c r="D31" s="10">
        <v>0</v>
      </c>
      <c r="E31" s="10">
        <v>0</v>
      </c>
      <c r="F31" s="10">
        <v>1062</v>
      </c>
      <c r="G31" s="10">
        <v>0</v>
      </c>
      <c r="H31" s="10">
        <v>0</v>
      </c>
      <c r="I31" s="10"/>
      <c r="J31" s="10"/>
      <c r="K31" s="10"/>
      <c r="L31" s="10"/>
      <c r="N31" s="121">
        <f>O31-F31-C31</f>
        <v>10508</v>
      </c>
      <c r="O31" s="121">
        <f>O39-SUM(O32:O38)</f>
        <v>21865</v>
      </c>
      <c r="P31" s="80">
        <f>O31/O$39</f>
        <v>9.9143911706826029E-2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2568</v>
      </c>
      <c r="C32" s="10">
        <v>250</v>
      </c>
      <c r="D32" s="10">
        <v>0</v>
      </c>
      <c r="E32" s="121">
        <v>4014</v>
      </c>
      <c r="F32" s="10">
        <v>0</v>
      </c>
      <c r="G32" s="121">
        <v>4014</v>
      </c>
      <c r="H32" s="10">
        <v>0</v>
      </c>
      <c r="I32" s="10"/>
      <c r="J32" s="10"/>
      <c r="K32" s="10"/>
      <c r="L32" s="10"/>
      <c r="N32" s="121">
        <f>N39-SUM(N33:N38,N31)</f>
        <v>30331</v>
      </c>
      <c r="O32" s="10">
        <v>41177</v>
      </c>
      <c r="P32" s="80">
        <f>O32/O$39</f>
        <v>0.18671158711877317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4766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9596</v>
      </c>
      <c r="O33" s="10">
        <v>14362</v>
      </c>
      <c r="P33" s="80">
        <f>O33/O$39</f>
        <v>6.5122563911888198E-2</v>
      </c>
      <c r="Q33" s="81" t="s">
        <v>39</v>
      </c>
      <c r="R33" s="75"/>
      <c r="S33" s="75" t="s">
        <v>35</v>
      </c>
      <c r="T33" s="77">
        <f>C42/1000</f>
        <v>61.466999999999999</v>
      </c>
      <c r="U33" s="79">
        <f>C43</f>
        <v>0.25973458537119648</v>
      </c>
    </row>
    <row r="34" spans="1:48" x14ac:dyDescent="0.2">
      <c r="A34" s="8" t="s">
        <v>40</v>
      </c>
      <c r="B34" s="10">
        <v>0</v>
      </c>
      <c r="C34" s="10">
        <v>48317</v>
      </c>
      <c r="D34" s="10">
        <v>0</v>
      </c>
      <c r="E34" s="10">
        <v>0</v>
      </c>
      <c r="F34" s="10">
        <v>3512</v>
      </c>
      <c r="G34" s="10">
        <v>0</v>
      </c>
      <c r="H34" s="10">
        <v>0</v>
      </c>
      <c r="I34" s="10"/>
      <c r="J34" s="10"/>
      <c r="K34" s="10"/>
      <c r="L34" s="10"/>
      <c r="N34" s="10">
        <v>120</v>
      </c>
      <c r="O34" s="10">
        <v>51948</v>
      </c>
      <c r="P34" s="80">
        <f>O34/O$39</f>
        <v>0.23555124286970952</v>
      </c>
      <c r="Q34" s="81" t="s">
        <v>41</v>
      </c>
      <c r="R34" s="75"/>
      <c r="S34" s="75"/>
      <c r="T34" s="77">
        <f>SUM(T24:T33)</f>
        <v>236.65312</v>
      </c>
      <c r="U34" s="78">
        <f>SUM(U24:U33)</f>
        <v>1</v>
      </c>
    </row>
    <row r="35" spans="1:48" x14ac:dyDescent="0.2">
      <c r="A35" s="8" t="s">
        <v>42</v>
      </c>
      <c r="B35" s="10">
        <v>3537</v>
      </c>
      <c r="C35" s="10">
        <v>2181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12465</v>
      </c>
      <c r="O35" s="10">
        <v>18183</v>
      </c>
      <c r="P35" s="80">
        <f>O35/O$39</f>
        <v>8.2448376243549865E-2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7586</v>
      </c>
      <c r="C36" s="10">
        <v>62</v>
      </c>
      <c r="D36" s="10">
        <v>0</v>
      </c>
      <c r="E36" s="10">
        <v>0</v>
      </c>
      <c r="F36" s="10">
        <v>0</v>
      </c>
      <c r="G36" s="121">
        <v>17900</v>
      </c>
      <c r="H36" s="10">
        <v>0</v>
      </c>
      <c r="I36" s="10"/>
      <c r="J36" s="10"/>
      <c r="K36" s="10"/>
      <c r="L36" s="10"/>
      <c r="N36" s="121">
        <f>O36-SUM(B36:H36)</f>
        <v>27197</v>
      </c>
      <c r="O36" s="10">
        <v>52745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12741</v>
      </c>
      <c r="C37" s="10">
        <v>45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4472</v>
      </c>
      <c r="O37" s="10">
        <v>17258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v>3000</v>
      </c>
      <c r="O38" s="121">
        <v>3000</v>
      </c>
      <c r="P38" s="81">
        <f>SUM(P31:P35)</f>
        <v>0.6689776818507468</v>
      </c>
      <c r="Q38" s="81"/>
      <c r="R38" s="75"/>
      <c r="S38" s="83" t="s">
        <v>47</v>
      </c>
      <c r="T38" s="86">
        <f>O45/1000</f>
        <v>15.311119999999999</v>
      </c>
      <c r="U38" s="83"/>
    </row>
    <row r="39" spans="1:48" x14ac:dyDescent="0.2">
      <c r="A39" s="8" t="s">
        <v>16</v>
      </c>
      <c r="B39" s="10">
        <v>31198</v>
      </c>
      <c r="C39" s="10">
        <v>61149</v>
      </c>
      <c r="D39" s="10">
        <v>0</v>
      </c>
      <c r="E39" s="121">
        <f>SUM(E32)</f>
        <v>4014</v>
      </c>
      <c r="F39" s="10">
        <v>4574</v>
      </c>
      <c r="G39" s="121">
        <f>SUM(G32:G36)</f>
        <v>21914</v>
      </c>
      <c r="H39" s="10">
        <v>0</v>
      </c>
      <c r="I39" s="10"/>
      <c r="J39" s="10"/>
      <c r="K39" s="10"/>
      <c r="L39" s="10"/>
      <c r="N39" s="10">
        <v>97689</v>
      </c>
      <c r="O39" s="10">
        <v>220538</v>
      </c>
      <c r="P39" s="75"/>
      <c r="Q39" s="75"/>
      <c r="R39" s="75"/>
      <c r="S39" s="83" t="s">
        <v>48</v>
      </c>
      <c r="T39" s="90">
        <f>O41/1000</f>
        <v>73.003</v>
      </c>
      <c r="U39" s="78">
        <f>P41</f>
        <v>0.3310223181492532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18.183</v>
      </c>
      <c r="U40" s="79">
        <f>P35</f>
        <v>8.2448376243549865E-2</v>
      </c>
    </row>
    <row r="41" spans="1:48" x14ac:dyDescent="0.2">
      <c r="A41" s="14" t="s">
        <v>50</v>
      </c>
      <c r="B41" s="85">
        <f>B38+B37+B36</f>
        <v>20327</v>
      </c>
      <c r="C41" s="85">
        <f t="shared" ref="C41:O41" si="0">C38+C37+C36</f>
        <v>107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17900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34669</v>
      </c>
      <c r="O41" s="85">
        <f t="shared" si="0"/>
        <v>73003</v>
      </c>
      <c r="P41" s="80">
        <f>O41/O$39</f>
        <v>0.3310223181492532</v>
      </c>
      <c r="Q41" s="80" t="s">
        <v>51</v>
      </c>
      <c r="R41" s="83"/>
      <c r="S41" s="83" t="s">
        <v>52</v>
      </c>
      <c r="T41" s="90">
        <f>O33/1000</f>
        <v>14.362</v>
      </c>
      <c r="U41" s="78">
        <f>P33</f>
        <v>6.5122563911888198E-2</v>
      </c>
    </row>
    <row r="42" spans="1:48" x14ac:dyDescent="0.2">
      <c r="A42" s="15" t="s">
        <v>53</v>
      </c>
      <c r="B42" s="85"/>
      <c r="C42" s="88">
        <f>C39+C23+C10</f>
        <v>61467</v>
      </c>
      <c r="D42" s="88">
        <f t="shared" ref="D42:M42" si="1">D39+D23+D10</f>
        <v>0</v>
      </c>
      <c r="E42" s="88">
        <f t="shared" si="1"/>
        <v>4014</v>
      </c>
      <c r="F42" s="88">
        <f t="shared" si="1"/>
        <v>4574</v>
      </c>
      <c r="G42" s="88">
        <f t="shared" si="1"/>
        <v>61094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105504.12</v>
      </c>
      <c r="O42" s="89">
        <f>SUM(C42:N42)</f>
        <v>236653.12</v>
      </c>
      <c r="P42" s="83"/>
      <c r="Q42" s="83"/>
      <c r="R42" s="83"/>
      <c r="S42" s="83" t="s">
        <v>34</v>
      </c>
      <c r="T42" s="90">
        <f>O31/1000</f>
        <v>21.864999999999998</v>
      </c>
      <c r="U42" s="78">
        <f>P31</f>
        <v>9.9143911706826029E-2</v>
      </c>
    </row>
    <row r="43" spans="1:48" x14ac:dyDescent="0.2">
      <c r="A43" s="15" t="s">
        <v>54</v>
      </c>
      <c r="B43" s="85"/>
      <c r="C43" s="80">
        <f t="shared" ref="C43:N43" si="2">C42/$O42</f>
        <v>0.25973458537119648</v>
      </c>
      <c r="D43" s="80">
        <f t="shared" si="2"/>
        <v>0</v>
      </c>
      <c r="E43" s="80">
        <f t="shared" si="2"/>
        <v>1.6961534248946305E-2</v>
      </c>
      <c r="F43" s="80">
        <f t="shared" si="2"/>
        <v>1.9327866879591531E-2</v>
      </c>
      <c r="G43" s="80">
        <f t="shared" si="2"/>
        <v>0.25815843881542744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0.44581757468483829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41.177</v>
      </c>
      <c r="U43" s="79">
        <f>P32</f>
        <v>0.18671158711877317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51.948</v>
      </c>
      <c r="U44" s="79">
        <f>P34</f>
        <v>0.23555124286970952</v>
      </c>
    </row>
    <row r="45" spans="1:48" x14ac:dyDescent="0.2">
      <c r="A45" s="6" t="s">
        <v>57</v>
      </c>
      <c r="B45" s="91">
        <f>B23-B39</f>
        <v>7496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7815.12</v>
      </c>
      <c r="O45" s="89">
        <f>B45+N45</f>
        <v>15311.119999999999</v>
      </c>
      <c r="P45" s="83"/>
      <c r="Q45" s="83"/>
      <c r="R45" s="83"/>
      <c r="S45" s="83" t="s">
        <v>58</v>
      </c>
      <c r="T45" s="90">
        <f>SUM(T39:T44)</f>
        <v>220.53800000000001</v>
      </c>
      <c r="U45" s="78">
        <f>SUM(U39:U44)</f>
        <v>1</v>
      </c>
    </row>
    <row r="46" spans="1:48" x14ac:dyDescent="0.2">
      <c r="A46" s="6"/>
      <c r="B46" s="93">
        <f>B45/B23</f>
        <v>0.19372512534243036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7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7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7.83203125" style="2" customWidth="1"/>
    <col min="13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105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150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8682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21">
        <v>1655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4384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14871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 t="s">
        <v>113</v>
      </c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54992</v>
      </c>
      <c r="C17" s="119">
        <v>120</v>
      </c>
      <c r="D17" s="119">
        <v>0</v>
      </c>
      <c r="E17" s="10">
        <v>0</v>
      </c>
      <c r="F17" s="10">
        <v>0</v>
      </c>
      <c r="G17" s="119">
        <f>24678+874+8100+400+360</f>
        <v>34412</v>
      </c>
      <c r="H17" s="10">
        <v>0</v>
      </c>
      <c r="I17" s="10"/>
      <c r="J17" s="10"/>
      <c r="K17" s="119">
        <f>8100+13569</f>
        <v>21669</v>
      </c>
      <c r="L17" s="119">
        <f>7200+14708</f>
        <v>21908</v>
      </c>
      <c r="M17" s="10"/>
      <c r="N17" s="10"/>
      <c r="O17" s="119">
        <f>SUM(C17:N17)</f>
        <v>78109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364.48172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54992</v>
      </c>
      <c r="C23" s="119">
        <f>C17</f>
        <v>120</v>
      </c>
      <c r="D23" s="10">
        <f t="shared" ref="D23:O23" si="0">D17</f>
        <v>0</v>
      </c>
      <c r="E23" s="10">
        <f t="shared" si="0"/>
        <v>0</v>
      </c>
      <c r="F23" s="10">
        <f t="shared" si="0"/>
        <v>0</v>
      </c>
      <c r="G23" s="119">
        <f t="shared" si="0"/>
        <v>34412</v>
      </c>
      <c r="H23" s="10">
        <f t="shared" si="0"/>
        <v>0</v>
      </c>
      <c r="I23" s="10"/>
      <c r="J23" s="10"/>
      <c r="K23" s="119">
        <f t="shared" si="0"/>
        <v>21669</v>
      </c>
      <c r="L23" s="119">
        <f t="shared" si="0"/>
        <v>21908</v>
      </c>
      <c r="M23" s="10"/>
      <c r="N23" s="10"/>
      <c r="O23" s="119">
        <f t="shared" si="0"/>
        <v>78109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127.75872</v>
      </c>
      <c r="U24" s="78">
        <f>N43</f>
        <v>0.35052161189318359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73.316999999999993</v>
      </c>
      <c r="U25" s="79">
        <f>G43</f>
        <v>0.20115412098033342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8.2850000000000001</v>
      </c>
      <c r="U27" s="78">
        <f>F43</f>
        <v>2.2730906779083463E-2</v>
      </c>
    </row>
    <row r="28" spans="1:21" x14ac:dyDescent="0.2">
      <c r="A28" s="4" t="s">
        <v>105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2.7E-2</v>
      </c>
      <c r="U28" s="78">
        <f>E43</f>
        <v>7.4077789141249663E-5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21.669</v>
      </c>
      <c r="U30" s="96">
        <f>K43</f>
        <v>5.9451541218582926E-2</v>
      </c>
    </row>
    <row r="31" spans="1:21" x14ac:dyDescent="0.2">
      <c r="A31" s="8" t="s">
        <v>33</v>
      </c>
      <c r="B31" s="10">
        <v>0</v>
      </c>
      <c r="C31" s="10">
        <v>14869</v>
      </c>
      <c r="D31" s="10">
        <v>0</v>
      </c>
      <c r="E31" s="10">
        <v>0</v>
      </c>
      <c r="F31" s="10">
        <v>1539</v>
      </c>
      <c r="G31" s="10">
        <v>0</v>
      </c>
      <c r="H31" s="10">
        <v>0</v>
      </c>
      <c r="I31" s="10"/>
      <c r="J31" s="10"/>
      <c r="K31" s="10"/>
      <c r="L31" s="10"/>
      <c r="N31" s="10">
        <v>9470</v>
      </c>
      <c r="O31" s="10">
        <v>25878</v>
      </c>
      <c r="P31" s="80">
        <f>O31/O$39</f>
        <v>7.7573337649957733E-2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18317</v>
      </c>
      <c r="C32" s="10">
        <v>754</v>
      </c>
      <c r="D32" s="10">
        <v>0</v>
      </c>
      <c r="E32" s="121">
        <v>27</v>
      </c>
      <c r="F32" s="10">
        <v>0</v>
      </c>
      <c r="G32" s="121">
        <v>5</v>
      </c>
      <c r="H32" s="10">
        <v>0</v>
      </c>
      <c r="I32" s="10"/>
      <c r="J32" s="10"/>
      <c r="K32" s="10"/>
      <c r="L32" s="10"/>
      <c r="N32" s="121">
        <f>O32-SUM(B32:G32)</f>
        <v>35749</v>
      </c>
      <c r="O32" s="121">
        <f>O39-SUM(O33:O38,O31)</f>
        <v>54852</v>
      </c>
      <c r="P32" s="80">
        <f>O32/O$39</f>
        <v>0.16442741775931222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10460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13850</v>
      </c>
      <c r="O33" s="10">
        <v>24310</v>
      </c>
      <c r="P33" s="80">
        <f>O33/O$39</f>
        <v>7.2873013303596593E-2</v>
      </c>
      <c r="Q33" s="81" t="s">
        <v>39</v>
      </c>
      <c r="R33" s="75"/>
      <c r="S33" s="75" t="s">
        <v>35</v>
      </c>
      <c r="T33" s="77">
        <f>C42/1000</f>
        <v>111.517</v>
      </c>
      <c r="U33" s="79">
        <f>C43</f>
        <v>0.30596047450610148</v>
      </c>
    </row>
    <row r="34" spans="1:48" x14ac:dyDescent="0.2">
      <c r="A34" s="8" t="s">
        <v>40</v>
      </c>
      <c r="B34" s="10">
        <v>0</v>
      </c>
      <c r="C34" s="10">
        <v>90242</v>
      </c>
      <c r="D34" s="10">
        <v>0</v>
      </c>
      <c r="E34" s="10">
        <v>0</v>
      </c>
      <c r="F34" s="10">
        <v>6746</v>
      </c>
      <c r="G34" s="10">
        <v>0</v>
      </c>
      <c r="H34" s="10">
        <v>0</v>
      </c>
      <c r="I34" s="10"/>
      <c r="J34" s="10"/>
      <c r="K34" s="10"/>
      <c r="L34" s="10"/>
      <c r="N34" s="10">
        <v>276</v>
      </c>
      <c r="O34" s="10">
        <v>97263</v>
      </c>
      <c r="P34" s="80">
        <f>O34/O$39</f>
        <v>0.29156099929854856</v>
      </c>
      <c r="Q34" s="81" t="s">
        <v>41</v>
      </c>
      <c r="R34" s="75"/>
      <c r="S34" s="75"/>
      <c r="T34" s="77">
        <f>SUM(T24:T33)</f>
        <v>342.57371999999998</v>
      </c>
      <c r="U34" s="78">
        <f>SUM(U24:U33)</f>
        <v>0.93989273316642619</v>
      </c>
    </row>
    <row r="35" spans="1:48" x14ac:dyDescent="0.2">
      <c r="A35" s="8" t="s">
        <v>42</v>
      </c>
      <c r="B35" s="10">
        <v>3000</v>
      </c>
      <c r="C35" s="10">
        <v>5313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18846</v>
      </c>
      <c r="O35" s="10">
        <v>27160</v>
      </c>
      <c r="P35" s="80">
        <f>O35/O$39</f>
        <v>8.1416332428041277E-2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1312</v>
      </c>
      <c r="C36" s="10">
        <v>219</v>
      </c>
      <c r="D36" s="10">
        <v>0</v>
      </c>
      <c r="E36" s="10">
        <v>0</v>
      </c>
      <c r="F36" s="10">
        <v>0</v>
      </c>
      <c r="G36" s="121">
        <v>38900</v>
      </c>
      <c r="H36" s="10">
        <v>0</v>
      </c>
      <c r="I36" s="10"/>
      <c r="J36" s="10"/>
      <c r="K36" s="10"/>
      <c r="L36" s="10"/>
      <c r="N36" s="10">
        <v>38741</v>
      </c>
      <c r="O36" s="121">
        <f>SUM(B36:N36)</f>
        <v>79172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15557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7218</v>
      </c>
      <c r="O37" s="10">
        <v>22775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2184</v>
      </c>
      <c r="O38" s="10">
        <v>2184</v>
      </c>
      <c r="P38" s="81">
        <f>SUM(P31:P35)</f>
        <v>0.6878511004394563</v>
      </c>
      <c r="Q38" s="81"/>
      <c r="R38" s="75"/>
      <c r="S38" s="83" t="s">
        <v>47</v>
      </c>
      <c r="T38" s="86">
        <f>O45/1000</f>
        <v>16.452720000000003</v>
      </c>
      <c r="U38" s="83"/>
    </row>
    <row r="39" spans="1:48" x14ac:dyDescent="0.2">
      <c r="A39" s="8" t="s">
        <v>16</v>
      </c>
      <c r="B39" s="10">
        <v>48646</v>
      </c>
      <c r="C39" s="10">
        <v>111397</v>
      </c>
      <c r="D39" s="10">
        <v>0</v>
      </c>
      <c r="E39" s="121">
        <v>27</v>
      </c>
      <c r="F39" s="10">
        <v>8285</v>
      </c>
      <c r="G39" s="121">
        <f>SUM(G32:G37)</f>
        <v>38905</v>
      </c>
      <c r="H39" s="10">
        <v>0</v>
      </c>
      <c r="I39" s="10"/>
      <c r="J39" s="10"/>
      <c r="K39" s="10"/>
      <c r="L39" s="10"/>
      <c r="N39" s="121">
        <f>SUM(N31:N38)</f>
        <v>126334</v>
      </c>
      <c r="O39" s="10">
        <v>333594</v>
      </c>
      <c r="P39" s="75"/>
      <c r="Q39" s="75"/>
      <c r="R39" s="75"/>
      <c r="S39" s="83" t="s">
        <v>48</v>
      </c>
      <c r="T39" s="90">
        <f>O41/1000</f>
        <v>104.131</v>
      </c>
      <c r="U39" s="78">
        <f>P41</f>
        <v>0.31214889956054365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27.16</v>
      </c>
      <c r="U40" s="79">
        <f>P35</f>
        <v>8.1416332428041277E-2</v>
      </c>
    </row>
    <row r="41" spans="1:48" x14ac:dyDescent="0.2">
      <c r="A41" s="14" t="s">
        <v>50</v>
      </c>
      <c r="B41" s="85">
        <f>B38+B37+B36</f>
        <v>16869</v>
      </c>
      <c r="C41" s="85">
        <f t="shared" ref="C41:O41" si="1">C38+C37+C36</f>
        <v>219</v>
      </c>
      <c r="D41" s="85">
        <f t="shared" si="1"/>
        <v>0</v>
      </c>
      <c r="E41" s="85">
        <f t="shared" si="1"/>
        <v>0</v>
      </c>
      <c r="F41" s="85">
        <f t="shared" si="1"/>
        <v>0</v>
      </c>
      <c r="G41" s="85">
        <f t="shared" si="1"/>
        <v>38900</v>
      </c>
      <c r="H41" s="85">
        <f t="shared" si="1"/>
        <v>0</v>
      </c>
      <c r="I41" s="85">
        <f t="shared" si="1"/>
        <v>0</v>
      </c>
      <c r="J41" s="85">
        <f t="shared" si="1"/>
        <v>0</v>
      </c>
      <c r="K41" s="85">
        <f t="shared" si="1"/>
        <v>0</v>
      </c>
      <c r="L41" s="85">
        <f t="shared" si="1"/>
        <v>0</v>
      </c>
      <c r="M41" s="85">
        <f t="shared" si="1"/>
        <v>0</v>
      </c>
      <c r="N41" s="85">
        <f t="shared" si="1"/>
        <v>48143</v>
      </c>
      <c r="O41" s="85">
        <f t="shared" si="1"/>
        <v>104131</v>
      </c>
      <c r="P41" s="80">
        <f>O41/O$39</f>
        <v>0.31214889956054365</v>
      </c>
      <c r="Q41" s="80" t="s">
        <v>51</v>
      </c>
      <c r="R41" s="83"/>
      <c r="S41" s="83" t="s">
        <v>52</v>
      </c>
      <c r="T41" s="90">
        <f>O33/1000</f>
        <v>24.31</v>
      </c>
      <c r="U41" s="78">
        <f>P33</f>
        <v>7.2873013303596593E-2</v>
      </c>
    </row>
    <row r="42" spans="1:48" x14ac:dyDescent="0.2">
      <c r="A42" s="15" t="s">
        <v>53</v>
      </c>
      <c r="B42" s="85"/>
      <c r="C42" s="88">
        <f>C39+C23+C10</f>
        <v>111517</v>
      </c>
      <c r="D42" s="88">
        <f t="shared" ref="D42:M42" si="2">D39+D23+D10</f>
        <v>0</v>
      </c>
      <c r="E42" s="88">
        <f t="shared" si="2"/>
        <v>27</v>
      </c>
      <c r="F42" s="88">
        <f t="shared" si="2"/>
        <v>8285</v>
      </c>
      <c r="G42" s="88">
        <f t="shared" si="2"/>
        <v>73317</v>
      </c>
      <c r="H42" s="88">
        <f t="shared" si="2"/>
        <v>0</v>
      </c>
      <c r="I42" s="88">
        <f t="shared" si="2"/>
        <v>0</v>
      </c>
      <c r="J42" s="88">
        <f t="shared" si="2"/>
        <v>0</v>
      </c>
      <c r="K42" s="88">
        <f t="shared" si="2"/>
        <v>21669</v>
      </c>
      <c r="L42" s="88">
        <f t="shared" si="2"/>
        <v>21908</v>
      </c>
      <c r="M42" s="88">
        <f t="shared" si="2"/>
        <v>0</v>
      </c>
      <c r="N42" s="88">
        <f>N39+N23-B6+N45</f>
        <v>127758.72</v>
      </c>
      <c r="O42" s="89">
        <f>SUM(C42:N42)</f>
        <v>364481.72</v>
      </c>
      <c r="P42" s="83"/>
      <c r="Q42" s="83"/>
      <c r="R42" s="83"/>
      <c r="S42" s="83" t="s">
        <v>34</v>
      </c>
      <c r="T42" s="90">
        <f>O31/1000</f>
        <v>25.878</v>
      </c>
      <c r="U42" s="78">
        <f>P31</f>
        <v>7.7573337649957733E-2</v>
      </c>
    </row>
    <row r="43" spans="1:48" x14ac:dyDescent="0.2">
      <c r="A43" s="15" t="s">
        <v>54</v>
      </c>
      <c r="B43" s="85"/>
      <c r="C43" s="80">
        <f t="shared" ref="C43:N43" si="3">C42/$O42</f>
        <v>0.30596047450610148</v>
      </c>
      <c r="D43" s="80">
        <f t="shared" si="3"/>
        <v>0</v>
      </c>
      <c r="E43" s="80">
        <f t="shared" si="3"/>
        <v>7.4077789141249663E-5</v>
      </c>
      <c r="F43" s="80">
        <f t="shared" si="3"/>
        <v>2.2730906779083463E-2</v>
      </c>
      <c r="G43" s="80">
        <f t="shared" si="3"/>
        <v>0.20115412098033342</v>
      </c>
      <c r="H43" s="80">
        <f t="shared" si="3"/>
        <v>0</v>
      </c>
      <c r="I43" s="80">
        <f t="shared" si="3"/>
        <v>0</v>
      </c>
      <c r="J43" s="80">
        <f t="shared" si="3"/>
        <v>0</v>
      </c>
      <c r="K43" s="80">
        <f t="shared" si="3"/>
        <v>5.9451541218582926E-2</v>
      </c>
      <c r="L43" s="80">
        <f t="shared" si="3"/>
        <v>6.0107266833573987E-2</v>
      </c>
      <c r="M43" s="80">
        <f t="shared" si="3"/>
        <v>0</v>
      </c>
      <c r="N43" s="80">
        <f t="shared" si="3"/>
        <v>0.35052161189318359</v>
      </c>
      <c r="O43" s="80">
        <f>SUM(C43:N43)</f>
        <v>1.0000000000000002</v>
      </c>
      <c r="P43" s="83"/>
      <c r="Q43" s="83"/>
      <c r="R43" s="83"/>
      <c r="S43" s="83" t="s">
        <v>55</v>
      </c>
      <c r="T43" s="90">
        <f>O32/1000</f>
        <v>54.851999999999997</v>
      </c>
      <c r="U43" s="79">
        <f>P32</f>
        <v>0.16442741775931222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97.263000000000005</v>
      </c>
      <c r="U44" s="79">
        <f>P34</f>
        <v>0.29156099929854856</v>
      </c>
    </row>
    <row r="45" spans="1:48" x14ac:dyDescent="0.2">
      <c r="A45" s="6" t="s">
        <v>57</v>
      </c>
      <c r="B45" s="91">
        <f>B23-B39</f>
        <v>6346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10106.719999999999</v>
      </c>
      <c r="O45" s="89">
        <f>B45+N45</f>
        <v>16452.72</v>
      </c>
      <c r="P45" s="83"/>
      <c r="Q45" s="83"/>
      <c r="R45" s="83"/>
      <c r="S45" s="83" t="s">
        <v>58</v>
      </c>
      <c r="T45" s="90">
        <f>SUM(T39:T44)</f>
        <v>333.59399999999999</v>
      </c>
      <c r="U45" s="78">
        <f>SUM(U39:U44)</f>
        <v>1</v>
      </c>
    </row>
    <row r="46" spans="1:48" x14ac:dyDescent="0.2">
      <c r="A46" s="6"/>
      <c r="B46" s="93">
        <f>B45/B23</f>
        <v>0.11539860343322665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7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7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7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7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V70"/>
  <sheetViews>
    <sheetView topLeftCell="D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10.5" style="2" bestFit="1" customWidth="1"/>
    <col min="13" max="13" width="11.5" style="2" bestFit="1" customWidth="1"/>
    <col min="14" max="14" width="9.6640625" style="2" customWidth="1"/>
    <col min="15" max="15" width="9.832031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61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425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9471</v>
      </c>
      <c r="C7" s="10">
        <v>30091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30091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4630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14526</v>
      </c>
      <c r="C10" s="10">
        <v>30091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30091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2157</v>
      </c>
      <c r="C18" s="10">
        <v>50</v>
      </c>
      <c r="D18" s="10">
        <v>0</v>
      </c>
      <c r="E18" s="10">
        <v>2453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2503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70550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6644.1919200000002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72707</v>
      </c>
      <c r="C23" s="10">
        <v>50</v>
      </c>
      <c r="D23" s="10">
        <v>0</v>
      </c>
      <c r="E23" s="10">
        <v>2453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2503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1446.1459199999999</v>
      </c>
      <c r="U24" s="78">
        <f>N43</f>
        <v>0.21765565134367762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26.733000000000001</v>
      </c>
      <c r="U25" s="79">
        <f>G43</f>
        <v>4.0235141190804137E-3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29.085000000000001</v>
      </c>
      <c r="U27" s="78">
        <f>F43</f>
        <v>4.3775075058337569E-3</v>
      </c>
    </row>
    <row r="28" spans="1:21" x14ac:dyDescent="0.2">
      <c r="A28" s="4" t="s">
        <v>61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277.95299999999997</v>
      </c>
      <c r="U28" s="78">
        <f>E43</f>
        <v>4.1833981219494935E-2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109</v>
      </c>
      <c r="M29" s="91" t="s">
        <v>122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21">
        <f>O31-N31-F31</f>
        <v>2032.2</v>
      </c>
      <c r="D31" s="10">
        <v>0</v>
      </c>
      <c r="E31" s="10">
        <v>0</v>
      </c>
      <c r="F31" s="121">
        <f>0.1*(O31-N31)</f>
        <v>225.8</v>
      </c>
      <c r="G31" s="10">
        <v>0</v>
      </c>
      <c r="H31" s="10">
        <v>0</v>
      </c>
      <c r="I31" s="10"/>
      <c r="J31" s="10"/>
      <c r="K31" s="10"/>
      <c r="L31" s="10"/>
      <c r="N31" s="10">
        <v>3954</v>
      </c>
      <c r="O31" s="10">
        <v>6212</v>
      </c>
      <c r="P31" s="80">
        <f>O31/O$39</f>
        <v>9.4478699479104802E-4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1000</v>
      </c>
      <c r="C32" s="10">
        <v>217783</v>
      </c>
      <c r="D32" s="10">
        <v>0</v>
      </c>
      <c r="E32" s="147">
        <v>275500</v>
      </c>
      <c r="F32" s="10">
        <v>0</v>
      </c>
      <c r="G32" s="10">
        <v>0</v>
      </c>
      <c r="H32" s="10">
        <v>0</v>
      </c>
      <c r="I32" s="10"/>
      <c r="J32" s="10"/>
      <c r="K32" s="10"/>
      <c r="L32" s="149">
        <v>3143785</v>
      </c>
      <c r="M32" s="149">
        <v>1123091</v>
      </c>
      <c r="N32" s="147">
        <f>O32-C32-B32-L32-M32-E32</f>
        <v>1166156</v>
      </c>
      <c r="O32" s="10">
        <v>5927315</v>
      </c>
      <c r="P32" s="80">
        <f>O32/O$39</f>
        <v>0.90148907373308129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10000</v>
      </c>
      <c r="C33" s="121">
        <f>O33-N33-B33</f>
        <v>5750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19521</v>
      </c>
      <c r="O33" s="121">
        <f>O39-SUM(O34:O38,O31:O32)</f>
        <v>35271</v>
      </c>
      <c r="P33" s="80">
        <f>O33/O$39</f>
        <v>5.3643886177197446E-3</v>
      </c>
      <c r="Q33" s="81" t="s">
        <v>39</v>
      </c>
      <c r="R33" s="75"/>
      <c r="S33" s="75" t="s">
        <v>35</v>
      </c>
      <c r="T33" s="77">
        <f>C42/1000</f>
        <v>597.399</v>
      </c>
      <c r="U33" s="79">
        <f>C43</f>
        <v>8.9912965668818304E-2</v>
      </c>
    </row>
    <row r="34" spans="1:48" x14ac:dyDescent="0.2">
      <c r="A34" s="8" t="s">
        <v>40</v>
      </c>
      <c r="B34" s="10">
        <v>0</v>
      </c>
      <c r="C34" s="121">
        <f>C39-C36-C35-C33-C32-C31</f>
        <v>340075.8</v>
      </c>
      <c r="D34" s="10">
        <v>0</v>
      </c>
      <c r="E34" s="10">
        <v>0</v>
      </c>
      <c r="F34" s="121">
        <f>F39-F31</f>
        <v>28859.200000000001</v>
      </c>
      <c r="G34" s="10">
        <v>0</v>
      </c>
      <c r="H34" s="10">
        <v>0</v>
      </c>
      <c r="I34" s="10"/>
      <c r="J34" s="10"/>
      <c r="K34" s="10"/>
      <c r="L34" s="10"/>
      <c r="N34" s="10">
        <v>0</v>
      </c>
      <c r="O34" s="10">
        <v>368936</v>
      </c>
      <c r="P34" s="80">
        <f>O34/O$39</f>
        <v>5.6111708742792997E-2</v>
      </c>
      <c r="Q34" s="81" t="s">
        <v>41</v>
      </c>
      <c r="R34" s="75"/>
      <c r="S34" s="75"/>
      <c r="T34" s="77">
        <f>SUM(T24:T33)</f>
        <v>2377.31592</v>
      </c>
      <c r="U34" s="78">
        <f>SUM(U24:U33)</f>
        <v>0.35780361985690501</v>
      </c>
    </row>
    <row r="35" spans="1:48" x14ac:dyDescent="0.2">
      <c r="A35" s="8" t="s">
        <v>42</v>
      </c>
      <c r="B35" s="10">
        <v>8000</v>
      </c>
      <c r="C35" s="10">
        <v>1017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44459</v>
      </c>
      <c r="O35" s="10">
        <v>53476</v>
      </c>
      <c r="P35" s="80">
        <f>O35/O$39</f>
        <v>8.1331985404774765E-3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16000</v>
      </c>
      <c r="C36" s="121">
        <v>600</v>
      </c>
      <c r="D36" s="10">
        <v>0</v>
      </c>
      <c r="E36" s="10">
        <v>0</v>
      </c>
      <c r="F36" s="10">
        <v>0</v>
      </c>
      <c r="G36" s="10">
        <v>26733</v>
      </c>
      <c r="H36" s="10">
        <v>0</v>
      </c>
      <c r="I36" s="10"/>
      <c r="J36" s="10"/>
      <c r="K36" s="10"/>
      <c r="L36" s="10"/>
      <c r="N36" s="10">
        <v>80965</v>
      </c>
      <c r="O36" s="121">
        <f>SUM(B36:N36)</f>
        <v>124298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35550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11761</v>
      </c>
      <c r="O37" s="10">
        <v>47311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12208</v>
      </c>
      <c r="O38" s="10">
        <v>12208</v>
      </c>
      <c r="P38" s="81">
        <f>SUM(P31:P35)</f>
        <v>0.97204315662886254</v>
      </c>
      <c r="Q38" s="81"/>
      <c r="R38" s="75"/>
      <c r="S38" s="83" t="s">
        <v>47</v>
      </c>
      <c r="T38" s="86">
        <f>O45/1000</f>
        <v>109.27892</v>
      </c>
      <c r="U38" s="83"/>
    </row>
    <row r="39" spans="1:48" x14ac:dyDescent="0.2">
      <c r="A39" s="8" t="s">
        <v>16</v>
      </c>
      <c r="B39" s="10">
        <v>70550</v>
      </c>
      <c r="C39" s="10">
        <v>567258</v>
      </c>
      <c r="D39" s="10">
        <v>0</v>
      </c>
      <c r="E39" s="147">
        <v>275500</v>
      </c>
      <c r="F39" s="123">
        <v>29085</v>
      </c>
      <c r="G39" s="10">
        <v>26733</v>
      </c>
      <c r="H39" s="10">
        <v>0</v>
      </c>
      <c r="I39" s="10"/>
      <c r="J39" s="10"/>
      <c r="K39" s="10"/>
      <c r="L39" s="149">
        <f>L32</f>
        <v>3143785</v>
      </c>
      <c r="M39" s="149">
        <f>M32</f>
        <v>1123091</v>
      </c>
      <c r="N39" s="95">
        <f>SUM(N31:N38)</f>
        <v>1339024</v>
      </c>
      <c r="O39" s="10">
        <v>6575027</v>
      </c>
      <c r="P39" s="75"/>
      <c r="Q39" s="75"/>
      <c r="R39" s="75"/>
      <c r="S39" s="83" t="s">
        <v>48</v>
      </c>
      <c r="T39" s="90">
        <f>O41/1000</f>
        <v>183.81700000000001</v>
      </c>
      <c r="U39" s="78">
        <f>P41</f>
        <v>2.7956843371137487E-2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53.475999999999999</v>
      </c>
      <c r="U40" s="79">
        <f>P35</f>
        <v>8.1331985404774765E-3</v>
      </c>
    </row>
    <row r="41" spans="1:48" x14ac:dyDescent="0.2">
      <c r="A41" s="14" t="s">
        <v>50</v>
      </c>
      <c r="B41" s="85">
        <f>B38+B37+B36</f>
        <v>51550</v>
      </c>
      <c r="C41" s="85">
        <f t="shared" ref="C41:O41" si="0">C38+C37+C36</f>
        <v>600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26733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104934</v>
      </c>
      <c r="O41" s="85">
        <f t="shared" si="0"/>
        <v>183817</v>
      </c>
      <c r="P41" s="80">
        <f>O41/O$39</f>
        <v>2.7956843371137487E-2</v>
      </c>
      <c r="Q41" s="80" t="s">
        <v>51</v>
      </c>
      <c r="R41" s="83"/>
      <c r="S41" s="83" t="s">
        <v>52</v>
      </c>
      <c r="T41" s="90">
        <f>O33/1000</f>
        <v>35.271000000000001</v>
      </c>
      <c r="U41" s="78">
        <f>P33</f>
        <v>5.3643886177197446E-3</v>
      </c>
    </row>
    <row r="42" spans="1:48" x14ac:dyDescent="0.2">
      <c r="A42" s="15" t="s">
        <v>53</v>
      </c>
      <c r="B42" s="85"/>
      <c r="C42" s="88">
        <f>C39+C23+C10</f>
        <v>597399</v>
      </c>
      <c r="D42" s="88">
        <f t="shared" ref="D42:M42" si="1">D39+D23+D10</f>
        <v>0</v>
      </c>
      <c r="E42" s="88">
        <f t="shared" si="1"/>
        <v>277953</v>
      </c>
      <c r="F42" s="88">
        <f t="shared" si="1"/>
        <v>29085</v>
      </c>
      <c r="G42" s="88">
        <f t="shared" si="1"/>
        <v>26733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>L39+L23+L10</f>
        <v>3143785</v>
      </c>
      <c r="M42" s="88">
        <f t="shared" si="1"/>
        <v>1123091</v>
      </c>
      <c r="N42" s="88">
        <f>N39+N23-B6+N45</f>
        <v>1446145.92</v>
      </c>
      <c r="O42" s="89">
        <f>SUM(C42:N42)</f>
        <v>6644191.9199999999</v>
      </c>
      <c r="P42" s="83"/>
      <c r="Q42" s="83"/>
      <c r="R42" s="83"/>
      <c r="S42" s="83" t="s">
        <v>34</v>
      </c>
      <c r="T42" s="90">
        <f>O31/1000</f>
        <v>6.2119999999999997</v>
      </c>
      <c r="U42" s="78">
        <f>P31</f>
        <v>9.4478699479104802E-4</v>
      </c>
    </row>
    <row r="43" spans="1:48" x14ac:dyDescent="0.2">
      <c r="A43" s="15" t="s">
        <v>54</v>
      </c>
      <c r="B43" s="85"/>
      <c r="C43" s="80">
        <f t="shared" ref="C43:N43" si="2">C42/$O42</f>
        <v>8.9912965668818304E-2</v>
      </c>
      <c r="D43" s="80">
        <f t="shared" si="2"/>
        <v>0</v>
      </c>
      <c r="E43" s="80">
        <f t="shared" si="2"/>
        <v>4.1833981219494935E-2</v>
      </c>
      <c r="F43" s="80">
        <f t="shared" si="2"/>
        <v>4.3775075058337569E-3</v>
      </c>
      <c r="G43" s="80">
        <f t="shared" si="2"/>
        <v>4.0235141190804137E-3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0.47316288238705784</v>
      </c>
      <c r="M43" s="80">
        <f t="shared" si="2"/>
        <v>0.16903349775603713</v>
      </c>
      <c r="N43" s="80">
        <f t="shared" si="2"/>
        <v>0.21765565134367762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5927.3149999999996</v>
      </c>
      <c r="U43" s="79">
        <f>P32</f>
        <v>0.90148907373308129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368.93599999999998</v>
      </c>
      <c r="U44" s="79">
        <f>P34</f>
        <v>5.6111708742792997E-2</v>
      </c>
    </row>
    <row r="45" spans="1:48" x14ac:dyDescent="0.2">
      <c r="A45" s="6" t="s">
        <v>57</v>
      </c>
      <c r="B45" s="91">
        <f>B23-B39</f>
        <v>2157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107121.92</v>
      </c>
      <c r="O45" s="89">
        <f>B45+N45</f>
        <v>109278.92</v>
      </c>
      <c r="P45" s="83"/>
      <c r="Q45" s="83"/>
      <c r="R45" s="83"/>
      <c r="S45" s="83" t="s">
        <v>58</v>
      </c>
      <c r="T45" s="90">
        <f>SUM(T39:T44)</f>
        <v>6575.0269999999991</v>
      </c>
      <c r="U45" s="78">
        <f>SUM(U39:U44)</f>
        <v>1</v>
      </c>
    </row>
    <row r="46" spans="1:48" x14ac:dyDescent="0.2">
      <c r="A46" s="6"/>
      <c r="B46" s="93">
        <f>B45/B23</f>
        <v>2.9667019681736285E-2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3"/>
      <c r="J48" s="17"/>
      <c r="K48" s="17"/>
      <c r="L48" s="17"/>
      <c r="M48" s="17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7"/>
      <c r="J55" s="17"/>
      <c r="K55" s="17"/>
      <c r="L55" s="17"/>
      <c r="M55" s="17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7"/>
      <c r="J56" s="17"/>
      <c r="K56" s="17"/>
      <c r="L56" s="17"/>
      <c r="M56" s="17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1" enableFormatConditionsCalculation="0"/>
  <dimension ref="A1:AV70"/>
  <sheetViews>
    <sheetView topLeftCell="J14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106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352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13842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138219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152413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106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f>88748+26024</f>
        <v>114772</v>
      </c>
      <c r="C17" s="10">
        <v>0</v>
      </c>
      <c r="D17" s="10">
        <v>0</v>
      </c>
      <c r="E17" s="10">
        <v>0</v>
      </c>
      <c r="F17" s="10">
        <v>0</v>
      </c>
      <c r="G17" s="10">
        <v>140078</v>
      </c>
      <c r="H17" s="10">
        <v>0</v>
      </c>
      <c r="I17" s="10"/>
      <c r="J17" s="10"/>
      <c r="K17" s="10"/>
      <c r="L17" s="10"/>
      <c r="M17" s="10"/>
      <c r="N17" s="10"/>
      <c r="O17" s="10">
        <v>140078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18783</v>
      </c>
      <c r="C18" s="10">
        <v>0</v>
      </c>
      <c r="D18" s="10">
        <v>0</v>
      </c>
      <c r="E18" s="10">
        <v>0</v>
      </c>
      <c r="F18" s="10">
        <v>385</v>
      </c>
      <c r="G18" s="10">
        <v>21215</v>
      </c>
      <c r="H18" s="10">
        <v>0</v>
      </c>
      <c r="I18" s="10"/>
      <c r="J18" s="10"/>
      <c r="K18" s="10"/>
      <c r="L18" s="10"/>
      <c r="M18" s="10"/>
      <c r="N18" s="10"/>
      <c r="O18" s="10">
        <v>21600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50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986.45243999999991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133605</v>
      </c>
      <c r="C23" s="10">
        <v>0</v>
      </c>
      <c r="D23" s="10">
        <v>0</v>
      </c>
      <c r="E23" s="10">
        <v>0</v>
      </c>
      <c r="F23" s="10">
        <v>385</v>
      </c>
      <c r="G23" s="10">
        <v>161293</v>
      </c>
      <c r="H23" s="10">
        <v>0</v>
      </c>
      <c r="I23" s="10"/>
      <c r="J23" s="10"/>
      <c r="K23" s="10"/>
      <c r="L23" s="10"/>
      <c r="M23" s="10"/>
      <c r="N23" s="10"/>
      <c r="O23" s="10">
        <v>161678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378.43344000000002</v>
      </c>
      <c r="U24" s="78">
        <f>N43</f>
        <v>0.38363069992507698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247.77799999999999</v>
      </c>
      <c r="U25" s="79">
        <f>G43</f>
        <v>0.25118088815310752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26.488</v>
      </c>
      <c r="U27" s="78">
        <f>F43</f>
        <v>2.6851776047104717E-2</v>
      </c>
    </row>
    <row r="28" spans="1:21" x14ac:dyDescent="0.2">
      <c r="A28" s="4" t="s">
        <v>106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2.68</v>
      </c>
      <c r="U28" s="78">
        <f>E43</f>
        <v>2.7168060935608817E-3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39073</v>
      </c>
      <c r="D31" s="10">
        <v>0</v>
      </c>
      <c r="E31" s="10">
        <v>0</v>
      </c>
      <c r="F31" s="10">
        <v>3983</v>
      </c>
      <c r="G31" s="10">
        <v>0</v>
      </c>
      <c r="H31" s="10">
        <v>0</v>
      </c>
      <c r="I31" s="10"/>
      <c r="J31" s="10"/>
      <c r="K31" s="10"/>
      <c r="L31" s="10"/>
      <c r="N31" s="10">
        <v>28009</v>
      </c>
      <c r="O31" s="10">
        <v>71065</v>
      </c>
      <c r="P31" s="80">
        <f>O31/O$39</f>
        <v>7.6543856134387162E-2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6649</v>
      </c>
      <c r="C32" s="10">
        <v>15312</v>
      </c>
      <c r="D32" s="10">
        <v>0</v>
      </c>
      <c r="E32" s="10">
        <v>2680</v>
      </c>
      <c r="F32" s="10">
        <v>0</v>
      </c>
      <c r="G32" s="10">
        <v>21136</v>
      </c>
      <c r="H32" s="10">
        <v>0</v>
      </c>
      <c r="I32" s="10"/>
      <c r="J32" s="10"/>
      <c r="K32" s="10"/>
      <c r="L32" s="10"/>
      <c r="N32" s="10">
        <v>92255</v>
      </c>
      <c r="O32" s="10">
        <v>138031</v>
      </c>
      <c r="P32" s="80">
        <f>O32/O$39</f>
        <v>0.14867269409815795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20726</v>
      </c>
      <c r="C33" s="10">
        <v>20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30559</v>
      </c>
      <c r="O33" s="10">
        <v>51305</v>
      </c>
      <c r="P33" s="80">
        <f>O33/O$39</f>
        <v>5.5260431140149634E-2</v>
      </c>
      <c r="Q33" s="81" t="s">
        <v>39</v>
      </c>
      <c r="R33" s="75"/>
      <c r="S33" s="75" t="s">
        <v>35</v>
      </c>
      <c r="T33" s="77">
        <f>C42/1000</f>
        <v>331.07299999999998</v>
      </c>
      <c r="U33" s="79">
        <f>C43</f>
        <v>0.33561982978114996</v>
      </c>
    </row>
    <row r="34" spans="1:48" x14ac:dyDescent="0.2">
      <c r="A34" s="8" t="s">
        <v>40</v>
      </c>
      <c r="B34" s="10">
        <v>0</v>
      </c>
      <c r="C34" s="10">
        <v>275542</v>
      </c>
      <c r="D34" s="10">
        <v>0</v>
      </c>
      <c r="E34" s="10">
        <v>0</v>
      </c>
      <c r="F34" s="10">
        <v>22120</v>
      </c>
      <c r="G34" s="10">
        <v>0</v>
      </c>
      <c r="H34" s="10">
        <v>0</v>
      </c>
      <c r="I34" s="10"/>
      <c r="J34" s="10"/>
      <c r="K34" s="10"/>
      <c r="L34" s="10"/>
      <c r="N34" s="10">
        <v>38754</v>
      </c>
      <c r="O34" s="10">
        <v>336415</v>
      </c>
      <c r="P34" s="80">
        <f>O34/O$39</f>
        <v>0.3623513876233006</v>
      </c>
      <c r="Q34" s="81" t="s">
        <v>41</v>
      </c>
      <c r="R34" s="75"/>
      <c r="S34" s="75"/>
      <c r="T34" s="77">
        <f>SUM(T24:T33)</f>
        <v>986.45244000000002</v>
      </c>
      <c r="U34" s="78">
        <f>SUM(U24:U33)</f>
        <v>1</v>
      </c>
    </row>
    <row r="35" spans="1:48" x14ac:dyDescent="0.2">
      <c r="A35" s="8" t="s">
        <v>42</v>
      </c>
      <c r="B35" s="10">
        <v>21652</v>
      </c>
      <c r="C35" s="10">
        <v>745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63991</v>
      </c>
      <c r="O35" s="10">
        <v>86388</v>
      </c>
      <c r="P35" s="80">
        <f>O35/O$39</f>
        <v>9.3048204372580573E-2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60039</v>
      </c>
      <c r="C36" s="10">
        <v>381</v>
      </c>
      <c r="D36" s="10">
        <v>0</v>
      </c>
      <c r="E36" s="10">
        <v>0</v>
      </c>
      <c r="F36" s="10">
        <v>0</v>
      </c>
      <c r="G36" s="10">
        <v>65349</v>
      </c>
      <c r="H36" s="10">
        <v>0</v>
      </c>
      <c r="I36" s="10"/>
      <c r="J36" s="10"/>
      <c r="K36" s="10"/>
      <c r="L36" s="10"/>
      <c r="N36" s="10">
        <v>93615</v>
      </c>
      <c r="O36" s="10">
        <v>219385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9798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14417</v>
      </c>
      <c r="O37" s="10">
        <v>24215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1617</v>
      </c>
      <c r="O38" s="10">
        <v>1617</v>
      </c>
      <c r="P38" s="81">
        <f>SUM(P31:P35)</f>
        <v>0.73587657336857581</v>
      </c>
      <c r="Q38" s="81"/>
      <c r="R38" s="75"/>
      <c r="S38" s="83" t="s">
        <v>47</v>
      </c>
      <c r="T38" s="86">
        <f>O45/1000</f>
        <v>43.798439999999999</v>
      </c>
      <c r="U38" s="83"/>
    </row>
    <row r="39" spans="1:48" x14ac:dyDescent="0.2">
      <c r="A39" s="8" t="s">
        <v>16</v>
      </c>
      <c r="B39" s="10">
        <v>118864</v>
      </c>
      <c r="C39" s="10">
        <v>331073</v>
      </c>
      <c r="D39" s="10">
        <v>0</v>
      </c>
      <c r="E39" s="10">
        <v>2680</v>
      </c>
      <c r="F39" s="10">
        <v>26103</v>
      </c>
      <c r="G39" s="10">
        <v>86485</v>
      </c>
      <c r="H39" s="10">
        <v>0</v>
      </c>
      <c r="I39" s="10"/>
      <c r="J39" s="10"/>
      <c r="K39" s="10"/>
      <c r="L39" s="10"/>
      <c r="N39" s="10">
        <v>363218</v>
      </c>
      <c r="O39" s="10">
        <v>928422</v>
      </c>
      <c r="P39" s="75"/>
      <c r="Q39" s="75"/>
      <c r="R39" s="75"/>
      <c r="S39" s="83" t="s">
        <v>48</v>
      </c>
      <c r="T39" s="90">
        <f>O41/1000</f>
        <v>245.21700000000001</v>
      </c>
      <c r="U39" s="78">
        <f>P41</f>
        <v>0.26412234953501751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86.388000000000005</v>
      </c>
      <c r="U40" s="79">
        <f>P35</f>
        <v>9.3048204372580573E-2</v>
      </c>
    </row>
    <row r="41" spans="1:48" x14ac:dyDescent="0.2">
      <c r="A41" s="14" t="s">
        <v>50</v>
      </c>
      <c r="B41" s="85">
        <f>B38+B37+B36</f>
        <v>69837</v>
      </c>
      <c r="C41" s="85">
        <f t="shared" ref="C41:O41" si="0">C38+C37+C36</f>
        <v>381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65349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109649</v>
      </c>
      <c r="O41" s="85">
        <f t="shared" si="0"/>
        <v>245217</v>
      </c>
      <c r="P41" s="80">
        <f>O41/O$39</f>
        <v>0.26412234953501751</v>
      </c>
      <c r="Q41" s="80" t="s">
        <v>51</v>
      </c>
      <c r="R41" s="83"/>
      <c r="S41" s="83" t="s">
        <v>52</v>
      </c>
      <c r="T41" s="90">
        <f>O33/1000</f>
        <v>51.305</v>
      </c>
      <c r="U41" s="78">
        <f>P33</f>
        <v>5.5260431140149634E-2</v>
      </c>
    </row>
    <row r="42" spans="1:48" x14ac:dyDescent="0.2">
      <c r="A42" s="15" t="s">
        <v>53</v>
      </c>
      <c r="B42" s="85"/>
      <c r="C42" s="88">
        <f>C39+C23+C10</f>
        <v>331073</v>
      </c>
      <c r="D42" s="88">
        <f t="shared" ref="D42:M42" si="1">D39+D23+D10</f>
        <v>0</v>
      </c>
      <c r="E42" s="88">
        <f t="shared" si="1"/>
        <v>2680</v>
      </c>
      <c r="F42" s="88">
        <f t="shared" si="1"/>
        <v>26488</v>
      </c>
      <c r="G42" s="88">
        <f t="shared" si="1"/>
        <v>247778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378433.44</v>
      </c>
      <c r="O42" s="89">
        <f>SUM(C42:N42)</f>
        <v>986452.44</v>
      </c>
      <c r="P42" s="83"/>
      <c r="Q42" s="83"/>
      <c r="R42" s="83"/>
      <c r="S42" s="83" t="s">
        <v>34</v>
      </c>
      <c r="T42" s="90">
        <f>O31/1000</f>
        <v>71.064999999999998</v>
      </c>
      <c r="U42" s="78">
        <f>P31</f>
        <v>7.6543856134387162E-2</v>
      </c>
    </row>
    <row r="43" spans="1:48" x14ac:dyDescent="0.2">
      <c r="A43" s="15" t="s">
        <v>54</v>
      </c>
      <c r="B43" s="85"/>
      <c r="C43" s="80">
        <f t="shared" ref="C43:N43" si="2">C42/$O42</f>
        <v>0.33561982978114996</v>
      </c>
      <c r="D43" s="80">
        <f t="shared" si="2"/>
        <v>0</v>
      </c>
      <c r="E43" s="80">
        <f t="shared" si="2"/>
        <v>2.7168060935608817E-3</v>
      </c>
      <c r="F43" s="80">
        <f t="shared" si="2"/>
        <v>2.6851776047104717E-2</v>
      </c>
      <c r="G43" s="80">
        <f t="shared" si="2"/>
        <v>0.25118088815310752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0.38363069992507698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138.03100000000001</v>
      </c>
      <c r="U43" s="79">
        <f>P32</f>
        <v>0.14867269409815795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336.41500000000002</v>
      </c>
      <c r="U44" s="79">
        <f>P34</f>
        <v>0.3623513876233006</v>
      </c>
    </row>
    <row r="45" spans="1:48" x14ac:dyDescent="0.2">
      <c r="A45" s="6" t="s">
        <v>57</v>
      </c>
      <c r="B45" s="91">
        <f>B23-B39</f>
        <v>14741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29057.440000000002</v>
      </c>
      <c r="O45" s="89">
        <f>B45+N45</f>
        <v>43798.44</v>
      </c>
      <c r="P45" s="83"/>
      <c r="Q45" s="83"/>
      <c r="R45" s="83"/>
      <c r="S45" s="83" t="s">
        <v>58</v>
      </c>
      <c r="T45" s="90">
        <f>SUM(T39:T44)</f>
        <v>928.42100000000005</v>
      </c>
      <c r="U45" s="78">
        <f>SUM(U39:U44)</f>
        <v>0.99999892290359349</v>
      </c>
    </row>
    <row r="46" spans="1:48" x14ac:dyDescent="0.2">
      <c r="A46" s="6"/>
      <c r="B46" s="93">
        <f>B45/B23</f>
        <v>0.11033269712959844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7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7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7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7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7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7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7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7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7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7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8"/>
      <c r="T70" s="21"/>
      <c r="U70" s="25"/>
    </row>
  </sheetData>
  <pageMargins left="0.75" right="0.75" top="0.75" bottom="0.5" header="0.5" footer="0.75"/>
  <legacy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4" sqref="Y34"/>
    </sheetView>
  </sheetViews>
  <sheetFormatPr baseColWidth="10" defaultColWidth="8.83203125" defaultRowHeight="16" x14ac:dyDescent="0.2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6" x14ac:dyDescent="0.2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6" x14ac:dyDescent="0.2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6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 enableFormatConditionsCalculation="0"/>
  <dimension ref="A1:AV70"/>
  <sheetViews>
    <sheetView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62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338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4880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28">
        <f>SUM(B4:B9)</f>
        <v>5218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332.03352000000001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169.85051999999999</v>
      </c>
      <c r="U24" s="78">
        <f>N43</f>
        <v>0.51154630412013813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18.106000000000002</v>
      </c>
      <c r="U25" s="79">
        <f>G43</f>
        <v>5.4530638954765766E-2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10.045999999999999</v>
      </c>
      <c r="U27" s="78">
        <f>F43</f>
        <v>3.0255981384048211E-2</v>
      </c>
    </row>
    <row r="28" spans="1:21" x14ac:dyDescent="0.2">
      <c r="A28" s="4" t="s">
        <v>62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4.7E-2</v>
      </c>
      <c r="U28" s="78">
        <f>E43</f>
        <v>1.415519734272612E-4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2694</v>
      </c>
      <c r="D31" s="10">
        <v>0</v>
      </c>
      <c r="E31" s="10">
        <v>0</v>
      </c>
      <c r="F31" s="10">
        <v>275</v>
      </c>
      <c r="G31" s="10">
        <v>0</v>
      </c>
      <c r="H31" s="10">
        <v>0</v>
      </c>
      <c r="I31" s="10"/>
      <c r="J31" s="10"/>
      <c r="K31" s="10"/>
      <c r="L31" s="10"/>
      <c r="N31" s="10">
        <v>6467</v>
      </c>
      <c r="O31" s="10">
        <v>9437</v>
      </c>
      <c r="P31" s="80">
        <f>O31/O$39</f>
        <v>2.9541214329539336E-2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f>C39-C31-SUM(C33:C37)</f>
        <v>1398</v>
      </c>
      <c r="D32" s="10">
        <v>0</v>
      </c>
      <c r="E32" s="121">
        <f>O32-N32-C32</f>
        <v>46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0">
        <v>14062</v>
      </c>
      <c r="O32" s="10">
        <v>15506</v>
      </c>
      <c r="P32" s="80">
        <f>O32/O$39</f>
        <v>4.8539373677422587E-2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7342</v>
      </c>
      <c r="O33" s="10">
        <v>7342</v>
      </c>
      <c r="P33" s="80">
        <f>O33/O$39</f>
        <v>2.2983108573432002E-2</v>
      </c>
      <c r="Q33" s="81" t="s">
        <v>39</v>
      </c>
      <c r="R33" s="75"/>
      <c r="S33" s="75" t="s">
        <v>35</v>
      </c>
      <c r="T33" s="77">
        <f>C42/1000</f>
        <v>133.98400000000001</v>
      </c>
      <c r="U33" s="79">
        <f>C43</f>
        <v>0.4035255235676205</v>
      </c>
    </row>
    <row r="34" spans="1:48" x14ac:dyDescent="0.2">
      <c r="A34" s="8" t="s">
        <v>40</v>
      </c>
      <c r="B34" s="10">
        <v>0</v>
      </c>
      <c r="C34" s="10">
        <v>124547</v>
      </c>
      <c r="D34" s="10">
        <v>0</v>
      </c>
      <c r="E34" s="10">
        <v>0</v>
      </c>
      <c r="F34" s="121">
        <f>O34-N34-C34</f>
        <v>9771</v>
      </c>
      <c r="G34" s="10">
        <v>0</v>
      </c>
      <c r="H34" s="10">
        <v>0</v>
      </c>
      <c r="I34" s="10"/>
      <c r="J34" s="10"/>
      <c r="K34" s="10"/>
      <c r="L34" s="10"/>
      <c r="N34" s="10">
        <v>604</v>
      </c>
      <c r="O34" s="121">
        <f>O39-O38-O37-O36-O35-SUM(O31:O33)</f>
        <v>134922</v>
      </c>
      <c r="P34" s="80">
        <f>O34/O$39</f>
        <v>0.42235453213628338</v>
      </c>
      <c r="Q34" s="81" t="s">
        <v>41</v>
      </c>
      <c r="R34" s="75"/>
      <c r="S34" s="75"/>
      <c r="T34" s="77">
        <f>SUM(T24:T33)</f>
        <v>332.03351999999995</v>
      </c>
      <c r="U34" s="78">
        <f>SUM(U24:U33)</f>
        <v>0.99999999999999978</v>
      </c>
    </row>
    <row r="35" spans="1:48" x14ac:dyDescent="0.2">
      <c r="A35" s="8" t="s">
        <v>42</v>
      </c>
      <c r="B35" s="10">
        <v>0</v>
      </c>
      <c r="C35" s="10">
        <v>4733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29568</v>
      </c>
      <c r="O35" s="10">
        <v>34301</v>
      </c>
      <c r="P35" s="80">
        <f>O35/O$39</f>
        <v>0.10737450383782227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21">
        <v>600</v>
      </c>
      <c r="D36" s="10">
        <v>0</v>
      </c>
      <c r="E36" s="10">
        <v>0</v>
      </c>
      <c r="F36" s="10">
        <v>0</v>
      </c>
      <c r="G36" s="10">
        <v>18106</v>
      </c>
      <c r="H36" s="10">
        <v>0</v>
      </c>
      <c r="I36" s="10"/>
      <c r="J36" s="10"/>
      <c r="K36" s="10"/>
      <c r="L36" s="10"/>
      <c r="N36" s="10">
        <v>70153</v>
      </c>
      <c r="O36" s="121">
        <f>SUM(B36:N36)</f>
        <v>88859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12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5943</v>
      </c>
      <c r="O37" s="10">
        <v>5955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23130</v>
      </c>
      <c r="O38" s="10">
        <v>23130</v>
      </c>
      <c r="P38" s="81">
        <f>SUM(P31:P35)</f>
        <v>0.63079273255449952</v>
      </c>
      <c r="Q38" s="81"/>
      <c r="R38" s="75"/>
      <c r="S38" s="83" t="s">
        <v>47</v>
      </c>
      <c r="T38" s="86">
        <f>O45/1000</f>
        <v>12.581520000000001</v>
      </c>
      <c r="U38" s="83"/>
    </row>
    <row r="39" spans="1:48" x14ac:dyDescent="0.2">
      <c r="A39" s="8" t="s">
        <v>16</v>
      </c>
      <c r="B39" s="10">
        <v>0</v>
      </c>
      <c r="C39" s="10">
        <v>133984</v>
      </c>
      <c r="D39" s="10">
        <v>0</v>
      </c>
      <c r="E39" s="95">
        <f>O39-N39-G39-F39-C39</f>
        <v>47</v>
      </c>
      <c r="F39" s="121">
        <f>SUM(F31:F38)</f>
        <v>10046</v>
      </c>
      <c r="G39" s="10">
        <v>18106</v>
      </c>
      <c r="H39" s="10">
        <v>0</v>
      </c>
      <c r="I39" s="10"/>
      <c r="J39" s="10"/>
      <c r="K39" s="10"/>
      <c r="L39" s="10"/>
      <c r="N39" s="10">
        <v>157269</v>
      </c>
      <c r="O39" s="10">
        <v>319452</v>
      </c>
      <c r="P39" s="122"/>
      <c r="Q39" s="75"/>
      <c r="R39" s="75"/>
      <c r="S39" s="83" t="s">
        <v>48</v>
      </c>
      <c r="T39" s="90">
        <f>O41/1000</f>
        <v>117.944</v>
      </c>
      <c r="U39" s="78">
        <f>P41</f>
        <v>0.36920726744550042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34.301000000000002</v>
      </c>
      <c r="U40" s="79">
        <f>P35</f>
        <v>0.10737450383782227</v>
      </c>
    </row>
    <row r="41" spans="1:48" x14ac:dyDescent="0.2">
      <c r="A41" s="14" t="s">
        <v>50</v>
      </c>
      <c r="B41" s="85">
        <f>B38+B37+B36</f>
        <v>0</v>
      </c>
      <c r="C41" s="85">
        <f t="shared" ref="C41:O41" si="0">C38+C37+C36</f>
        <v>612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18106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99226</v>
      </c>
      <c r="O41" s="85">
        <f t="shared" si="0"/>
        <v>117944</v>
      </c>
      <c r="P41" s="80">
        <f>O41/O$39</f>
        <v>0.36920726744550042</v>
      </c>
      <c r="Q41" s="80" t="s">
        <v>51</v>
      </c>
      <c r="R41" s="83"/>
      <c r="S41" s="83" t="s">
        <v>52</v>
      </c>
      <c r="T41" s="90">
        <f>O33/1000</f>
        <v>7.3419999999999996</v>
      </c>
      <c r="U41" s="78">
        <f>P33</f>
        <v>2.2983108573432002E-2</v>
      </c>
    </row>
    <row r="42" spans="1:48" x14ac:dyDescent="0.2">
      <c r="A42" s="15" t="s">
        <v>53</v>
      </c>
      <c r="B42" s="85"/>
      <c r="C42" s="88">
        <f>C39+C23+C10</f>
        <v>133984</v>
      </c>
      <c r="D42" s="88">
        <f t="shared" ref="D42:M42" si="1">D39+D23+D10</f>
        <v>0</v>
      </c>
      <c r="E42" s="88">
        <f t="shared" si="1"/>
        <v>47</v>
      </c>
      <c r="F42" s="88">
        <f t="shared" si="1"/>
        <v>10046</v>
      </c>
      <c r="G42" s="88">
        <f t="shared" si="1"/>
        <v>18106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169850.52</v>
      </c>
      <c r="O42" s="89">
        <f>SUM(C42:N42)</f>
        <v>332033.52</v>
      </c>
      <c r="P42" s="83"/>
      <c r="Q42" s="83"/>
      <c r="R42" s="83"/>
      <c r="S42" s="83" t="s">
        <v>34</v>
      </c>
      <c r="T42" s="90">
        <f>O31/1000</f>
        <v>9.4369999999999994</v>
      </c>
      <c r="U42" s="78">
        <f>P31</f>
        <v>2.9541214329539336E-2</v>
      </c>
    </row>
    <row r="43" spans="1:48" x14ac:dyDescent="0.2">
      <c r="A43" s="15" t="s">
        <v>54</v>
      </c>
      <c r="B43" s="85"/>
      <c r="C43" s="80">
        <f t="shared" ref="C43:N43" si="2">C42/$O42</f>
        <v>0.4035255235676205</v>
      </c>
      <c r="D43" s="80">
        <f t="shared" si="2"/>
        <v>0</v>
      </c>
      <c r="E43" s="80">
        <f t="shared" si="2"/>
        <v>1.415519734272612E-4</v>
      </c>
      <c r="F43" s="80">
        <f t="shared" si="2"/>
        <v>3.0255981384048211E-2</v>
      </c>
      <c r="G43" s="80">
        <f t="shared" si="2"/>
        <v>5.4530638954765766E-2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0.51154630412013813</v>
      </c>
      <c r="O43" s="80">
        <f>SUM(C43:N43)</f>
        <v>0.99999999999999989</v>
      </c>
      <c r="P43" s="83"/>
      <c r="Q43" s="83"/>
      <c r="R43" s="83"/>
      <c r="S43" s="83" t="s">
        <v>55</v>
      </c>
      <c r="T43" s="90">
        <f>O32/1000</f>
        <v>15.506</v>
      </c>
      <c r="U43" s="79">
        <f>P32</f>
        <v>4.8539373677422587E-2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134.922</v>
      </c>
      <c r="U44" s="79">
        <f>P34</f>
        <v>0.42235453213628338</v>
      </c>
    </row>
    <row r="45" spans="1:48" x14ac:dyDescent="0.2">
      <c r="A45" s="6" t="s">
        <v>57</v>
      </c>
      <c r="B45" s="91">
        <f>B23-B39</f>
        <v>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12581.52</v>
      </c>
      <c r="O45" s="89">
        <f>B45+N45</f>
        <v>12581.52</v>
      </c>
      <c r="P45" s="83"/>
      <c r="Q45" s="83"/>
      <c r="R45" s="83"/>
      <c r="S45" s="83" t="s">
        <v>58</v>
      </c>
      <c r="T45" s="90">
        <f>SUM(T39:T44)</f>
        <v>319.452</v>
      </c>
      <c r="U45" s="78">
        <f>SUM(U39:U44)</f>
        <v>1</v>
      </c>
    </row>
    <row r="46" spans="1:48" x14ac:dyDescent="0.2">
      <c r="A46" s="6"/>
      <c r="B46" s="93" t="e">
        <f>B45/B23</f>
        <v>#DIV/0!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7"/>
      <c r="G48" s="17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7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7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 enableFormatConditionsCalculation="0"/>
  <dimension ref="A1:AV67"/>
  <sheetViews>
    <sheetView topLeftCell="J14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4" width="8.83203125" style="2"/>
    <col min="15" max="15" width="10.16406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63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633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20917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21550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135"/>
      <c r="T13" s="135"/>
      <c r="U13" s="135"/>
      <c r="V13" s="135"/>
      <c r="W13" s="136"/>
    </row>
    <row r="14" spans="1:35" x14ac:dyDescent="0.2">
      <c r="A14" s="4" t="s">
        <v>63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135"/>
      <c r="T14" s="135"/>
      <c r="U14" s="135"/>
      <c r="V14" s="135"/>
      <c r="W14" s="136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135"/>
      <c r="T15" s="135"/>
      <c r="U15" s="135"/>
      <c r="V15" s="135"/>
      <c r="W15" s="136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137"/>
      <c r="T16" s="137"/>
      <c r="U16" s="137"/>
      <c r="V16" s="137"/>
      <c r="W16" s="137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19">
        <v>10600</v>
      </c>
      <c r="C18" s="119">
        <f>200/0.9</f>
        <v>222.22222222222223</v>
      </c>
      <c r="D18" s="10">
        <v>0</v>
      </c>
      <c r="E18" s="10">
        <v>0</v>
      </c>
      <c r="F18" s="10">
        <v>0</v>
      </c>
      <c r="G18" s="119">
        <f>9800/0.9</f>
        <v>10888.888888888889</v>
      </c>
      <c r="H18" s="10">
        <v>0</v>
      </c>
      <c r="I18" s="10"/>
      <c r="J18" s="10"/>
      <c r="K18" s="10"/>
      <c r="L18" s="119"/>
      <c r="M18" s="10"/>
      <c r="N18" s="10"/>
      <c r="O18" s="119">
        <f>SUM(C18:N18)</f>
        <v>11111.111111111111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371.54975111111116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19">
        <f>B18</f>
        <v>10600</v>
      </c>
      <c r="C23" s="119">
        <f>C18</f>
        <v>222.22222222222223</v>
      </c>
      <c r="D23" s="10">
        <v>0</v>
      </c>
      <c r="E23" s="10">
        <v>0</v>
      </c>
      <c r="F23" s="10">
        <v>0</v>
      </c>
      <c r="G23" s="119">
        <f>G18</f>
        <v>10888.888888888889</v>
      </c>
      <c r="H23" s="10">
        <v>0</v>
      </c>
      <c r="I23" s="10"/>
      <c r="J23" s="10"/>
      <c r="K23" s="10"/>
      <c r="L23" s="119"/>
      <c r="M23" s="10"/>
      <c r="N23" s="10"/>
      <c r="O23" s="119">
        <f>SUM(C23:H23)</f>
        <v>11111.111111111111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184.01364000000001</v>
      </c>
      <c r="U24" s="78">
        <f>N43</f>
        <v>0.49525975848378684</v>
      </c>
    </row>
    <row r="25" spans="1:2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47.747888888888887</v>
      </c>
      <c r="U25" s="79">
        <f>G43</f>
        <v>0.12851008174840625</v>
      </c>
    </row>
    <row r="26" spans="1:2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8.6479999999999997</v>
      </c>
      <c r="U27" s="78">
        <f>F43</f>
        <v>2.3275483227046583E-2</v>
      </c>
    </row>
    <row r="28" spans="1:21" x14ac:dyDescent="0.2">
      <c r="A28" s="4" t="s">
        <v>63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0</v>
      </c>
      <c r="U28" s="78">
        <f>E43</f>
        <v>0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21">
        <f>C39-SUM(C32:C38)</f>
        <v>9137</v>
      </c>
      <c r="D31" s="10">
        <v>0</v>
      </c>
      <c r="E31" s="10">
        <v>0</v>
      </c>
      <c r="F31" s="10">
        <v>550</v>
      </c>
      <c r="G31" s="10">
        <v>0</v>
      </c>
      <c r="H31" s="10">
        <v>0</v>
      </c>
      <c r="I31" s="10"/>
      <c r="J31" s="10"/>
      <c r="K31" s="10"/>
      <c r="L31" s="10"/>
      <c r="N31" s="10">
        <v>10643</v>
      </c>
      <c r="O31" s="121">
        <v>20331</v>
      </c>
      <c r="P31" s="80">
        <f>O31/O$39</f>
        <v>5.7236725420808592E-2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0">
        <v>720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/>
      <c r="J32" s="10"/>
      <c r="K32" s="10"/>
      <c r="L32" s="10"/>
      <c r="N32" s="10">
        <v>16612</v>
      </c>
      <c r="O32" s="10">
        <v>17332</v>
      </c>
      <c r="P32" s="80">
        <f>O32/O$39</f>
        <v>4.8793808715432326E-2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19">
        <v>6400</v>
      </c>
      <c r="C33" s="10">
        <v>7371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12823</v>
      </c>
      <c r="O33" s="119">
        <v>26594</v>
      </c>
      <c r="P33" s="80">
        <f>O33/O$39</f>
        <v>7.4868598487087878E-2</v>
      </c>
      <c r="Q33" s="81" t="s">
        <v>39</v>
      </c>
      <c r="R33" s="75"/>
      <c r="S33" s="75" t="s">
        <v>35</v>
      </c>
      <c r="T33" s="77">
        <f>C42/1000</f>
        <v>131.14022222222221</v>
      </c>
      <c r="U33" s="79">
        <f>C43</f>
        <v>0.35295467654076029</v>
      </c>
    </row>
    <row r="34" spans="1:48" x14ac:dyDescent="0.2">
      <c r="A34" s="8" t="s">
        <v>40</v>
      </c>
      <c r="B34" s="10">
        <v>0</v>
      </c>
      <c r="C34" s="10">
        <v>112271</v>
      </c>
      <c r="D34" s="10">
        <v>0</v>
      </c>
      <c r="E34" s="10">
        <v>0</v>
      </c>
      <c r="F34" s="10">
        <v>8098</v>
      </c>
      <c r="G34" s="10">
        <v>0</v>
      </c>
      <c r="H34" s="10">
        <v>0</v>
      </c>
      <c r="I34" s="10"/>
      <c r="J34" s="10"/>
      <c r="K34" s="10"/>
      <c r="L34" s="10"/>
      <c r="N34" s="10">
        <v>536</v>
      </c>
      <c r="O34" s="10">
        <v>120905</v>
      </c>
      <c r="P34" s="80">
        <f>O34/O$39</f>
        <v>0.34037707377909909</v>
      </c>
      <c r="Q34" s="81" t="s">
        <v>41</v>
      </c>
      <c r="R34" s="75"/>
      <c r="S34" s="75"/>
      <c r="T34" s="77">
        <f>SUM(T24:T33)</f>
        <v>371.54975111111111</v>
      </c>
      <c r="U34" s="78">
        <f>SUM(U24:U33)</f>
        <v>0.99999999999999989</v>
      </c>
    </row>
    <row r="35" spans="1:48" x14ac:dyDescent="0.2">
      <c r="A35" s="8" t="s">
        <v>42</v>
      </c>
      <c r="B35" s="10">
        <v>0</v>
      </c>
      <c r="C35" s="10">
        <v>479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20448</v>
      </c>
      <c r="O35" s="10">
        <v>20927</v>
      </c>
      <c r="P35" s="80">
        <f>O35/O$39</f>
        <v>5.8914610834747992E-2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19">
        <v>100</v>
      </c>
      <c r="C36" s="10">
        <v>840</v>
      </c>
      <c r="D36" s="10">
        <v>0</v>
      </c>
      <c r="E36" s="10">
        <v>0</v>
      </c>
      <c r="F36" s="10">
        <v>0</v>
      </c>
      <c r="G36" s="10">
        <v>36859</v>
      </c>
      <c r="H36" s="10">
        <v>0</v>
      </c>
      <c r="I36" s="10"/>
      <c r="J36" s="10"/>
      <c r="K36" s="10"/>
      <c r="L36" s="10"/>
      <c r="N36" s="10">
        <v>67669</v>
      </c>
      <c r="O36" s="119">
        <v>105468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19">
        <v>1900</v>
      </c>
      <c r="C37" s="121">
        <f>100</f>
        <v>100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21">
        <v>9066</v>
      </c>
      <c r="O37" s="119">
        <v>11066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21">
        <f>N39-SUM(N31:N37)</f>
        <v>32586</v>
      </c>
      <c r="O38" s="121">
        <v>32586</v>
      </c>
      <c r="P38" s="81">
        <f>SUM(P31:P35)</f>
        <v>0.58019081723717592</v>
      </c>
      <c r="Q38" s="81"/>
      <c r="R38" s="75"/>
      <c r="S38" s="83" t="s">
        <v>47</v>
      </c>
      <c r="T38" s="86">
        <f>O45/1000</f>
        <v>15.830639999999999</v>
      </c>
      <c r="U38" s="83"/>
    </row>
    <row r="39" spans="1:48" x14ac:dyDescent="0.2">
      <c r="A39" s="8" t="s">
        <v>16</v>
      </c>
      <c r="B39" s="119">
        <v>8400</v>
      </c>
      <c r="C39" s="10">
        <v>130918</v>
      </c>
      <c r="D39" s="10">
        <v>0</v>
      </c>
      <c r="E39" s="10">
        <v>0</v>
      </c>
      <c r="F39" s="10">
        <v>8648</v>
      </c>
      <c r="G39" s="10">
        <v>36859</v>
      </c>
      <c r="H39" s="10">
        <v>0</v>
      </c>
      <c r="I39" s="10"/>
      <c r="J39" s="10"/>
      <c r="K39" s="10"/>
      <c r="L39" s="10"/>
      <c r="N39" s="10">
        <v>170383</v>
      </c>
      <c r="O39" s="119">
        <v>355209</v>
      </c>
      <c r="P39" s="75"/>
      <c r="Q39" s="75"/>
      <c r="R39" s="75"/>
      <c r="S39" s="83" t="s">
        <v>48</v>
      </c>
      <c r="T39" s="90">
        <f>O41/1000</f>
        <v>149.12</v>
      </c>
      <c r="U39" s="78">
        <f>P41</f>
        <v>0.41980918276282414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20.927</v>
      </c>
      <c r="U40" s="79">
        <f>P35</f>
        <v>5.8914610834747992E-2</v>
      </c>
    </row>
    <row r="41" spans="1:48" x14ac:dyDescent="0.2">
      <c r="A41" s="14" t="s">
        <v>50</v>
      </c>
      <c r="B41" s="85">
        <f>B38+B37+B36</f>
        <v>2000</v>
      </c>
      <c r="C41" s="85">
        <f t="shared" ref="C41:O41" si="0">C38+C37+C36</f>
        <v>940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36859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109321</v>
      </c>
      <c r="O41" s="85">
        <f t="shared" si="0"/>
        <v>149120</v>
      </c>
      <c r="P41" s="80">
        <f>O41/O$39</f>
        <v>0.41980918276282414</v>
      </c>
      <c r="Q41" s="80" t="s">
        <v>51</v>
      </c>
      <c r="R41" s="83"/>
      <c r="S41" s="83" t="s">
        <v>52</v>
      </c>
      <c r="T41" s="90">
        <f>O33/1000</f>
        <v>26.594000000000001</v>
      </c>
      <c r="U41" s="78">
        <f>P33</f>
        <v>7.4868598487087878E-2</v>
      </c>
    </row>
    <row r="42" spans="1:48" x14ac:dyDescent="0.2">
      <c r="A42" s="15" t="s">
        <v>53</v>
      </c>
      <c r="B42" s="85"/>
      <c r="C42" s="88">
        <f>C39+C23+C10</f>
        <v>131140.22222222222</v>
      </c>
      <c r="D42" s="88">
        <f t="shared" ref="D42:M42" si="1">D39+D23+D10</f>
        <v>0</v>
      </c>
      <c r="E42" s="88">
        <f t="shared" si="1"/>
        <v>0</v>
      </c>
      <c r="F42" s="88">
        <f t="shared" si="1"/>
        <v>8648</v>
      </c>
      <c r="G42" s="88">
        <f t="shared" si="1"/>
        <v>47747.888888888891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184013.64</v>
      </c>
      <c r="O42" s="89">
        <f>SUM(C42:N42)</f>
        <v>371549.75111111114</v>
      </c>
      <c r="P42" s="83"/>
      <c r="Q42" s="83"/>
      <c r="R42" s="83"/>
      <c r="S42" s="83" t="s">
        <v>34</v>
      </c>
      <c r="T42" s="90">
        <f>O31/1000</f>
        <v>20.331</v>
      </c>
      <c r="U42" s="78">
        <f>P31</f>
        <v>5.7236725420808592E-2</v>
      </c>
    </row>
    <row r="43" spans="1:48" x14ac:dyDescent="0.2">
      <c r="A43" s="15" t="s">
        <v>54</v>
      </c>
      <c r="B43" s="85"/>
      <c r="C43" s="80">
        <f t="shared" ref="C43:N43" si="2">C42/$O42</f>
        <v>0.35295467654076029</v>
      </c>
      <c r="D43" s="80">
        <f t="shared" si="2"/>
        <v>0</v>
      </c>
      <c r="E43" s="80">
        <f t="shared" si="2"/>
        <v>0</v>
      </c>
      <c r="F43" s="80">
        <f t="shared" si="2"/>
        <v>2.3275483227046583E-2</v>
      </c>
      <c r="G43" s="80">
        <f t="shared" si="2"/>
        <v>0.12851008174840625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0.49525975848378684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17.332000000000001</v>
      </c>
      <c r="U43" s="79">
        <f>P32</f>
        <v>4.8793808715432326E-2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120.905</v>
      </c>
      <c r="U44" s="79">
        <f>P34</f>
        <v>0.34037707377909909</v>
      </c>
    </row>
    <row r="45" spans="1:48" x14ac:dyDescent="0.2">
      <c r="A45" s="6" t="s">
        <v>57</v>
      </c>
      <c r="B45" s="91">
        <f>B23-B39</f>
        <v>2200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13630.64</v>
      </c>
      <c r="O45" s="89">
        <f>B45+N45</f>
        <v>15830.64</v>
      </c>
      <c r="P45" s="83"/>
      <c r="Q45" s="83"/>
      <c r="R45" s="83"/>
      <c r="S45" s="83" t="s">
        <v>58</v>
      </c>
      <c r="T45" s="90">
        <f>SUM(T39:T44)</f>
        <v>355.20899999999995</v>
      </c>
      <c r="U45" s="78">
        <f>SUM(U39:U44)</f>
        <v>1</v>
      </c>
    </row>
    <row r="46" spans="1:48" x14ac:dyDescent="0.2">
      <c r="A46" s="6"/>
      <c r="B46" s="93">
        <f>B45/B23</f>
        <v>0.20754716981132076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38"/>
      <c r="B49" s="139"/>
      <c r="C49" s="138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38"/>
      <c r="B50" s="139"/>
      <c r="C50" s="138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7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39"/>
      <c r="B51" s="10"/>
      <c r="C51" s="138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7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B52" s="140"/>
      <c r="C52" s="138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7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8"/>
      <c r="B53" s="142"/>
      <c r="C53" s="138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7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8"/>
      <c r="B54" s="141"/>
      <c r="C54" s="143"/>
      <c r="D54" s="18"/>
      <c r="E54" s="18"/>
      <c r="F54" s="18"/>
      <c r="G54" s="18"/>
      <c r="H54" s="18"/>
      <c r="I54" s="18"/>
      <c r="J54" s="18"/>
      <c r="K54" s="18"/>
      <c r="L54" s="6"/>
      <c r="M54" s="29"/>
      <c r="N54" s="19"/>
      <c r="O54" s="7"/>
      <c r="P54" s="6"/>
      <c r="Q54" s="12"/>
      <c r="R54" s="7"/>
      <c r="S54" s="7"/>
      <c r="T54" s="6"/>
      <c r="U54" s="20"/>
    </row>
    <row r="55" spans="1:48" x14ac:dyDescent="0.2">
      <c r="A55" s="8"/>
      <c r="B55" s="141"/>
      <c r="C55" s="143"/>
      <c r="D55" s="18"/>
      <c r="E55" s="18"/>
      <c r="F55" s="18"/>
      <c r="G55" s="18"/>
      <c r="H55" s="18"/>
      <c r="I55" s="18"/>
      <c r="J55" s="18"/>
      <c r="K55" s="18"/>
      <c r="L55" s="6"/>
      <c r="M55" s="29"/>
      <c r="N55" s="19"/>
      <c r="O55" s="7"/>
      <c r="P55" s="6"/>
      <c r="Q55" s="12"/>
      <c r="R55" s="7"/>
      <c r="S55" s="7"/>
      <c r="T55" s="6"/>
      <c r="U55" s="20"/>
    </row>
    <row r="56" spans="1:48" x14ac:dyDescent="0.2">
      <c r="A56" s="8"/>
      <c r="B56" s="142"/>
      <c r="C56" s="143"/>
      <c r="D56" s="18"/>
      <c r="E56" s="18"/>
      <c r="F56" s="18"/>
      <c r="G56" s="18"/>
      <c r="H56" s="18"/>
      <c r="I56" s="18"/>
      <c r="J56" s="18"/>
      <c r="K56" s="18"/>
      <c r="L56" s="6"/>
      <c r="M56" s="29"/>
      <c r="N56" s="19"/>
      <c r="O56" s="7"/>
      <c r="P56" s="6"/>
      <c r="Q56" s="12"/>
      <c r="R56" s="7"/>
      <c r="S56" s="7"/>
      <c r="T56" s="6"/>
      <c r="U56" s="20"/>
    </row>
    <row r="57" spans="1:48" x14ac:dyDescent="0.2">
      <c r="A57" s="8"/>
      <c r="B57" s="142"/>
      <c r="C57" s="143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8"/>
      <c r="B58" s="141"/>
      <c r="C58" s="144"/>
      <c r="D58" s="7"/>
      <c r="E58" s="7"/>
      <c r="F58" s="7"/>
      <c r="G58" s="7"/>
      <c r="H58" s="7"/>
      <c r="I58" s="7"/>
      <c r="J58" s="7"/>
      <c r="K58" s="7"/>
      <c r="L58" s="6"/>
      <c r="M58" s="29"/>
      <c r="N58" s="19"/>
      <c r="O58" s="7"/>
      <c r="P58" s="6"/>
      <c r="Q58" s="12"/>
      <c r="R58" s="7"/>
      <c r="S58" s="7"/>
      <c r="T58" s="21"/>
      <c r="U58" s="22"/>
    </row>
    <row r="59" spans="1:48" x14ac:dyDescent="0.2">
      <c r="A59" s="8"/>
      <c r="B59" s="142"/>
      <c r="C59" s="144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6"/>
    </row>
    <row r="60" spans="1:48" x14ac:dyDescent="0.2">
      <c r="A60" s="144"/>
      <c r="B60" s="145"/>
      <c r="C60" s="145"/>
      <c r="D60" s="23"/>
      <c r="E60" s="23"/>
      <c r="F60" s="23"/>
      <c r="G60" s="23"/>
      <c r="H60" s="23"/>
      <c r="I60" s="23"/>
      <c r="J60" s="7"/>
      <c r="K60" s="7"/>
      <c r="L60" s="7"/>
      <c r="M60" s="7"/>
      <c r="N60" s="7"/>
      <c r="O60" s="7"/>
      <c r="P60" s="7"/>
      <c r="Q60" s="7"/>
      <c r="R60" s="7"/>
      <c r="S60" s="7"/>
      <c r="T60" s="23"/>
      <c r="U60" s="24"/>
    </row>
    <row r="61" spans="1:48" x14ac:dyDescent="0.2">
      <c r="A61" s="7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  <c r="N61" s="7"/>
      <c r="O61" s="7"/>
      <c r="P61" s="6"/>
      <c r="Q61" s="19"/>
      <c r="R61" s="7"/>
      <c r="S61" s="7"/>
      <c r="T61" s="6"/>
      <c r="U61" s="20"/>
    </row>
    <row r="62" spans="1:48" x14ac:dyDescent="0.2">
      <c r="A62" s="7"/>
      <c r="B62" s="6"/>
      <c r="C62" s="6"/>
      <c r="D62" s="6"/>
      <c r="E62" s="6"/>
      <c r="F62" s="6"/>
      <c r="G62" s="6"/>
      <c r="H62" s="6"/>
      <c r="I62" s="6"/>
      <c r="J62" s="7"/>
      <c r="K62" s="7"/>
      <c r="L62" s="7"/>
      <c r="M62" s="7"/>
      <c r="N62" s="7"/>
      <c r="O62" s="7"/>
      <c r="P62" s="6"/>
      <c r="Q62" s="19"/>
      <c r="R62" s="7"/>
      <c r="S62" s="7"/>
      <c r="T62" s="6"/>
      <c r="U62" s="20"/>
    </row>
    <row r="63" spans="1:48" x14ac:dyDescent="0.2">
      <c r="A63" s="7"/>
      <c r="B63" s="6"/>
      <c r="C63" s="6"/>
      <c r="D63" s="6"/>
      <c r="E63" s="6"/>
      <c r="F63" s="6"/>
      <c r="G63" s="6"/>
      <c r="H63" s="6"/>
      <c r="I63" s="6"/>
      <c r="J63" s="7"/>
      <c r="K63" s="7"/>
      <c r="L63" s="7"/>
      <c r="M63" s="7"/>
      <c r="N63" s="7"/>
      <c r="O63" s="7"/>
      <c r="P63" s="6"/>
      <c r="Q63" s="19"/>
      <c r="R63" s="7"/>
      <c r="S63" s="7"/>
      <c r="T63" s="6"/>
      <c r="U63" s="20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21"/>
      <c r="C67" s="21"/>
      <c r="D67" s="21"/>
      <c r="E67" s="21"/>
      <c r="F67" s="21"/>
      <c r="G67" s="21"/>
      <c r="H67" s="21"/>
      <c r="I67" s="21"/>
      <c r="J67" s="7"/>
      <c r="K67" s="7"/>
      <c r="L67" s="7"/>
      <c r="M67" s="7"/>
      <c r="N67" s="7"/>
      <c r="O67" s="7"/>
      <c r="P67" s="21"/>
      <c r="Q67" s="25"/>
      <c r="R67" s="7"/>
      <c r="S67" s="26"/>
      <c r="T67" s="21"/>
      <c r="U67" s="25"/>
    </row>
  </sheetData>
  <pageMargins left="0.75" right="0.75" top="0.75" bottom="0.5" header="0.5" footer="0.7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V70"/>
  <sheetViews>
    <sheetView topLeftCell="C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64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229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21">
        <v>4792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5" x14ac:dyDescent="0.2">
      <c r="A10" s="8" t="s">
        <v>16</v>
      </c>
      <c r="B10" s="155">
        <f>SUM(B4:B9)</f>
        <v>5021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  <c r="S10" s="8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73"/>
    </row>
    <row r="14" spans="1:35" x14ac:dyDescent="0.2">
      <c r="A14" s="4" t="s">
        <v>64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7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7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73"/>
    </row>
    <row r="17" spans="1:3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73"/>
    </row>
    <row r="18" spans="1:31" x14ac:dyDescent="0.2">
      <c r="A18" s="8" t="s">
        <v>21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/>
      <c r="J18" s="10"/>
      <c r="K18" s="10"/>
      <c r="L18" s="10"/>
      <c r="M18" s="10"/>
      <c r="N18" s="10"/>
      <c r="O18" s="10">
        <v>0</v>
      </c>
      <c r="P18" s="168"/>
      <c r="Q18" s="3"/>
      <c r="R18" s="73"/>
    </row>
    <row r="19" spans="1:3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73"/>
      <c r="AA19" s="73"/>
      <c r="AB19" s="73"/>
      <c r="AC19" s="73"/>
      <c r="AD19" s="73"/>
      <c r="AE19" s="72"/>
    </row>
    <row r="20" spans="1:3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71"/>
      <c r="S20" s="71"/>
      <c r="T20" s="71"/>
      <c r="U20" s="71"/>
      <c r="V20" s="72"/>
      <c r="W20" s="72"/>
      <c r="X20" s="72"/>
      <c r="Y20" s="72"/>
      <c r="Z20" s="72"/>
      <c r="AA20" s="72"/>
      <c r="AB20" s="72"/>
      <c r="AC20" s="72"/>
      <c r="AD20" s="72"/>
      <c r="AE20" s="72"/>
    </row>
    <row r="21" spans="1:3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365.20479999999998</v>
      </c>
      <c r="U21" s="75"/>
    </row>
    <row r="22" spans="1:3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31" x14ac:dyDescent="0.2">
      <c r="A23" s="8" t="s">
        <v>16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/>
      <c r="J23" s="10"/>
      <c r="K23" s="10"/>
      <c r="L23" s="10"/>
      <c r="M23" s="10"/>
      <c r="N23" s="10"/>
      <c r="O23" s="10">
        <v>0</v>
      </c>
      <c r="P23" s="75"/>
      <c r="Q23" s="75"/>
      <c r="R23" s="75"/>
      <c r="S23" s="75"/>
      <c r="T23" s="75" t="s">
        <v>27</v>
      </c>
      <c r="U23" s="75" t="s">
        <v>28</v>
      </c>
    </row>
    <row r="24" spans="1:3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160.95779999999999</v>
      </c>
      <c r="U24" s="78">
        <f>N43</f>
        <v>0.44073298050847087</v>
      </c>
    </row>
    <row r="25" spans="1:3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10.446999999999999</v>
      </c>
      <c r="U25" s="79">
        <f>G43</f>
        <v>2.8605867173706372E-2</v>
      </c>
    </row>
    <row r="26" spans="1:3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3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10.723000000000001</v>
      </c>
      <c r="U27" s="78">
        <f>F43</f>
        <v>2.9361607514468594E-2</v>
      </c>
    </row>
    <row r="28" spans="1:31" x14ac:dyDescent="0.2">
      <c r="A28" s="4" t="s">
        <v>64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10.071999999999999</v>
      </c>
      <c r="U28" s="78">
        <f>E43</f>
        <v>2.7579046058540304E-2</v>
      </c>
    </row>
    <row r="29" spans="1:3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3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31" x14ac:dyDescent="0.2">
      <c r="A31" s="8" t="s">
        <v>33</v>
      </c>
      <c r="B31" s="10">
        <v>0</v>
      </c>
      <c r="C31" s="10">
        <v>2439</v>
      </c>
      <c r="D31" s="10">
        <v>0</v>
      </c>
      <c r="E31" s="10">
        <v>0</v>
      </c>
      <c r="F31" s="10">
        <v>252</v>
      </c>
      <c r="G31" s="10">
        <v>0</v>
      </c>
      <c r="H31" s="10">
        <v>0</v>
      </c>
      <c r="I31" s="10"/>
      <c r="J31" s="10"/>
      <c r="K31" s="10"/>
      <c r="L31" s="10"/>
      <c r="N31" s="10">
        <v>5290</v>
      </c>
      <c r="O31" s="10">
        <v>7981</v>
      </c>
      <c r="P31" s="80">
        <f>O31/O$39</f>
        <v>2.2590953994389765E-2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31" x14ac:dyDescent="0.2">
      <c r="A32" s="8" t="s">
        <v>36</v>
      </c>
      <c r="B32" s="10">
        <v>0</v>
      </c>
      <c r="C32" s="121">
        <v>2470</v>
      </c>
      <c r="D32" s="10">
        <v>0</v>
      </c>
      <c r="E32" s="150">
        <v>10072</v>
      </c>
      <c r="F32" s="10">
        <v>0</v>
      </c>
      <c r="G32" s="121">
        <v>5</v>
      </c>
      <c r="H32" s="10">
        <v>0</v>
      </c>
      <c r="I32" s="10"/>
      <c r="J32" s="10"/>
      <c r="K32" s="10"/>
      <c r="L32" s="10"/>
      <c r="N32" s="10">
        <v>29766</v>
      </c>
      <c r="O32" s="10">
        <v>42313</v>
      </c>
      <c r="P32" s="80">
        <f>O32/O$39</f>
        <v>0.11977083527936527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0</v>
      </c>
      <c r="C33" s="10">
        <v>915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9586</v>
      </c>
      <c r="O33" s="10">
        <v>10501</v>
      </c>
      <c r="P33" s="80">
        <f>O33/O$39</f>
        <v>2.9724045595174407E-2</v>
      </c>
      <c r="Q33" s="81" t="s">
        <v>39</v>
      </c>
      <c r="R33" s="75"/>
      <c r="S33" s="75" t="s">
        <v>35</v>
      </c>
      <c r="T33" s="77">
        <f>C42/1000</f>
        <v>173.005</v>
      </c>
      <c r="U33" s="79">
        <f>C43</f>
        <v>0.47372049874481387</v>
      </c>
    </row>
    <row r="34" spans="1:48" x14ac:dyDescent="0.2">
      <c r="A34" s="8" t="s">
        <v>40</v>
      </c>
      <c r="B34" s="10">
        <v>0</v>
      </c>
      <c r="C34" s="10">
        <v>120372</v>
      </c>
      <c r="D34" s="10">
        <v>0</v>
      </c>
      <c r="E34" s="10">
        <v>0</v>
      </c>
      <c r="F34" s="10">
        <v>10471</v>
      </c>
      <c r="G34" s="10">
        <v>0</v>
      </c>
      <c r="H34" s="10">
        <v>0</v>
      </c>
      <c r="I34" s="10"/>
      <c r="J34" s="10"/>
      <c r="K34" s="10"/>
      <c r="L34" s="10"/>
      <c r="N34" s="10">
        <v>161</v>
      </c>
      <c r="O34" s="10">
        <v>131005</v>
      </c>
      <c r="P34" s="80">
        <f>O34/O$39</f>
        <v>0.37082169252412372</v>
      </c>
      <c r="Q34" s="81" t="s">
        <v>41</v>
      </c>
      <c r="R34" s="75"/>
      <c r="S34" s="75"/>
      <c r="T34" s="77">
        <f>SUM(T24:T33)</f>
        <v>365.20479999999998</v>
      </c>
      <c r="U34" s="78">
        <f>SUM(U24:U33)</f>
        <v>1</v>
      </c>
    </row>
    <row r="35" spans="1:48" x14ac:dyDescent="0.2">
      <c r="A35" s="8" t="s">
        <v>42</v>
      </c>
      <c r="B35" s="10">
        <v>0</v>
      </c>
      <c r="C35" s="10">
        <v>46756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24989</v>
      </c>
      <c r="O35" s="10">
        <v>71745</v>
      </c>
      <c r="P35" s="80">
        <f>O35/O$39</f>
        <v>0.20308081622948174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0">
        <v>53</v>
      </c>
      <c r="D36" s="10">
        <v>0</v>
      </c>
      <c r="E36" s="10">
        <v>0</v>
      </c>
      <c r="F36" s="10">
        <v>0</v>
      </c>
      <c r="G36" s="10">
        <v>10442</v>
      </c>
      <c r="H36" s="10">
        <v>0</v>
      </c>
      <c r="I36" s="10"/>
      <c r="J36" s="10"/>
      <c r="K36" s="10"/>
      <c r="L36" s="10"/>
      <c r="N36" s="10">
        <v>57828</v>
      </c>
      <c r="O36" s="10">
        <v>68323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5712</v>
      </c>
      <c r="O37" s="10">
        <v>5712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15703</v>
      </c>
      <c r="O38" s="10">
        <v>15703</v>
      </c>
      <c r="P38" s="81">
        <f>SUM(P31:P35)</f>
        <v>0.74598834362253486</v>
      </c>
      <c r="Q38" s="81"/>
      <c r="R38" s="75"/>
      <c r="S38" s="83" t="s">
        <v>47</v>
      </c>
      <c r="T38" s="86">
        <f>O45/1000</f>
        <v>11.922800000000001</v>
      </c>
      <c r="U38" s="83"/>
    </row>
    <row r="39" spans="1:48" x14ac:dyDescent="0.2">
      <c r="A39" s="8" t="s">
        <v>16</v>
      </c>
      <c r="B39" s="10">
        <v>0</v>
      </c>
      <c r="C39" s="121">
        <f>SUM(C31:C38)</f>
        <v>173005</v>
      </c>
      <c r="D39" s="10">
        <v>0</v>
      </c>
      <c r="E39" s="150">
        <f>SUM(E31:E38)</f>
        <v>10072</v>
      </c>
      <c r="F39" s="10">
        <v>10723</v>
      </c>
      <c r="G39" s="121">
        <f>SUM(G31:G38)</f>
        <v>10447</v>
      </c>
      <c r="H39" s="10">
        <v>0</v>
      </c>
      <c r="I39" s="10"/>
      <c r="J39" s="10"/>
      <c r="K39" s="10"/>
      <c r="L39" s="10"/>
      <c r="N39" s="10">
        <v>149035</v>
      </c>
      <c r="O39" s="10">
        <v>353283</v>
      </c>
      <c r="P39" s="75"/>
      <c r="Q39" s="75"/>
      <c r="R39" s="75"/>
      <c r="S39" s="83" t="s">
        <v>48</v>
      </c>
      <c r="T39" s="90">
        <f>O41/1000</f>
        <v>89.738</v>
      </c>
      <c r="U39" s="78">
        <f>P41</f>
        <v>0.25401165637746509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71.745000000000005</v>
      </c>
      <c r="U40" s="79">
        <f>P35</f>
        <v>0.20308081622948174</v>
      </c>
    </row>
    <row r="41" spans="1:48" x14ac:dyDescent="0.2">
      <c r="A41" s="14" t="s">
        <v>50</v>
      </c>
      <c r="B41" s="85">
        <f>B38+B37+B36</f>
        <v>0</v>
      </c>
      <c r="C41" s="85">
        <f t="shared" ref="C41:O41" si="0">C38+C37+C36</f>
        <v>53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10442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79243</v>
      </c>
      <c r="O41" s="85">
        <f t="shared" si="0"/>
        <v>89738</v>
      </c>
      <c r="P41" s="80">
        <f>O41/O$39</f>
        <v>0.25401165637746509</v>
      </c>
      <c r="Q41" s="80" t="s">
        <v>51</v>
      </c>
      <c r="R41" s="83"/>
      <c r="S41" s="83" t="s">
        <v>52</v>
      </c>
      <c r="T41" s="90">
        <f>O33/1000</f>
        <v>10.500999999999999</v>
      </c>
      <c r="U41" s="78">
        <f>P33</f>
        <v>2.9724045595174407E-2</v>
      </c>
    </row>
    <row r="42" spans="1:48" x14ac:dyDescent="0.2">
      <c r="A42" s="15" t="s">
        <v>53</v>
      </c>
      <c r="B42" s="85"/>
      <c r="C42" s="88">
        <f>C39+C23+C10</f>
        <v>173005</v>
      </c>
      <c r="D42" s="88">
        <f t="shared" ref="D42:M42" si="1">D39+D23+D10</f>
        <v>0</v>
      </c>
      <c r="E42" s="88">
        <f t="shared" si="1"/>
        <v>10072</v>
      </c>
      <c r="F42" s="88">
        <f t="shared" si="1"/>
        <v>10723</v>
      </c>
      <c r="G42" s="88">
        <f t="shared" si="1"/>
        <v>10447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160957.79999999999</v>
      </c>
      <c r="O42" s="89">
        <f>SUM(C42:N42)</f>
        <v>365204.8</v>
      </c>
      <c r="P42" s="83"/>
      <c r="Q42" s="83"/>
      <c r="R42" s="83"/>
      <c r="S42" s="83" t="s">
        <v>34</v>
      </c>
      <c r="T42" s="90">
        <f>O31/1000</f>
        <v>7.9809999999999999</v>
      </c>
      <c r="U42" s="78">
        <f>P31</f>
        <v>2.2590953994389765E-2</v>
      </c>
    </row>
    <row r="43" spans="1:48" x14ac:dyDescent="0.2">
      <c r="A43" s="15" t="s">
        <v>54</v>
      </c>
      <c r="B43" s="85"/>
      <c r="C43" s="80">
        <f t="shared" ref="C43:N43" si="2">C42/$O42</f>
        <v>0.47372049874481387</v>
      </c>
      <c r="D43" s="80">
        <f t="shared" si="2"/>
        <v>0</v>
      </c>
      <c r="E43" s="80">
        <f t="shared" si="2"/>
        <v>2.7579046058540304E-2</v>
      </c>
      <c r="F43" s="80">
        <f t="shared" si="2"/>
        <v>2.9361607514468594E-2</v>
      </c>
      <c r="G43" s="80">
        <f t="shared" si="2"/>
        <v>2.8605867173706372E-2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0.44073298050847087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42.313000000000002</v>
      </c>
      <c r="U43" s="79">
        <f>P32</f>
        <v>0.11977083527936527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131.005</v>
      </c>
      <c r="U44" s="79">
        <f>P34</f>
        <v>0.37082169252412372</v>
      </c>
    </row>
    <row r="45" spans="1:48" x14ac:dyDescent="0.2">
      <c r="A45" s="6" t="s">
        <v>57</v>
      </c>
      <c r="B45" s="91">
        <f>B23-B39</f>
        <v>0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11922.800000000001</v>
      </c>
      <c r="O45" s="89">
        <f>B45+N45</f>
        <v>11922.800000000001</v>
      </c>
      <c r="P45" s="83"/>
      <c r="Q45" s="83"/>
      <c r="R45" s="83"/>
      <c r="S45" s="83" t="s">
        <v>58</v>
      </c>
      <c r="T45" s="90">
        <f>SUM(T39:T44)</f>
        <v>353.28300000000002</v>
      </c>
      <c r="U45" s="78">
        <f>SUM(U39:U44)</f>
        <v>1</v>
      </c>
    </row>
    <row r="46" spans="1:48" x14ac:dyDescent="0.2">
      <c r="A46" s="6"/>
      <c r="B46" s="93">
        <v>0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4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4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6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6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V70"/>
  <sheetViews>
    <sheetView topLeftCell="F8" workbookViewId="0">
      <selection activeCell="U35" sqref="U35"/>
    </sheetView>
  </sheetViews>
  <sheetFormatPr baseColWidth="10" defaultColWidth="8.83203125" defaultRowHeight="16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5" style="2" customWidth="1"/>
    <col min="14" max="15" width="8.83203125" style="2"/>
    <col min="16" max="16" width="10.6640625" style="2" bestFit="1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x14ac:dyDescent="0.2">
      <c r="A2" s="8" t="s">
        <v>65</v>
      </c>
      <c r="R2" s="8"/>
      <c r="AI2" s="8"/>
    </row>
    <row r="3" spans="1:35" x14ac:dyDescent="0.2">
      <c r="A3" s="98">
        <v>2015</v>
      </c>
      <c r="B3" s="91" t="s">
        <v>2</v>
      </c>
      <c r="C3" s="91" t="s">
        <v>35</v>
      </c>
      <c r="D3" s="91" t="s">
        <v>3</v>
      </c>
      <c r="E3" s="91" t="s">
        <v>4</v>
      </c>
      <c r="F3" s="91" t="s">
        <v>19</v>
      </c>
      <c r="G3" s="91" t="s">
        <v>111</v>
      </c>
      <c r="H3" s="91" t="s">
        <v>6</v>
      </c>
      <c r="I3" s="91" t="s">
        <v>5</v>
      </c>
      <c r="J3" s="91" t="s">
        <v>7</v>
      </c>
      <c r="K3" s="91" t="s">
        <v>8</v>
      </c>
      <c r="L3" s="91"/>
      <c r="M3" s="91"/>
      <c r="N3" s="91"/>
      <c r="O3" s="83" t="s">
        <v>11</v>
      </c>
    </row>
    <row r="4" spans="1:35" x14ac:dyDescent="0.2">
      <c r="A4" s="8" t="s">
        <v>124</v>
      </c>
      <c r="B4" s="163">
        <v>150</v>
      </c>
      <c r="Q4" s="8"/>
      <c r="R4" s="10"/>
    </row>
    <row r="5" spans="1:35" x14ac:dyDescent="0.2">
      <c r="Q5" s="8"/>
      <c r="R5" s="10"/>
    </row>
    <row r="6" spans="1:35" x14ac:dyDescent="0.2">
      <c r="A6" s="8" t="s">
        <v>12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/>
      <c r="K6" s="10"/>
      <c r="L6" s="10"/>
      <c r="M6" s="10"/>
      <c r="N6" s="10"/>
      <c r="O6" s="10">
        <v>0</v>
      </c>
      <c r="Q6" s="8"/>
      <c r="R6" s="10"/>
    </row>
    <row r="7" spans="1:35" x14ac:dyDescent="0.2">
      <c r="A7" s="8" t="s">
        <v>13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/>
      <c r="J7" s="10"/>
      <c r="K7" s="10"/>
      <c r="L7" s="10"/>
      <c r="M7" s="10"/>
      <c r="N7" s="10"/>
      <c r="O7" s="10">
        <v>0</v>
      </c>
      <c r="P7" s="10"/>
      <c r="Q7" s="8"/>
      <c r="R7" s="10"/>
    </row>
    <row r="8" spans="1:35" x14ac:dyDescent="0.2">
      <c r="A8" s="8" t="s">
        <v>14</v>
      </c>
      <c r="B8" s="10">
        <v>8614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/>
      <c r="J8" s="10"/>
      <c r="K8" s="10"/>
      <c r="L8" s="10"/>
      <c r="M8" s="10"/>
      <c r="N8" s="10"/>
      <c r="O8" s="10">
        <v>0</v>
      </c>
      <c r="P8" s="10"/>
      <c r="Q8" s="8"/>
      <c r="R8" s="10"/>
    </row>
    <row r="9" spans="1:35" x14ac:dyDescent="0.2">
      <c r="A9" s="8" t="s">
        <v>15</v>
      </c>
      <c r="B9" s="10">
        <v>156324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/>
      <c r="J9" s="10"/>
      <c r="K9" s="10"/>
      <c r="L9" s="10"/>
      <c r="M9" s="10"/>
      <c r="N9" s="10"/>
      <c r="O9" s="10">
        <v>0</v>
      </c>
      <c r="P9" s="10"/>
      <c r="Q9" s="8"/>
      <c r="R9" s="10"/>
    </row>
    <row r="10" spans="1:35" x14ac:dyDescent="0.2">
      <c r="A10" s="8" t="s">
        <v>16</v>
      </c>
      <c r="B10" s="128">
        <f>SUM(B4:B9)</f>
        <v>165088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/>
      <c r="J10" s="10"/>
      <c r="K10" s="10"/>
      <c r="L10" s="10"/>
      <c r="M10" s="10"/>
      <c r="N10" s="10"/>
      <c r="O10" s="10">
        <v>0</v>
      </c>
      <c r="P10" s="10"/>
      <c r="Q10" s="8"/>
      <c r="R10" s="10"/>
    </row>
    <row r="11" spans="1:35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3"/>
      <c r="T11" s="3"/>
      <c r="U11" s="3"/>
    </row>
    <row r="12" spans="1:35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8"/>
      <c r="R12" s="10"/>
      <c r="S12" s="3"/>
      <c r="T12" s="3"/>
      <c r="U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1"/>
      <c r="P13" s="3"/>
      <c r="Q13" s="3"/>
      <c r="R13" s="3"/>
      <c r="S13" s="3"/>
      <c r="T13" s="3"/>
      <c r="U13" s="3"/>
    </row>
    <row r="14" spans="1:35" x14ac:dyDescent="0.2">
      <c r="A14" s="4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3"/>
      <c r="Q14" s="3"/>
      <c r="R14" s="3"/>
      <c r="S14" s="3"/>
      <c r="T14" s="3"/>
      <c r="U14" s="3"/>
    </row>
    <row r="15" spans="1:35" x14ac:dyDescent="0.2">
      <c r="B15" s="91" t="s">
        <v>18</v>
      </c>
      <c r="C15" s="91" t="s">
        <v>35</v>
      </c>
      <c r="D15" s="91" t="s">
        <v>3</v>
      </c>
      <c r="E15" s="91" t="s">
        <v>4</v>
      </c>
      <c r="F15" s="91" t="s">
        <v>19</v>
      </c>
      <c r="G15" s="91" t="s">
        <v>111</v>
      </c>
      <c r="H15" s="91" t="s">
        <v>6</v>
      </c>
      <c r="I15" s="91" t="s">
        <v>5</v>
      </c>
      <c r="J15" s="91" t="s">
        <v>7</v>
      </c>
      <c r="K15" s="91" t="s">
        <v>8</v>
      </c>
      <c r="L15" s="91"/>
      <c r="M15" s="91"/>
      <c r="N15" s="91" t="s">
        <v>10</v>
      </c>
      <c r="O15" s="97" t="s">
        <v>11</v>
      </c>
      <c r="P15" s="3"/>
      <c r="Q15" s="3"/>
      <c r="R15" s="3"/>
      <c r="S15" s="3"/>
      <c r="T15" s="3"/>
      <c r="U15" s="3"/>
    </row>
    <row r="16" spans="1:35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3"/>
      <c r="Q16" s="3"/>
      <c r="R16" s="3"/>
      <c r="S16" s="3"/>
      <c r="T16" s="3"/>
      <c r="U16" s="3"/>
    </row>
    <row r="17" spans="1:21" x14ac:dyDescent="0.2">
      <c r="A17" s="8" t="s">
        <v>20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/>
      <c r="J17" s="10"/>
      <c r="K17" s="10"/>
      <c r="L17" s="10"/>
      <c r="M17" s="10"/>
      <c r="N17" s="10"/>
      <c r="O17" s="10">
        <v>0</v>
      </c>
      <c r="P17" s="3"/>
      <c r="Q17" s="3"/>
      <c r="R17" s="3"/>
      <c r="S17" s="3"/>
      <c r="T17" s="3"/>
      <c r="U17" s="3"/>
    </row>
    <row r="18" spans="1:21" x14ac:dyDescent="0.2">
      <c r="A18" s="8" t="s">
        <v>21</v>
      </c>
      <c r="B18" s="10">
        <v>7348</v>
      </c>
      <c r="C18" s="10">
        <v>0</v>
      </c>
      <c r="D18" s="10">
        <v>0</v>
      </c>
      <c r="E18" s="10">
        <v>0</v>
      </c>
      <c r="F18" s="10">
        <v>127</v>
      </c>
      <c r="G18" s="10">
        <v>8063</v>
      </c>
      <c r="H18" s="10">
        <v>0</v>
      </c>
      <c r="I18" s="10"/>
      <c r="J18" s="10"/>
      <c r="K18" s="10"/>
      <c r="L18" s="10"/>
      <c r="M18" s="10"/>
      <c r="N18" s="10"/>
      <c r="O18" s="10">
        <v>8190</v>
      </c>
      <c r="P18" s="168"/>
      <c r="Q18" s="3"/>
      <c r="R18" s="3"/>
      <c r="S18" s="3"/>
      <c r="T18" s="3"/>
      <c r="U18" s="3"/>
    </row>
    <row r="19" spans="1:21" x14ac:dyDescent="0.2">
      <c r="A19" s="8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/>
      <c r="J19" s="10"/>
      <c r="K19" s="10"/>
      <c r="L19" s="10"/>
      <c r="M19" s="10"/>
      <c r="N19" s="10"/>
      <c r="O19" s="10">
        <v>0</v>
      </c>
      <c r="P19" s="3"/>
      <c r="Q19" s="3"/>
      <c r="R19" s="3"/>
      <c r="S19" s="3"/>
      <c r="T19" s="3"/>
      <c r="U19" s="3"/>
    </row>
    <row r="20" spans="1:21" x14ac:dyDescent="0.2">
      <c r="A20" s="8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/>
      <c r="J20" s="10"/>
      <c r="K20" s="10"/>
      <c r="L20" s="10"/>
      <c r="M20" s="10"/>
      <c r="N20" s="10"/>
      <c r="O20" s="10">
        <v>0</v>
      </c>
      <c r="P20" s="3"/>
      <c r="Q20" s="3"/>
      <c r="R20" s="3"/>
      <c r="S20" s="3"/>
      <c r="T20" s="3"/>
      <c r="U20" s="3"/>
    </row>
    <row r="21" spans="1:21" x14ac:dyDescent="0.2">
      <c r="A21" s="8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/>
      <c r="J21" s="10"/>
      <c r="K21" s="10"/>
      <c r="L21" s="10"/>
      <c r="M21" s="10"/>
      <c r="N21" s="10"/>
      <c r="O21" s="10">
        <v>0</v>
      </c>
      <c r="P21" s="75"/>
      <c r="Q21" s="75"/>
      <c r="R21" s="75"/>
      <c r="S21" s="75" t="s">
        <v>26</v>
      </c>
      <c r="T21" s="76">
        <f>O42/1000</f>
        <v>682.40767999999991</v>
      </c>
      <c r="U21" s="75"/>
    </row>
    <row r="22" spans="1:21" x14ac:dyDescent="0.2">
      <c r="A22" s="8" t="s">
        <v>25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/>
      <c r="J22" s="10"/>
      <c r="K22" s="10"/>
      <c r="L22" s="10"/>
      <c r="M22" s="10"/>
      <c r="N22" s="10"/>
      <c r="O22" s="10">
        <v>0</v>
      </c>
      <c r="P22" s="75"/>
      <c r="Q22" s="75"/>
      <c r="R22" s="75"/>
      <c r="S22" s="75"/>
      <c r="T22" s="75"/>
      <c r="U22" s="75"/>
    </row>
    <row r="23" spans="1:21" x14ac:dyDescent="0.2">
      <c r="A23" s="8" t="s">
        <v>16</v>
      </c>
      <c r="B23" s="10">
        <v>7348</v>
      </c>
      <c r="C23" s="10">
        <v>0</v>
      </c>
      <c r="D23" s="10">
        <v>0</v>
      </c>
      <c r="E23" s="10">
        <v>0</v>
      </c>
      <c r="F23" s="10">
        <v>127</v>
      </c>
      <c r="G23" s="10">
        <v>8063</v>
      </c>
      <c r="H23" s="10">
        <v>0</v>
      </c>
      <c r="I23" s="10"/>
      <c r="J23" s="10"/>
      <c r="K23" s="10"/>
      <c r="L23" s="10"/>
      <c r="M23" s="10"/>
      <c r="N23" s="10"/>
      <c r="O23" s="10">
        <v>8190</v>
      </c>
      <c r="P23" s="75"/>
      <c r="Q23" s="75"/>
      <c r="R23" s="75"/>
      <c r="S23" s="75"/>
      <c r="T23" s="75" t="s">
        <v>27</v>
      </c>
      <c r="U23" s="75" t="s">
        <v>28</v>
      </c>
    </row>
    <row r="24" spans="1:2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75"/>
      <c r="Q24" s="75"/>
      <c r="R24" s="75"/>
      <c r="S24" s="75" t="s">
        <v>10</v>
      </c>
      <c r="T24" s="77">
        <f>N42/1000</f>
        <v>408.18167999999997</v>
      </c>
      <c r="U24" s="78">
        <f>N43</f>
        <v>0.59814930570535196</v>
      </c>
    </row>
    <row r="25" spans="1:21" x14ac:dyDescent="0.2">
      <c r="B25" s="118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75"/>
      <c r="Q25" s="75"/>
      <c r="R25" s="75"/>
      <c r="S25" s="75" t="s">
        <v>111</v>
      </c>
      <c r="T25" s="77">
        <f>G42/1000</f>
        <v>38.067999999999998</v>
      </c>
      <c r="U25" s="79">
        <f>G43</f>
        <v>5.5784835246871785E-2</v>
      </c>
    </row>
    <row r="26" spans="1:21" x14ac:dyDescent="0.2">
      <c r="B26" s="10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75"/>
      <c r="Q26" s="75"/>
      <c r="R26" s="75"/>
      <c r="S26" s="75" t="s">
        <v>7</v>
      </c>
      <c r="T26" s="77">
        <f>J42/1000</f>
        <v>0</v>
      </c>
      <c r="U26" s="78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75"/>
      <c r="Q27" s="75"/>
      <c r="R27" s="75"/>
      <c r="S27" s="75" t="s">
        <v>31</v>
      </c>
      <c r="T27" s="77">
        <f>F42/1000</f>
        <v>14.15</v>
      </c>
      <c r="U27" s="78">
        <f>F43</f>
        <v>2.0735405556983184E-2</v>
      </c>
    </row>
    <row r="28" spans="1:21" x14ac:dyDescent="0.2">
      <c r="A28" s="4" t="s">
        <v>65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75"/>
      <c r="Q28" s="75"/>
      <c r="R28" s="75"/>
      <c r="S28" s="75" t="s">
        <v>4</v>
      </c>
      <c r="T28" s="76">
        <f>E42/1000</f>
        <v>61.3</v>
      </c>
      <c r="U28" s="78">
        <f>E43</f>
        <v>8.9829000752160354E-2</v>
      </c>
    </row>
    <row r="29" spans="1:21" x14ac:dyDescent="0.2">
      <c r="B29" s="91" t="s">
        <v>30</v>
      </c>
      <c r="C29" s="91" t="s">
        <v>35</v>
      </c>
      <c r="D29" s="91" t="s">
        <v>3</v>
      </c>
      <c r="E29" s="91" t="s">
        <v>4</v>
      </c>
      <c r="F29" s="91" t="s">
        <v>31</v>
      </c>
      <c r="G29" s="91" t="s">
        <v>111</v>
      </c>
      <c r="H29" s="91" t="s">
        <v>6</v>
      </c>
      <c r="I29" s="91" t="s">
        <v>5</v>
      </c>
      <c r="J29" s="91" t="s">
        <v>7</v>
      </c>
      <c r="K29" s="91" t="s">
        <v>8</v>
      </c>
      <c r="L29" s="91" t="s">
        <v>9</v>
      </c>
      <c r="M29" s="91" t="s">
        <v>9</v>
      </c>
      <c r="N29" s="91" t="s">
        <v>10</v>
      </c>
      <c r="O29" s="91" t="s">
        <v>32</v>
      </c>
      <c r="P29" s="75"/>
      <c r="Q29" s="75"/>
      <c r="R29" s="75"/>
      <c r="S29" s="82" t="s">
        <v>3</v>
      </c>
      <c r="T29" s="82">
        <f>D42/1000</f>
        <v>0</v>
      </c>
      <c r="U29" s="96">
        <f>D43</f>
        <v>0</v>
      </c>
    </row>
    <row r="30" spans="1:21" x14ac:dyDescent="0.2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75"/>
      <c r="Q30" s="75"/>
      <c r="R30" s="75"/>
      <c r="S30" s="82" t="s">
        <v>8</v>
      </c>
      <c r="T30" s="82">
        <f>K42/1000</f>
        <v>0</v>
      </c>
      <c r="U30" s="96">
        <f>K43</f>
        <v>0</v>
      </c>
    </row>
    <row r="31" spans="1:21" x14ac:dyDescent="0.2">
      <c r="A31" s="8" t="s">
        <v>33</v>
      </c>
      <c r="B31" s="10">
        <v>0</v>
      </c>
      <c r="C31" s="10">
        <v>10410</v>
      </c>
      <c r="D31" s="10">
        <v>0</v>
      </c>
      <c r="E31" s="10">
        <v>0</v>
      </c>
      <c r="F31" s="10">
        <v>1043</v>
      </c>
      <c r="G31" s="10">
        <v>0</v>
      </c>
      <c r="H31" s="10">
        <v>0</v>
      </c>
      <c r="I31" s="10"/>
      <c r="J31" s="10"/>
      <c r="K31" s="10"/>
      <c r="L31" s="10"/>
      <c r="N31" s="10">
        <v>8845</v>
      </c>
      <c r="O31" s="10">
        <v>20298</v>
      </c>
      <c r="P31" s="80">
        <f>O31/O$39</f>
        <v>3.1219095049209524E-2</v>
      </c>
      <c r="Q31" s="81" t="s">
        <v>34</v>
      </c>
      <c r="R31" s="75"/>
      <c r="S31" s="75" t="s">
        <v>5</v>
      </c>
      <c r="T31" s="77">
        <f>I42/1000</f>
        <v>0</v>
      </c>
      <c r="U31" s="78">
        <f>I43</f>
        <v>0</v>
      </c>
    </row>
    <row r="32" spans="1:21" x14ac:dyDescent="0.2">
      <c r="A32" s="8" t="s">
        <v>36</v>
      </c>
      <c r="B32" s="10">
        <v>0</v>
      </c>
      <c r="C32" s="121">
        <v>5</v>
      </c>
      <c r="D32" s="10">
        <v>0</v>
      </c>
      <c r="E32" s="147">
        <v>61300</v>
      </c>
      <c r="F32" s="10">
        <v>0</v>
      </c>
      <c r="G32" s="121">
        <v>5</v>
      </c>
      <c r="H32" s="10">
        <v>0</v>
      </c>
      <c r="I32" s="10"/>
      <c r="J32" s="10"/>
      <c r="K32" s="10"/>
      <c r="L32" s="10"/>
      <c r="N32" s="121">
        <v>292187</v>
      </c>
      <c r="O32" s="121">
        <f>O39-SUM(O33:O38,O31)</f>
        <v>353497</v>
      </c>
      <c r="P32" s="80">
        <f>O32/O$39</f>
        <v>0.54369181410042466</v>
      </c>
      <c r="Q32" s="81" t="s">
        <v>37</v>
      </c>
      <c r="R32" s="75"/>
      <c r="S32" s="75" t="s">
        <v>6</v>
      </c>
      <c r="T32" s="77">
        <f>H42/1000</f>
        <v>0</v>
      </c>
      <c r="U32" s="78">
        <f>H43</f>
        <v>0</v>
      </c>
    </row>
    <row r="33" spans="1:48" x14ac:dyDescent="0.2">
      <c r="A33" s="8" t="s">
        <v>38</v>
      </c>
      <c r="B33" s="10">
        <v>3195</v>
      </c>
      <c r="C33" s="10">
        <v>355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/>
      <c r="J33" s="10"/>
      <c r="K33" s="10"/>
      <c r="L33" s="10"/>
      <c r="N33" s="10">
        <v>7716</v>
      </c>
      <c r="O33" s="10">
        <v>11267</v>
      </c>
      <c r="P33" s="80">
        <f>O33/O$39</f>
        <v>1.7329073993469491E-2</v>
      </c>
      <c r="Q33" s="81" t="s">
        <v>39</v>
      </c>
      <c r="R33" s="75"/>
      <c r="S33" s="75" t="s">
        <v>35</v>
      </c>
      <c r="T33" s="77">
        <f>C42/1000</f>
        <v>160.708</v>
      </c>
      <c r="U33" s="79">
        <f>C43</f>
        <v>0.23550145273863274</v>
      </c>
    </row>
    <row r="34" spans="1:48" x14ac:dyDescent="0.2">
      <c r="A34" s="8" t="s">
        <v>40</v>
      </c>
      <c r="B34" s="10">
        <v>0</v>
      </c>
      <c r="C34" s="10">
        <v>149226</v>
      </c>
      <c r="D34" s="10">
        <v>0</v>
      </c>
      <c r="E34" s="10">
        <v>0</v>
      </c>
      <c r="F34" s="10">
        <v>12980</v>
      </c>
      <c r="G34" s="10">
        <v>0</v>
      </c>
      <c r="H34" s="10">
        <v>0</v>
      </c>
      <c r="I34" s="10"/>
      <c r="J34" s="10"/>
      <c r="K34" s="10"/>
      <c r="L34" s="10"/>
      <c r="N34" s="10">
        <v>136</v>
      </c>
      <c r="O34" s="10">
        <v>162342</v>
      </c>
      <c r="P34" s="80">
        <f>O34/O$39</f>
        <v>0.24968816279824479</v>
      </c>
      <c r="Q34" s="81" t="s">
        <v>41</v>
      </c>
      <c r="R34" s="75"/>
      <c r="S34" s="75"/>
      <c r="T34" s="77">
        <f>SUM(T24:T33)</f>
        <v>682.40767999999991</v>
      </c>
      <c r="U34" s="78">
        <f>SUM(U24:U33)</f>
        <v>1</v>
      </c>
    </row>
    <row r="35" spans="1:48" x14ac:dyDescent="0.2">
      <c r="A35" s="8" t="s">
        <v>42</v>
      </c>
      <c r="B35" s="10">
        <v>252</v>
      </c>
      <c r="C35" s="10">
        <v>304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/>
      <c r="J35" s="10"/>
      <c r="K35" s="10"/>
      <c r="L35" s="10"/>
      <c r="N35" s="10">
        <v>19765</v>
      </c>
      <c r="O35" s="10">
        <v>20322</v>
      </c>
      <c r="P35" s="80">
        <f>O35/O$39</f>
        <v>3.1256007960884617E-2</v>
      </c>
      <c r="Q35" s="81" t="s">
        <v>43</v>
      </c>
      <c r="R35" s="81"/>
      <c r="S35" s="82"/>
      <c r="T35" s="82"/>
      <c r="U35" s="82"/>
    </row>
    <row r="36" spans="1:48" x14ac:dyDescent="0.2">
      <c r="A36" s="8" t="s">
        <v>44</v>
      </c>
      <c r="B36" s="10">
        <v>0</v>
      </c>
      <c r="C36" s="10">
        <v>258</v>
      </c>
      <c r="D36" s="10">
        <v>0</v>
      </c>
      <c r="E36" s="10">
        <v>0</v>
      </c>
      <c r="F36" s="10">
        <v>0</v>
      </c>
      <c r="G36" s="121">
        <v>30000</v>
      </c>
      <c r="H36" s="10">
        <v>0</v>
      </c>
      <c r="I36" s="10"/>
      <c r="J36" s="10"/>
      <c r="K36" s="10"/>
      <c r="L36" s="10"/>
      <c r="N36" s="10">
        <v>40380</v>
      </c>
      <c r="O36" s="121">
        <f>SUM(C36:N36)</f>
        <v>70638</v>
      </c>
      <c r="P36" s="81"/>
      <c r="Q36" s="81"/>
      <c r="R36" s="75"/>
      <c r="S36" s="83"/>
      <c r="T36" s="83"/>
      <c r="U36" s="83"/>
    </row>
    <row r="37" spans="1:48" x14ac:dyDescent="0.2">
      <c r="A37" s="8" t="s">
        <v>45</v>
      </c>
      <c r="B37" s="10">
        <v>2748</v>
      </c>
      <c r="C37" s="10">
        <v>150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/>
      <c r="J37" s="10"/>
      <c r="K37" s="10"/>
      <c r="L37" s="10"/>
      <c r="N37" s="10">
        <v>4132</v>
      </c>
      <c r="O37" s="10">
        <v>7030</v>
      </c>
      <c r="P37" s="81"/>
      <c r="Q37" s="81"/>
      <c r="R37" s="75"/>
      <c r="S37" s="83"/>
      <c r="T37" s="83" t="s">
        <v>27</v>
      </c>
      <c r="U37" s="83" t="s">
        <v>28</v>
      </c>
    </row>
    <row r="38" spans="1:48" x14ac:dyDescent="0.2">
      <c r="A38" s="8" t="s">
        <v>46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/>
      <c r="J38" s="10"/>
      <c r="K38" s="10"/>
      <c r="L38" s="10"/>
      <c r="N38" s="10">
        <v>4785</v>
      </c>
      <c r="O38" s="10">
        <v>4785</v>
      </c>
      <c r="P38" s="81">
        <f>SUM(P31:P35)</f>
        <v>0.87318415390223303</v>
      </c>
      <c r="Q38" s="81"/>
      <c r="R38" s="75"/>
      <c r="S38" s="83" t="s">
        <v>47</v>
      </c>
      <c r="T38" s="86">
        <f>O45/1000</f>
        <v>31.388680000000001</v>
      </c>
      <c r="U38" s="83"/>
    </row>
    <row r="39" spans="1:48" x14ac:dyDescent="0.2">
      <c r="A39" s="8" t="s">
        <v>16</v>
      </c>
      <c r="B39" s="10">
        <v>6195</v>
      </c>
      <c r="C39" s="121">
        <f>SUM(C31:C38)</f>
        <v>160708</v>
      </c>
      <c r="D39" s="10">
        <v>0</v>
      </c>
      <c r="E39" s="147">
        <f>E32</f>
        <v>61300</v>
      </c>
      <c r="F39" s="10">
        <v>14023</v>
      </c>
      <c r="G39" s="121">
        <f>SUM(G31:G38)</f>
        <v>30005</v>
      </c>
      <c r="H39" s="10">
        <v>0</v>
      </c>
      <c r="I39" s="10"/>
      <c r="J39" s="10"/>
      <c r="K39" s="10"/>
      <c r="L39" s="10"/>
      <c r="N39" s="121">
        <f>SUM(N31:N38)</f>
        <v>377946</v>
      </c>
      <c r="O39" s="10">
        <v>650179</v>
      </c>
      <c r="P39" s="75"/>
      <c r="Q39" s="75"/>
      <c r="R39" s="75"/>
      <c r="S39" s="83" t="s">
        <v>48</v>
      </c>
      <c r="T39" s="90">
        <f>O41/1000</f>
        <v>82.453000000000003</v>
      </c>
      <c r="U39" s="78">
        <f>P41</f>
        <v>0.12681584609776692</v>
      </c>
    </row>
    <row r="40" spans="1:48" x14ac:dyDescent="0.2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82"/>
      <c r="Q40" s="82"/>
      <c r="R40" s="82"/>
      <c r="S40" s="83" t="s">
        <v>49</v>
      </c>
      <c r="T40" s="90">
        <f>O35/1000</f>
        <v>20.321999999999999</v>
      </c>
      <c r="U40" s="79">
        <f>P35</f>
        <v>3.1256007960884617E-2</v>
      </c>
    </row>
    <row r="41" spans="1:48" x14ac:dyDescent="0.2">
      <c r="A41" s="14" t="s">
        <v>50</v>
      </c>
      <c r="B41" s="85">
        <f>B38+B37+B36</f>
        <v>2748</v>
      </c>
      <c r="C41" s="85">
        <f t="shared" ref="C41:O41" si="0">C38+C37+C36</f>
        <v>408</v>
      </c>
      <c r="D41" s="85">
        <f t="shared" si="0"/>
        <v>0</v>
      </c>
      <c r="E41" s="85">
        <f t="shared" si="0"/>
        <v>0</v>
      </c>
      <c r="F41" s="85">
        <f t="shared" si="0"/>
        <v>0</v>
      </c>
      <c r="G41" s="85">
        <f t="shared" si="0"/>
        <v>30000</v>
      </c>
      <c r="H41" s="85">
        <f t="shared" si="0"/>
        <v>0</v>
      </c>
      <c r="I41" s="85">
        <f t="shared" si="0"/>
        <v>0</v>
      </c>
      <c r="J41" s="85">
        <f t="shared" si="0"/>
        <v>0</v>
      </c>
      <c r="K41" s="85">
        <f t="shared" si="0"/>
        <v>0</v>
      </c>
      <c r="L41" s="85">
        <f t="shared" si="0"/>
        <v>0</v>
      </c>
      <c r="M41" s="85">
        <f t="shared" si="0"/>
        <v>0</v>
      </c>
      <c r="N41" s="85">
        <f t="shared" si="0"/>
        <v>49297</v>
      </c>
      <c r="O41" s="85">
        <f t="shared" si="0"/>
        <v>82453</v>
      </c>
      <c r="P41" s="80">
        <f>O41/O$39</f>
        <v>0.12681584609776692</v>
      </c>
      <c r="Q41" s="80" t="s">
        <v>51</v>
      </c>
      <c r="R41" s="83"/>
      <c r="S41" s="83" t="s">
        <v>52</v>
      </c>
      <c r="T41" s="90">
        <f>O33/1000</f>
        <v>11.266999999999999</v>
      </c>
      <c r="U41" s="78">
        <f>P33</f>
        <v>1.7329073993469491E-2</v>
      </c>
    </row>
    <row r="42" spans="1:48" x14ac:dyDescent="0.2">
      <c r="A42" s="15" t="s">
        <v>53</v>
      </c>
      <c r="B42" s="85"/>
      <c r="C42" s="88">
        <f>C39+C23+C10</f>
        <v>160708</v>
      </c>
      <c r="D42" s="88">
        <f t="shared" ref="D42:M42" si="1">D39+D23+D10</f>
        <v>0</v>
      </c>
      <c r="E42" s="88">
        <f t="shared" si="1"/>
        <v>61300</v>
      </c>
      <c r="F42" s="88">
        <f t="shared" si="1"/>
        <v>14150</v>
      </c>
      <c r="G42" s="88">
        <f t="shared" si="1"/>
        <v>38068</v>
      </c>
      <c r="H42" s="88">
        <f t="shared" si="1"/>
        <v>0</v>
      </c>
      <c r="I42" s="88">
        <f t="shared" si="1"/>
        <v>0</v>
      </c>
      <c r="J42" s="88">
        <f t="shared" si="1"/>
        <v>0</v>
      </c>
      <c r="K42" s="88">
        <f t="shared" si="1"/>
        <v>0</v>
      </c>
      <c r="L42" s="88">
        <f t="shared" si="1"/>
        <v>0</v>
      </c>
      <c r="M42" s="88">
        <f t="shared" si="1"/>
        <v>0</v>
      </c>
      <c r="N42" s="88">
        <f>N39+N23-B6+N45</f>
        <v>408181.68</v>
      </c>
      <c r="O42" s="89">
        <f>SUM(C42:N42)</f>
        <v>682407.67999999993</v>
      </c>
      <c r="P42" s="83"/>
      <c r="Q42" s="83"/>
      <c r="R42" s="83"/>
      <c r="S42" s="83" t="s">
        <v>34</v>
      </c>
      <c r="T42" s="90">
        <f>O31/1000</f>
        <v>20.297999999999998</v>
      </c>
      <c r="U42" s="78">
        <f>P31</f>
        <v>3.1219095049209524E-2</v>
      </c>
    </row>
    <row r="43" spans="1:48" x14ac:dyDescent="0.2">
      <c r="A43" s="15" t="s">
        <v>54</v>
      </c>
      <c r="B43" s="85"/>
      <c r="C43" s="80">
        <f t="shared" ref="C43:N43" si="2">C42/$O42</f>
        <v>0.23550145273863274</v>
      </c>
      <c r="D43" s="80">
        <f t="shared" si="2"/>
        <v>0</v>
      </c>
      <c r="E43" s="80">
        <f t="shared" si="2"/>
        <v>8.9829000752160354E-2</v>
      </c>
      <c r="F43" s="80">
        <f t="shared" si="2"/>
        <v>2.0735405556983184E-2</v>
      </c>
      <c r="G43" s="80">
        <f t="shared" si="2"/>
        <v>5.5784835246871785E-2</v>
      </c>
      <c r="H43" s="80">
        <f t="shared" si="2"/>
        <v>0</v>
      </c>
      <c r="I43" s="80">
        <f t="shared" si="2"/>
        <v>0</v>
      </c>
      <c r="J43" s="80">
        <f t="shared" si="2"/>
        <v>0</v>
      </c>
      <c r="K43" s="80">
        <f t="shared" si="2"/>
        <v>0</v>
      </c>
      <c r="L43" s="80">
        <f t="shared" si="2"/>
        <v>0</v>
      </c>
      <c r="M43" s="80">
        <f t="shared" si="2"/>
        <v>0</v>
      </c>
      <c r="N43" s="80">
        <f t="shared" si="2"/>
        <v>0.59814930570535196</v>
      </c>
      <c r="O43" s="80">
        <f>SUM(C43:N43)</f>
        <v>1</v>
      </c>
      <c r="P43" s="83"/>
      <c r="Q43" s="83"/>
      <c r="R43" s="83"/>
      <c r="S43" s="83" t="s">
        <v>55</v>
      </c>
      <c r="T43" s="90">
        <f>O32/1000</f>
        <v>353.49700000000001</v>
      </c>
      <c r="U43" s="79">
        <f>P32</f>
        <v>0.54369181410042466</v>
      </c>
    </row>
    <row r="44" spans="1:48" x14ac:dyDescent="0.2">
      <c r="A44" s="6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83"/>
      <c r="Q44" s="83"/>
      <c r="R44" s="83"/>
      <c r="S44" s="83" t="s">
        <v>56</v>
      </c>
      <c r="T44" s="90">
        <f>O34/1000</f>
        <v>162.34200000000001</v>
      </c>
      <c r="U44" s="79">
        <f>P34</f>
        <v>0.24968816279824479</v>
      </c>
    </row>
    <row r="45" spans="1:48" x14ac:dyDescent="0.2">
      <c r="A45" s="6" t="s">
        <v>57</v>
      </c>
      <c r="B45" s="91">
        <f>B23-B39</f>
        <v>1153</v>
      </c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2">
        <f>N39*0.08</f>
        <v>30235.68</v>
      </c>
      <c r="O45" s="89">
        <f>B45+N45</f>
        <v>31388.68</v>
      </c>
      <c r="P45" s="83"/>
      <c r="Q45" s="83"/>
      <c r="R45" s="83"/>
      <c r="S45" s="83" t="s">
        <v>58</v>
      </c>
      <c r="T45" s="90">
        <f>SUM(T39:T44)</f>
        <v>650.17899999999997</v>
      </c>
      <c r="U45" s="78">
        <f>SUM(U39:U44)</f>
        <v>1</v>
      </c>
    </row>
    <row r="46" spans="1:48" x14ac:dyDescent="0.2">
      <c r="A46" s="6"/>
      <c r="B46" s="93">
        <f>B45/B23</f>
        <v>0.15691344583560152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29"/>
      <c r="N46"/>
      <c r="O46" s="6"/>
      <c r="P46" s="7"/>
      <c r="Q46" s="7"/>
      <c r="R46" s="7"/>
    </row>
    <row r="47" spans="1:48" x14ac:dyDescent="0.2">
      <c r="A47" s="4"/>
      <c r="B47" s="4"/>
      <c r="C47" s="16"/>
      <c r="D47" s="16"/>
      <c r="E47" s="16"/>
      <c r="F47" s="16"/>
      <c r="G47" s="9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4"/>
      <c r="S47" s="4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4"/>
      <c r="AI47" s="4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</row>
    <row r="48" spans="1:48" x14ac:dyDescent="0.2">
      <c r="A48" s="16"/>
      <c r="B48" s="4"/>
      <c r="C48" s="16"/>
      <c r="D48" s="17"/>
      <c r="E48" s="16"/>
      <c r="F48" s="17"/>
      <c r="G48" s="16"/>
      <c r="H48" s="17"/>
      <c r="I48" s="16"/>
      <c r="J48" s="16"/>
      <c r="K48" s="16"/>
      <c r="L48" s="16"/>
      <c r="M48" s="16"/>
      <c r="N48" s="16"/>
      <c r="O48" s="16"/>
      <c r="P48" s="17"/>
      <c r="Q48" s="16"/>
      <c r="R48" s="16"/>
      <c r="S48" s="4"/>
      <c r="T48" s="17"/>
      <c r="U48" s="16"/>
      <c r="V48" s="16"/>
      <c r="W48" s="16"/>
      <c r="X48" s="17"/>
      <c r="Y48" s="17"/>
      <c r="Z48" s="16"/>
      <c r="AA48" s="16"/>
      <c r="AB48" s="16"/>
      <c r="AC48" s="16"/>
      <c r="AD48" s="16"/>
      <c r="AE48" s="16"/>
      <c r="AF48" s="17"/>
      <c r="AG48" s="16"/>
      <c r="AH48" s="16"/>
      <c r="AI48" s="4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</row>
    <row r="49" spans="1:48" x14ac:dyDescent="0.2">
      <c r="A49" s="16"/>
      <c r="B49" s="4"/>
      <c r="C49" s="17"/>
      <c r="D49" s="17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4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4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</row>
    <row r="50" spans="1:48" x14ac:dyDescent="0.2">
      <c r="A50" s="16"/>
      <c r="B50" s="4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4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4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</row>
    <row r="51" spans="1:48" x14ac:dyDescent="0.2">
      <c r="A51" s="16"/>
      <c r="B51" s="4"/>
      <c r="C51" s="17"/>
      <c r="D51" s="17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4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4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</row>
    <row r="52" spans="1:48" x14ac:dyDescent="0.2">
      <c r="A52" s="16"/>
      <c r="B52" s="4"/>
      <c r="C52" s="16"/>
      <c r="D52" s="17"/>
      <c r="E52" s="16"/>
      <c r="F52" s="16"/>
      <c r="G52" s="16"/>
      <c r="H52" s="17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4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4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</row>
    <row r="53" spans="1:48" x14ac:dyDescent="0.2">
      <c r="A53" s="16"/>
      <c r="B53" s="4"/>
      <c r="C53" s="17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7"/>
      <c r="Q53" s="16"/>
      <c r="R53" s="16"/>
      <c r="S53" s="4"/>
      <c r="T53" s="17"/>
      <c r="U53" s="16"/>
      <c r="V53" s="16"/>
      <c r="W53" s="16"/>
      <c r="X53" s="17"/>
      <c r="Y53" s="17"/>
      <c r="Z53" s="16"/>
      <c r="AA53" s="16"/>
      <c r="AB53" s="16"/>
      <c r="AC53" s="16"/>
      <c r="AD53" s="16"/>
      <c r="AE53" s="16"/>
      <c r="AF53" s="17"/>
      <c r="AG53" s="16"/>
      <c r="AH53" s="16"/>
      <c r="AI53" s="4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</row>
    <row r="54" spans="1:48" x14ac:dyDescent="0.2">
      <c r="A54" s="16"/>
      <c r="B54" s="4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4"/>
      <c r="T54" s="17"/>
      <c r="U54" s="16"/>
      <c r="V54" s="16"/>
      <c r="W54" s="16"/>
      <c r="X54" s="17"/>
      <c r="Y54" s="17"/>
      <c r="Z54" s="16"/>
      <c r="AA54" s="16"/>
      <c r="AB54" s="16"/>
      <c r="AC54" s="16"/>
      <c r="AD54" s="16"/>
      <c r="AE54" s="16"/>
      <c r="AF54" s="17"/>
      <c r="AG54" s="16"/>
      <c r="AH54" s="16"/>
      <c r="AI54" s="4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</row>
    <row r="55" spans="1:48" x14ac:dyDescent="0.2">
      <c r="A55" s="16"/>
      <c r="B55" s="4"/>
      <c r="C55" s="17"/>
      <c r="D55" s="16"/>
      <c r="E55" s="16"/>
      <c r="F55" s="17"/>
      <c r="G55" s="16"/>
      <c r="H55" s="17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4"/>
      <c r="T55" s="17"/>
      <c r="U55" s="16"/>
      <c r="V55" s="16"/>
      <c r="W55" s="16"/>
      <c r="X55" s="17"/>
      <c r="Y55" s="17"/>
      <c r="Z55" s="16"/>
      <c r="AA55" s="16"/>
      <c r="AB55" s="16"/>
      <c r="AC55" s="16"/>
      <c r="AD55" s="16"/>
      <c r="AE55" s="16"/>
      <c r="AF55" s="17"/>
      <c r="AG55" s="16"/>
      <c r="AH55" s="16"/>
      <c r="AI55" s="4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</row>
    <row r="56" spans="1:48" x14ac:dyDescent="0.2">
      <c r="A56" s="16"/>
      <c r="B56" s="4"/>
      <c r="C56" s="17"/>
      <c r="D56" s="16"/>
      <c r="E56" s="16"/>
      <c r="F56" s="17"/>
      <c r="G56" s="16"/>
      <c r="H56" s="17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4"/>
      <c r="T56" s="17"/>
      <c r="U56" s="16"/>
      <c r="V56" s="16"/>
      <c r="W56" s="16"/>
      <c r="X56" s="17"/>
      <c r="Y56" s="17"/>
      <c r="Z56" s="16"/>
      <c r="AA56" s="16"/>
      <c r="AB56" s="16"/>
      <c r="AC56" s="16"/>
      <c r="AD56" s="16"/>
      <c r="AE56" s="16"/>
      <c r="AF56" s="17"/>
      <c r="AG56" s="16"/>
      <c r="AH56" s="16"/>
      <c r="AI56" s="4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</row>
    <row r="57" spans="1:48" x14ac:dyDescent="0.2">
      <c r="A57" s="7"/>
      <c r="B57" s="7"/>
      <c r="C57" s="18"/>
      <c r="D57" s="18"/>
      <c r="E57" s="18"/>
      <c r="F57" s="18"/>
      <c r="G57" s="18"/>
      <c r="H57" s="18"/>
      <c r="I57" s="18"/>
      <c r="J57" s="18"/>
      <c r="K57" s="18"/>
      <c r="L57" s="6"/>
      <c r="M57" s="29"/>
      <c r="N57" s="19"/>
      <c r="O57" s="7"/>
      <c r="P57" s="6"/>
      <c r="Q57" s="12"/>
      <c r="R57" s="7"/>
      <c r="S57" s="7"/>
      <c r="T57" s="6"/>
      <c r="U57" s="20"/>
    </row>
    <row r="58" spans="1:48" x14ac:dyDescent="0.2">
      <c r="A58" s="7"/>
      <c r="B58" s="7"/>
      <c r="C58" s="18"/>
      <c r="D58" s="18"/>
      <c r="E58" s="18"/>
      <c r="F58" s="18"/>
      <c r="G58" s="18"/>
      <c r="H58" s="18"/>
      <c r="I58" s="18"/>
      <c r="J58" s="18"/>
      <c r="K58" s="18"/>
      <c r="L58" s="6"/>
      <c r="M58" s="29"/>
      <c r="N58" s="19"/>
      <c r="O58" s="7"/>
      <c r="P58" s="6"/>
      <c r="Q58" s="12"/>
      <c r="R58" s="7"/>
      <c r="S58" s="7"/>
      <c r="T58" s="6"/>
      <c r="U58" s="20"/>
    </row>
    <row r="59" spans="1:48" x14ac:dyDescent="0.2">
      <c r="A59" s="7"/>
      <c r="B59" s="7"/>
      <c r="C59" s="18"/>
      <c r="D59" s="18"/>
      <c r="E59" s="18"/>
      <c r="F59" s="18"/>
      <c r="G59" s="18"/>
      <c r="H59" s="18"/>
      <c r="I59" s="18"/>
      <c r="J59" s="18"/>
      <c r="K59" s="18"/>
      <c r="L59" s="6"/>
      <c r="M59" s="29"/>
      <c r="N59" s="19"/>
      <c r="O59" s="7"/>
      <c r="P59" s="6"/>
      <c r="Q59" s="12"/>
      <c r="R59" s="7"/>
      <c r="S59" s="7"/>
      <c r="T59" s="6"/>
      <c r="U59" s="20"/>
    </row>
    <row r="60" spans="1:48" x14ac:dyDescent="0.2">
      <c r="A60" s="15"/>
      <c r="B60" s="7"/>
      <c r="C60" s="18"/>
      <c r="D60" s="18"/>
      <c r="E60" s="18"/>
      <c r="F60" s="18"/>
      <c r="G60" s="18"/>
      <c r="H60" s="18"/>
      <c r="I60" s="18"/>
      <c r="J60" s="18"/>
      <c r="K60" s="18"/>
      <c r="L60" s="6"/>
      <c r="M60" s="29"/>
      <c r="N60" s="19"/>
      <c r="O60" s="7"/>
      <c r="P60" s="6"/>
      <c r="Q60" s="12"/>
      <c r="R60" s="7"/>
      <c r="S60" s="7"/>
      <c r="T60" s="6"/>
      <c r="U60" s="20"/>
    </row>
    <row r="61" spans="1:48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29"/>
      <c r="N61" s="19"/>
      <c r="O61" s="7"/>
      <c r="P61" s="6"/>
      <c r="Q61" s="12"/>
      <c r="R61" s="7"/>
      <c r="S61" s="7"/>
      <c r="T61" s="21"/>
      <c r="U61" s="2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23"/>
      <c r="C63" s="23"/>
      <c r="D63" s="23"/>
      <c r="E63" s="23"/>
      <c r="F63" s="23"/>
      <c r="G63" s="23"/>
      <c r="H63" s="23"/>
      <c r="I63" s="23"/>
      <c r="J63" s="7"/>
      <c r="K63" s="7"/>
      <c r="L63" s="7"/>
      <c r="M63" s="7"/>
      <c r="N63" s="7"/>
      <c r="O63" s="7"/>
      <c r="P63" s="7"/>
      <c r="Q63" s="7"/>
      <c r="R63" s="7"/>
      <c r="S63" s="7"/>
      <c r="T63" s="23"/>
      <c r="U63" s="24"/>
    </row>
    <row r="64" spans="1:48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19"/>
      <c r="R64" s="7"/>
      <c r="S64" s="7"/>
      <c r="T64" s="6"/>
      <c r="U64" s="20"/>
    </row>
    <row r="65" spans="1:21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19"/>
      <c r="R65" s="7"/>
      <c r="S65" s="7"/>
      <c r="T65" s="6"/>
      <c r="U65" s="20"/>
    </row>
    <row r="66" spans="1:21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19"/>
      <c r="R66" s="7"/>
      <c r="S66" s="7"/>
      <c r="T66" s="6"/>
      <c r="U66" s="20"/>
    </row>
    <row r="67" spans="1:21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19"/>
      <c r="R67" s="7"/>
      <c r="S67" s="7"/>
      <c r="T67" s="6"/>
      <c r="U67" s="20"/>
    </row>
    <row r="68" spans="1:21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19"/>
      <c r="R68" s="7"/>
      <c r="S68" s="7"/>
      <c r="T68" s="6"/>
      <c r="U68" s="20"/>
    </row>
    <row r="69" spans="1:21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19"/>
      <c r="R69" s="7"/>
      <c r="S69" s="7"/>
      <c r="T69" s="6"/>
      <c r="U69" s="20"/>
    </row>
    <row r="70" spans="1:21" x14ac:dyDescent="0.2">
      <c r="A70" s="7"/>
      <c r="B70" s="21"/>
      <c r="C70" s="21"/>
      <c r="D70" s="21"/>
      <c r="E70" s="21"/>
      <c r="F70" s="21"/>
      <c r="G70" s="21"/>
      <c r="H70" s="21"/>
      <c r="I70" s="21"/>
      <c r="J70" s="7"/>
      <c r="K70" s="7"/>
      <c r="L70" s="7"/>
      <c r="M70" s="7"/>
      <c r="N70" s="7"/>
      <c r="O70" s="7"/>
      <c r="P70" s="21"/>
      <c r="Q70" s="25"/>
      <c r="R70" s="7"/>
      <c r="S70" s="26"/>
      <c r="T70" s="21"/>
      <c r="U70" s="25"/>
    </row>
  </sheetData>
  <pageMargins left="0.75" right="0.75" top="0.75" bottom="0.5" header="0.5" footer="0.75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7D6991A-53C5-4A28-9574-0E844FE87E15}"/>
</file>

<file path=customXml/itemProps2.xml><?xml version="1.0" encoding="utf-8"?>
<ds:datastoreItem xmlns:ds="http://schemas.openxmlformats.org/officeDocument/2006/customXml" ds:itemID="{F08CFE19-7594-4A4C-B2B0-947535309D09}"/>
</file>

<file path=customXml/itemProps3.xml><?xml version="1.0" encoding="utf-8"?>
<ds:datastoreItem xmlns:ds="http://schemas.openxmlformats.org/officeDocument/2006/customXml" ds:itemID="{55A6A5EA-19EA-4D0B-8906-42DDC2AA0D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54</vt:i4>
      </vt:variant>
    </vt:vector>
  </HeadingPairs>
  <TitlesOfParts>
    <vt:vector size="54" baseType="lpstr">
      <vt:lpstr>Vgötalands län</vt:lpstr>
      <vt:lpstr>Härryda</vt:lpstr>
      <vt:lpstr>Partille</vt:lpstr>
      <vt:lpstr>Öckerö</vt:lpstr>
      <vt:lpstr>Stenungsund</vt:lpstr>
      <vt:lpstr>Tjörn</vt:lpstr>
      <vt:lpstr>Orust</vt:lpstr>
      <vt:lpstr>Sotenäs</vt:lpstr>
      <vt:lpstr>Munkedal</vt:lpstr>
      <vt:lpstr>Tanum</vt:lpstr>
      <vt:lpstr>Dals-Ed</vt:lpstr>
      <vt:lpstr>Färgelanda</vt:lpstr>
      <vt:lpstr>Ale</vt:lpstr>
      <vt:lpstr>Lerum</vt:lpstr>
      <vt:lpstr>Vårgårda</vt:lpstr>
      <vt:lpstr>Bollebygd</vt:lpstr>
      <vt:lpstr>Grästorp</vt:lpstr>
      <vt:lpstr>Essunga</vt:lpstr>
      <vt:lpstr>Karlsborg</vt:lpstr>
      <vt:lpstr>Gullspång</vt:lpstr>
      <vt:lpstr>Tranemo</vt:lpstr>
      <vt:lpstr>Bengtsfors</vt:lpstr>
      <vt:lpstr>Mellerud</vt:lpstr>
      <vt:lpstr>Lilla Edet</vt:lpstr>
      <vt:lpstr>Mark</vt:lpstr>
      <vt:lpstr>Svenljunga</vt:lpstr>
      <vt:lpstr>Herrljunga</vt:lpstr>
      <vt:lpstr>Vara</vt:lpstr>
      <vt:lpstr>Götene</vt:lpstr>
      <vt:lpstr>Tibro</vt:lpstr>
      <vt:lpstr>Töreboda</vt:lpstr>
      <vt:lpstr>Göteborg</vt:lpstr>
      <vt:lpstr>Mölndal</vt:lpstr>
      <vt:lpstr>Kungälv</vt:lpstr>
      <vt:lpstr>Lysekil</vt:lpstr>
      <vt:lpstr>Uddevalla</vt:lpstr>
      <vt:lpstr>Strömstad</vt:lpstr>
      <vt:lpstr>Vänersborg</vt:lpstr>
      <vt:lpstr>Trollhättan</vt:lpstr>
      <vt:lpstr>Alingsås</vt:lpstr>
      <vt:lpstr>Borås</vt:lpstr>
      <vt:lpstr>Ulricehamn</vt:lpstr>
      <vt:lpstr>Åmål</vt:lpstr>
      <vt:lpstr>Mariestad</vt:lpstr>
      <vt:lpstr>Lidköping</vt:lpstr>
      <vt:lpstr>Skara</vt:lpstr>
      <vt:lpstr>Skövde</vt:lpstr>
      <vt:lpstr>Hjo</vt:lpstr>
      <vt:lpstr>Tidaholm</vt:lpstr>
      <vt:lpstr>Falköping</vt:lpstr>
      <vt:lpstr>Blad1</vt:lpstr>
      <vt:lpstr>Blad2</vt:lpstr>
      <vt:lpstr>Blad3</vt:lpstr>
      <vt:lpstr>Blad4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2016-02-06T11:49:27Z</dcterms:created>
  <dcterms:modified xsi:type="dcterms:W3CDTF">2017-08-27T14:22:57Z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