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16.xml" ContentType="application/vnd.openxmlformats-officedocument.spreadsheetml.comments+xml"/>
  <Override PartName="/xl/comments10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11.xml" ContentType="application/vnd.openxmlformats-officedocument.spreadsheetml.comments+xml"/>
  <Override PartName="/xl/comments15.xml" ContentType="application/vnd.openxmlformats-officedocument.spreadsheetml.comments+xml"/>
  <Override PartName="/xl/comments14.xml" ContentType="application/vnd.openxmlformats-officedocument.spreadsheetml.comments+xml"/>
  <Override PartName="/xl/comments13.xml" ContentType="application/vnd.openxmlformats-officedocument.spreadsheetml.comments+xml"/>
  <Override PartName="/xl/comments3.xml" ContentType="application/vnd.openxmlformats-officedocument.spreadsheetml.comments+xml"/>
  <Override PartName="/xl/comments12.xml" ContentType="application/vnd.openxmlformats-officedocument.spreadsheetml.comments+xml"/>
  <Override PartName="/xl/comments17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0" yWindow="460" windowWidth="28800" windowHeight="17460" tabRatio="866"/>
  </bookViews>
  <sheets>
    <sheet name="Värmland" sheetId="28" r:id="rId1"/>
    <sheet name="Kil" sheetId="2" r:id="rId2"/>
    <sheet name="Eda" sheetId="3" r:id="rId3"/>
    <sheet name="Torsby" sheetId="4" r:id="rId4"/>
    <sheet name="Storfors" sheetId="5" r:id="rId5"/>
    <sheet name="Hammarö" sheetId="6" r:id="rId6"/>
    <sheet name="Munkfors" sheetId="7" r:id="rId7"/>
    <sheet name="Forshaga" sheetId="8" r:id="rId8"/>
    <sheet name="Grums" sheetId="9" r:id="rId9"/>
    <sheet name="Årjäng" sheetId="10" r:id="rId10"/>
    <sheet name="Sunne" sheetId="11" r:id="rId11"/>
    <sheet name="Karlstad" sheetId="12" r:id="rId12"/>
    <sheet name="Kristinehamn" sheetId="13" r:id="rId13"/>
    <sheet name="Filipstad" sheetId="14" r:id="rId14"/>
    <sheet name="Hagfors" sheetId="15" r:id="rId15"/>
    <sheet name="Arvika" sheetId="16" r:id="rId16"/>
    <sheet name="Säffle" sheetId="17" r:id="rId1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28" l="1"/>
  <c r="O33" i="28"/>
  <c r="O34" i="28"/>
  <c r="O35" i="28"/>
  <c r="O36" i="28"/>
  <c r="O37" i="28"/>
  <c r="O38" i="28"/>
  <c r="O31" i="28"/>
  <c r="C39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B39" i="28"/>
  <c r="C23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B23" i="28"/>
  <c r="O18" i="28"/>
  <c r="O17" i="28"/>
  <c r="O7" i="28"/>
  <c r="O6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C10" i="28"/>
  <c r="B10" i="28"/>
  <c r="M32" i="6"/>
  <c r="M39" i="6"/>
  <c r="M42" i="6"/>
  <c r="C32" i="6"/>
  <c r="C39" i="6"/>
  <c r="C42" i="6"/>
  <c r="D42" i="6"/>
  <c r="E39" i="6"/>
  <c r="E42" i="6"/>
  <c r="F39" i="6"/>
  <c r="F42" i="6"/>
  <c r="G32" i="6"/>
  <c r="G39" i="6"/>
  <c r="G23" i="6"/>
  <c r="G42" i="6"/>
  <c r="H42" i="6"/>
  <c r="I32" i="6"/>
  <c r="I39" i="6"/>
  <c r="I42" i="6"/>
  <c r="J42" i="6"/>
  <c r="K42" i="6"/>
  <c r="L32" i="6"/>
  <c r="L39" i="6"/>
  <c r="L42" i="6"/>
  <c r="N32" i="6"/>
  <c r="N39" i="6"/>
  <c r="N45" i="6"/>
  <c r="N42" i="6"/>
  <c r="O42" i="6"/>
  <c r="M43" i="6"/>
  <c r="U30" i="6"/>
  <c r="L43" i="6"/>
  <c r="U29" i="6"/>
  <c r="T30" i="6"/>
  <c r="T29" i="6"/>
  <c r="S30" i="6"/>
  <c r="S29" i="6"/>
  <c r="N45" i="3"/>
  <c r="N42" i="3"/>
  <c r="C23" i="3"/>
  <c r="C42" i="3"/>
  <c r="D42" i="3"/>
  <c r="E39" i="3"/>
  <c r="E42" i="3"/>
  <c r="F39" i="3"/>
  <c r="F42" i="3"/>
  <c r="G39" i="3"/>
  <c r="G23" i="3"/>
  <c r="G42" i="3"/>
  <c r="H42" i="3"/>
  <c r="I42" i="3"/>
  <c r="J42" i="3"/>
  <c r="K23" i="3"/>
  <c r="K42" i="3"/>
  <c r="M42" i="3"/>
  <c r="O42" i="3"/>
  <c r="N43" i="3"/>
  <c r="U24" i="3"/>
  <c r="G43" i="3"/>
  <c r="U25" i="3"/>
  <c r="J43" i="3"/>
  <c r="U26" i="3"/>
  <c r="F43" i="3"/>
  <c r="U27" i="3"/>
  <c r="E43" i="3"/>
  <c r="U28" i="3"/>
  <c r="D43" i="3"/>
  <c r="U29" i="3"/>
  <c r="K43" i="3"/>
  <c r="U30" i="3"/>
  <c r="I43" i="3"/>
  <c r="U31" i="3"/>
  <c r="H43" i="3"/>
  <c r="U32" i="3"/>
  <c r="C43" i="3"/>
  <c r="U33" i="3"/>
  <c r="U34" i="3"/>
  <c r="N45" i="4"/>
  <c r="N42" i="4"/>
  <c r="C39" i="4"/>
  <c r="C23" i="4"/>
  <c r="C42" i="4"/>
  <c r="D42" i="4"/>
  <c r="E42" i="4"/>
  <c r="F39" i="4"/>
  <c r="F42" i="4"/>
  <c r="G32" i="4"/>
  <c r="G39" i="4"/>
  <c r="B18" i="4"/>
  <c r="O18" i="4"/>
  <c r="G18" i="4"/>
  <c r="G23" i="4"/>
  <c r="G42" i="4"/>
  <c r="H42" i="4"/>
  <c r="I42" i="4"/>
  <c r="J42" i="4"/>
  <c r="K42" i="4"/>
  <c r="L42" i="4"/>
  <c r="M42" i="4"/>
  <c r="O42" i="4"/>
  <c r="N43" i="4"/>
  <c r="U24" i="4"/>
  <c r="G43" i="4"/>
  <c r="U25" i="4"/>
  <c r="J43" i="4"/>
  <c r="U26" i="4"/>
  <c r="F43" i="4"/>
  <c r="U27" i="4"/>
  <c r="E43" i="4"/>
  <c r="U28" i="4"/>
  <c r="D43" i="4"/>
  <c r="U29" i="4"/>
  <c r="K43" i="4"/>
  <c r="U30" i="4"/>
  <c r="I43" i="4"/>
  <c r="U31" i="4"/>
  <c r="H43" i="4"/>
  <c r="U32" i="4"/>
  <c r="C43" i="4"/>
  <c r="U33" i="4"/>
  <c r="U34" i="4"/>
  <c r="N18" i="5"/>
  <c r="N23" i="5"/>
  <c r="N45" i="5"/>
  <c r="N42" i="5"/>
  <c r="C23" i="5"/>
  <c r="C42" i="5"/>
  <c r="D42" i="5"/>
  <c r="E42" i="5"/>
  <c r="F39" i="5"/>
  <c r="F42" i="5"/>
  <c r="G23" i="5"/>
  <c r="G42" i="5"/>
  <c r="H42" i="5"/>
  <c r="I42" i="5"/>
  <c r="J42" i="5"/>
  <c r="K42" i="5"/>
  <c r="L42" i="5"/>
  <c r="M42" i="5"/>
  <c r="O42" i="5"/>
  <c r="N43" i="5"/>
  <c r="U24" i="5"/>
  <c r="G43" i="5"/>
  <c r="U25" i="5"/>
  <c r="J43" i="5"/>
  <c r="U26" i="5"/>
  <c r="F43" i="5"/>
  <c r="U27" i="5"/>
  <c r="E43" i="5"/>
  <c r="U28" i="5"/>
  <c r="D43" i="5"/>
  <c r="U29" i="5"/>
  <c r="K43" i="5"/>
  <c r="U30" i="5"/>
  <c r="I43" i="5"/>
  <c r="U31" i="5"/>
  <c r="H43" i="5"/>
  <c r="U32" i="5"/>
  <c r="C43" i="5"/>
  <c r="U33" i="5"/>
  <c r="U34" i="5"/>
  <c r="N43" i="6"/>
  <c r="U24" i="6"/>
  <c r="G43" i="6"/>
  <c r="U25" i="6"/>
  <c r="J43" i="6"/>
  <c r="U26" i="6"/>
  <c r="F43" i="6"/>
  <c r="U27" i="6"/>
  <c r="E43" i="6"/>
  <c r="U28" i="6"/>
  <c r="I43" i="6"/>
  <c r="U31" i="6"/>
  <c r="H43" i="6"/>
  <c r="U32" i="6"/>
  <c r="C43" i="6"/>
  <c r="U33" i="6"/>
  <c r="U34" i="6"/>
  <c r="N39" i="7"/>
  <c r="N45" i="7"/>
  <c r="N42" i="7"/>
  <c r="C42" i="7"/>
  <c r="D42" i="7"/>
  <c r="E42" i="7"/>
  <c r="F39" i="7"/>
  <c r="F42" i="7"/>
  <c r="G23" i="7"/>
  <c r="G42" i="7"/>
  <c r="H42" i="7"/>
  <c r="I42" i="7"/>
  <c r="J42" i="7"/>
  <c r="K42" i="7"/>
  <c r="L42" i="7"/>
  <c r="M42" i="7"/>
  <c r="O42" i="7"/>
  <c r="N43" i="7"/>
  <c r="U24" i="7"/>
  <c r="G43" i="7"/>
  <c r="U25" i="7"/>
  <c r="J43" i="7"/>
  <c r="U26" i="7"/>
  <c r="F43" i="7"/>
  <c r="U27" i="7"/>
  <c r="E43" i="7"/>
  <c r="U28" i="7"/>
  <c r="D43" i="7"/>
  <c r="U29" i="7"/>
  <c r="K43" i="7"/>
  <c r="U30" i="7"/>
  <c r="I43" i="7"/>
  <c r="U31" i="7"/>
  <c r="H43" i="7"/>
  <c r="U32" i="7"/>
  <c r="C43" i="7"/>
  <c r="U33" i="7"/>
  <c r="U34" i="7"/>
  <c r="N45" i="8"/>
  <c r="N42" i="8"/>
  <c r="C42" i="8"/>
  <c r="D42" i="8"/>
  <c r="O34" i="8"/>
  <c r="O32" i="8"/>
  <c r="E32" i="8"/>
  <c r="E39" i="8"/>
  <c r="E42" i="8"/>
  <c r="F39" i="8"/>
  <c r="F42" i="8"/>
  <c r="G42" i="8"/>
  <c r="H42" i="8"/>
  <c r="I42" i="8"/>
  <c r="J42" i="8"/>
  <c r="K42" i="8"/>
  <c r="L42" i="8"/>
  <c r="M42" i="8"/>
  <c r="O42" i="8"/>
  <c r="N43" i="8"/>
  <c r="U24" i="8"/>
  <c r="G43" i="8"/>
  <c r="U25" i="8"/>
  <c r="J43" i="8"/>
  <c r="U26" i="8"/>
  <c r="F43" i="8"/>
  <c r="U27" i="8"/>
  <c r="E43" i="8"/>
  <c r="U28" i="8"/>
  <c r="D43" i="8"/>
  <c r="U29" i="8"/>
  <c r="K43" i="8"/>
  <c r="U30" i="8"/>
  <c r="I43" i="8"/>
  <c r="U31" i="8"/>
  <c r="H43" i="8"/>
  <c r="U32" i="8"/>
  <c r="C43" i="8"/>
  <c r="U33" i="8"/>
  <c r="U34" i="8"/>
  <c r="N32" i="9"/>
  <c r="N39" i="9"/>
  <c r="N45" i="9"/>
  <c r="N42" i="9"/>
  <c r="C39" i="9"/>
  <c r="C42" i="9"/>
  <c r="D42" i="9"/>
  <c r="E42" i="9"/>
  <c r="F39" i="9"/>
  <c r="F42" i="9"/>
  <c r="G32" i="9"/>
  <c r="G39" i="9"/>
  <c r="G42" i="9"/>
  <c r="H42" i="9"/>
  <c r="I39" i="9"/>
  <c r="I42" i="9"/>
  <c r="J42" i="9"/>
  <c r="K42" i="9"/>
  <c r="L42" i="9"/>
  <c r="M42" i="9"/>
  <c r="O42" i="9"/>
  <c r="N43" i="9"/>
  <c r="U24" i="9"/>
  <c r="G43" i="9"/>
  <c r="U25" i="9"/>
  <c r="J43" i="9"/>
  <c r="U26" i="9"/>
  <c r="F43" i="9"/>
  <c r="U27" i="9"/>
  <c r="E43" i="9"/>
  <c r="U28" i="9"/>
  <c r="D43" i="9"/>
  <c r="U29" i="9"/>
  <c r="K43" i="9"/>
  <c r="U30" i="9"/>
  <c r="I43" i="9"/>
  <c r="U31" i="9"/>
  <c r="H43" i="9"/>
  <c r="U32" i="9"/>
  <c r="C43" i="9"/>
  <c r="U33" i="9"/>
  <c r="U34" i="9"/>
  <c r="N45" i="10"/>
  <c r="N42" i="10"/>
  <c r="C39" i="10"/>
  <c r="C42" i="10"/>
  <c r="D42" i="10"/>
  <c r="E42" i="10"/>
  <c r="F42" i="10"/>
  <c r="G39" i="10"/>
  <c r="G42" i="10"/>
  <c r="H42" i="10"/>
  <c r="I42" i="10"/>
  <c r="J42" i="10"/>
  <c r="K42" i="10"/>
  <c r="L42" i="10"/>
  <c r="M42" i="10"/>
  <c r="O42" i="10"/>
  <c r="N43" i="10"/>
  <c r="U24" i="10"/>
  <c r="G43" i="10"/>
  <c r="U25" i="10"/>
  <c r="J43" i="10"/>
  <c r="U26" i="10"/>
  <c r="F43" i="10"/>
  <c r="U27" i="10"/>
  <c r="E43" i="10"/>
  <c r="U28" i="10"/>
  <c r="D43" i="10"/>
  <c r="U29" i="10"/>
  <c r="K43" i="10"/>
  <c r="U30" i="10"/>
  <c r="I43" i="10"/>
  <c r="U31" i="10"/>
  <c r="H43" i="10"/>
  <c r="U32" i="10"/>
  <c r="C43" i="10"/>
  <c r="U33" i="10"/>
  <c r="U34" i="10"/>
  <c r="O37" i="11"/>
  <c r="O36" i="11"/>
  <c r="O33" i="11"/>
  <c r="B33" i="11"/>
  <c r="B32" i="11"/>
  <c r="B35" i="11"/>
  <c r="N35" i="11"/>
  <c r="N39" i="11"/>
  <c r="N45" i="11"/>
  <c r="N42" i="11"/>
  <c r="G32" i="11"/>
  <c r="C32" i="11"/>
  <c r="C39" i="11"/>
  <c r="C42" i="11"/>
  <c r="D42" i="11"/>
  <c r="E39" i="11"/>
  <c r="E42" i="11"/>
  <c r="F42" i="11"/>
  <c r="G23" i="11"/>
  <c r="G42" i="11"/>
  <c r="H42" i="11"/>
  <c r="I42" i="11"/>
  <c r="J42" i="11"/>
  <c r="K42" i="11"/>
  <c r="L42" i="11"/>
  <c r="M42" i="11"/>
  <c r="O42" i="11"/>
  <c r="N43" i="11"/>
  <c r="U24" i="11"/>
  <c r="G43" i="11"/>
  <c r="U25" i="11"/>
  <c r="J43" i="11"/>
  <c r="U26" i="11"/>
  <c r="F43" i="11"/>
  <c r="U27" i="11"/>
  <c r="E43" i="11"/>
  <c r="U28" i="11"/>
  <c r="D43" i="11"/>
  <c r="U29" i="11"/>
  <c r="K43" i="11"/>
  <c r="U30" i="11"/>
  <c r="I43" i="11"/>
  <c r="U31" i="11"/>
  <c r="H43" i="11"/>
  <c r="U32" i="11"/>
  <c r="C43" i="11"/>
  <c r="U33" i="11"/>
  <c r="U34" i="11"/>
  <c r="N45" i="12"/>
  <c r="N42" i="12"/>
  <c r="C23" i="12"/>
  <c r="C42" i="12"/>
  <c r="D23" i="12"/>
  <c r="D42" i="12"/>
  <c r="E32" i="12"/>
  <c r="E39" i="12"/>
  <c r="E42" i="12"/>
  <c r="F23" i="12"/>
  <c r="F42" i="12"/>
  <c r="G32" i="12"/>
  <c r="G39" i="12"/>
  <c r="G18" i="12"/>
  <c r="G23" i="12"/>
  <c r="G42" i="12"/>
  <c r="H42" i="12"/>
  <c r="I42" i="12"/>
  <c r="J42" i="12"/>
  <c r="K23" i="12"/>
  <c r="K42" i="12"/>
  <c r="L42" i="12"/>
  <c r="M42" i="12"/>
  <c r="O42" i="12"/>
  <c r="N43" i="12"/>
  <c r="U24" i="12"/>
  <c r="G43" i="12"/>
  <c r="U25" i="12"/>
  <c r="J43" i="12"/>
  <c r="U26" i="12"/>
  <c r="F43" i="12"/>
  <c r="U27" i="12"/>
  <c r="E43" i="12"/>
  <c r="U28" i="12"/>
  <c r="D43" i="12"/>
  <c r="U29" i="12"/>
  <c r="K43" i="12"/>
  <c r="U30" i="12"/>
  <c r="I43" i="12"/>
  <c r="U31" i="12"/>
  <c r="H43" i="12"/>
  <c r="U32" i="12"/>
  <c r="C43" i="12"/>
  <c r="U33" i="12"/>
  <c r="U34" i="12"/>
  <c r="N39" i="13"/>
  <c r="N23" i="13"/>
  <c r="N45" i="13"/>
  <c r="N42" i="13"/>
  <c r="C36" i="13"/>
  <c r="C39" i="13"/>
  <c r="C23" i="13"/>
  <c r="C42" i="13"/>
  <c r="D42" i="13"/>
  <c r="E39" i="13"/>
  <c r="E42" i="13"/>
  <c r="F34" i="13"/>
  <c r="F39" i="13"/>
  <c r="F42" i="13"/>
  <c r="G39" i="13"/>
  <c r="G23" i="13"/>
  <c r="G42" i="13"/>
  <c r="H42" i="13"/>
  <c r="I39" i="13"/>
  <c r="I42" i="13"/>
  <c r="J42" i="13"/>
  <c r="K42" i="13"/>
  <c r="L42" i="13"/>
  <c r="M42" i="13"/>
  <c r="O42" i="13"/>
  <c r="N43" i="13"/>
  <c r="U24" i="13"/>
  <c r="G43" i="13"/>
  <c r="U25" i="13"/>
  <c r="J43" i="13"/>
  <c r="U26" i="13"/>
  <c r="F43" i="13"/>
  <c r="U27" i="13"/>
  <c r="E43" i="13"/>
  <c r="U28" i="13"/>
  <c r="D43" i="13"/>
  <c r="U29" i="13"/>
  <c r="K43" i="13"/>
  <c r="U30" i="13"/>
  <c r="I43" i="13"/>
  <c r="U31" i="13"/>
  <c r="H43" i="13"/>
  <c r="U32" i="13"/>
  <c r="C43" i="13"/>
  <c r="U33" i="13"/>
  <c r="U34" i="13"/>
  <c r="N45" i="14"/>
  <c r="N42" i="14"/>
  <c r="C23" i="14"/>
  <c r="C42" i="14"/>
  <c r="D42" i="14"/>
  <c r="E42" i="14"/>
  <c r="F42" i="14"/>
  <c r="G23" i="14"/>
  <c r="G42" i="14"/>
  <c r="H42" i="14"/>
  <c r="I42" i="14"/>
  <c r="J42" i="14"/>
  <c r="K42" i="14"/>
  <c r="L42" i="14"/>
  <c r="M42" i="14"/>
  <c r="O42" i="14"/>
  <c r="N43" i="14"/>
  <c r="U24" i="14"/>
  <c r="G43" i="14"/>
  <c r="U25" i="14"/>
  <c r="J43" i="14"/>
  <c r="U26" i="14"/>
  <c r="F43" i="14"/>
  <c r="U27" i="14"/>
  <c r="E43" i="14"/>
  <c r="U28" i="14"/>
  <c r="D43" i="14"/>
  <c r="U29" i="14"/>
  <c r="K43" i="14"/>
  <c r="U30" i="14"/>
  <c r="I43" i="14"/>
  <c r="U31" i="14"/>
  <c r="H43" i="14"/>
  <c r="U32" i="14"/>
  <c r="C43" i="14"/>
  <c r="U33" i="14"/>
  <c r="U34" i="14"/>
  <c r="G39" i="15"/>
  <c r="C32" i="15"/>
  <c r="B32" i="15"/>
  <c r="E32" i="15"/>
  <c r="E39" i="15"/>
  <c r="N39" i="15"/>
  <c r="N18" i="15"/>
  <c r="N23" i="15"/>
  <c r="N45" i="15"/>
  <c r="N42" i="15"/>
  <c r="C42" i="15"/>
  <c r="D42" i="15"/>
  <c r="E42" i="15"/>
  <c r="F42" i="15"/>
  <c r="G23" i="15"/>
  <c r="G42" i="15"/>
  <c r="H42" i="15"/>
  <c r="I42" i="15"/>
  <c r="J42" i="15"/>
  <c r="K42" i="15"/>
  <c r="L42" i="15"/>
  <c r="M42" i="15"/>
  <c r="O42" i="15"/>
  <c r="N43" i="15"/>
  <c r="U24" i="15"/>
  <c r="G43" i="15"/>
  <c r="U25" i="15"/>
  <c r="J43" i="15"/>
  <c r="U26" i="15"/>
  <c r="F43" i="15"/>
  <c r="U27" i="15"/>
  <c r="E43" i="15"/>
  <c r="U28" i="15"/>
  <c r="D43" i="15"/>
  <c r="U29" i="15"/>
  <c r="K43" i="15"/>
  <c r="U30" i="15"/>
  <c r="I43" i="15"/>
  <c r="U31" i="15"/>
  <c r="H43" i="15"/>
  <c r="U32" i="15"/>
  <c r="C43" i="15"/>
  <c r="U33" i="15"/>
  <c r="U34" i="15"/>
  <c r="N23" i="16"/>
  <c r="N45" i="16"/>
  <c r="N42" i="16"/>
  <c r="C32" i="16"/>
  <c r="C39" i="16"/>
  <c r="C42" i="16"/>
  <c r="D42" i="16"/>
  <c r="E42" i="16"/>
  <c r="F42" i="16"/>
  <c r="G32" i="16"/>
  <c r="G39" i="16"/>
  <c r="G23" i="16"/>
  <c r="G42" i="16"/>
  <c r="H23" i="16"/>
  <c r="H42" i="16"/>
  <c r="I42" i="16"/>
  <c r="J42" i="16"/>
  <c r="K42" i="16"/>
  <c r="L42" i="16"/>
  <c r="M42" i="16"/>
  <c r="O42" i="16"/>
  <c r="N43" i="16"/>
  <c r="U24" i="16"/>
  <c r="G43" i="16"/>
  <c r="U25" i="16"/>
  <c r="J43" i="16"/>
  <c r="U26" i="16"/>
  <c r="F43" i="16"/>
  <c r="U27" i="16"/>
  <c r="E43" i="16"/>
  <c r="U28" i="16"/>
  <c r="D43" i="16"/>
  <c r="U29" i="16"/>
  <c r="K43" i="16"/>
  <c r="U30" i="16"/>
  <c r="I43" i="16"/>
  <c r="U31" i="16"/>
  <c r="H43" i="16"/>
  <c r="U32" i="16"/>
  <c r="C43" i="16"/>
  <c r="U33" i="16"/>
  <c r="U34" i="16"/>
  <c r="N39" i="17"/>
  <c r="N23" i="17"/>
  <c r="N45" i="17"/>
  <c r="N42" i="17"/>
  <c r="C42" i="17"/>
  <c r="D42" i="17"/>
  <c r="E39" i="17"/>
  <c r="E42" i="17"/>
  <c r="F39" i="17"/>
  <c r="F42" i="17"/>
  <c r="G32" i="17"/>
  <c r="G39" i="17"/>
  <c r="G18" i="17"/>
  <c r="G23" i="17"/>
  <c r="G42" i="17"/>
  <c r="H42" i="17"/>
  <c r="I39" i="17"/>
  <c r="I42" i="17"/>
  <c r="J42" i="17"/>
  <c r="K42" i="17"/>
  <c r="L42" i="17"/>
  <c r="M42" i="17"/>
  <c r="O42" i="17"/>
  <c r="N43" i="17"/>
  <c r="U24" i="17"/>
  <c r="G43" i="17"/>
  <c r="U25" i="17"/>
  <c r="J43" i="17"/>
  <c r="U26" i="17"/>
  <c r="F43" i="17"/>
  <c r="U27" i="17"/>
  <c r="E43" i="17"/>
  <c r="U28" i="17"/>
  <c r="D43" i="17"/>
  <c r="U29" i="17"/>
  <c r="K43" i="17"/>
  <c r="U30" i="17"/>
  <c r="I43" i="17"/>
  <c r="U31" i="17"/>
  <c r="H43" i="17"/>
  <c r="U32" i="17"/>
  <c r="C43" i="17"/>
  <c r="U33" i="17"/>
  <c r="U34" i="17"/>
  <c r="N23" i="2"/>
  <c r="N45" i="2"/>
  <c r="N42" i="2"/>
  <c r="C32" i="2"/>
  <c r="O36" i="2"/>
  <c r="O34" i="2"/>
  <c r="C34" i="2"/>
  <c r="C39" i="2"/>
  <c r="C23" i="2"/>
  <c r="C42" i="2"/>
  <c r="D23" i="2"/>
  <c r="D42" i="2"/>
  <c r="E23" i="2"/>
  <c r="E42" i="2"/>
  <c r="F23" i="2"/>
  <c r="F42" i="2"/>
  <c r="G23" i="2"/>
  <c r="G42" i="2"/>
  <c r="H23" i="2"/>
  <c r="H42" i="2"/>
  <c r="I42" i="2"/>
  <c r="J42" i="2"/>
  <c r="K23" i="2"/>
  <c r="K42" i="2"/>
  <c r="L42" i="2"/>
  <c r="M42" i="2"/>
  <c r="O42" i="2"/>
  <c r="N43" i="2"/>
  <c r="U24" i="2"/>
  <c r="G43" i="2"/>
  <c r="U25" i="2"/>
  <c r="J43" i="2"/>
  <c r="U26" i="2"/>
  <c r="F43" i="2"/>
  <c r="U27" i="2"/>
  <c r="E43" i="2"/>
  <c r="U28" i="2"/>
  <c r="D43" i="2"/>
  <c r="U29" i="2"/>
  <c r="K43" i="2"/>
  <c r="U30" i="2"/>
  <c r="I43" i="2"/>
  <c r="U31" i="2"/>
  <c r="H43" i="2"/>
  <c r="U32" i="2"/>
  <c r="C43" i="2"/>
  <c r="U33" i="2"/>
  <c r="U34" i="2"/>
  <c r="T24" i="3"/>
  <c r="T25" i="3"/>
  <c r="T26" i="3"/>
  <c r="T27" i="3"/>
  <c r="T28" i="3"/>
  <c r="T29" i="3"/>
  <c r="T30" i="3"/>
  <c r="T31" i="3"/>
  <c r="T32" i="3"/>
  <c r="T33" i="3"/>
  <c r="T34" i="3"/>
  <c r="T24" i="4"/>
  <c r="T25" i="4"/>
  <c r="T26" i="4"/>
  <c r="T27" i="4"/>
  <c r="T28" i="4"/>
  <c r="T29" i="4"/>
  <c r="T30" i="4"/>
  <c r="T31" i="4"/>
  <c r="T32" i="4"/>
  <c r="T33" i="4"/>
  <c r="T34" i="4"/>
  <c r="T24" i="5"/>
  <c r="T25" i="5"/>
  <c r="T26" i="5"/>
  <c r="T27" i="5"/>
  <c r="T28" i="5"/>
  <c r="T29" i="5"/>
  <c r="T30" i="5"/>
  <c r="T31" i="5"/>
  <c r="T32" i="5"/>
  <c r="T33" i="5"/>
  <c r="T34" i="5"/>
  <c r="T24" i="6"/>
  <c r="T25" i="6"/>
  <c r="T26" i="6"/>
  <c r="T27" i="6"/>
  <c r="T28" i="6"/>
  <c r="T31" i="6"/>
  <c r="T32" i="6"/>
  <c r="T33" i="6"/>
  <c r="T34" i="6"/>
  <c r="T24" i="7"/>
  <c r="T25" i="7"/>
  <c r="T26" i="7"/>
  <c r="T27" i="7"/>
  <c r="T28" i="7"/>
  <c r="T29" i="7"/>
  <c r="T30" i="7"/>
  <c r="T31" i="7"/>
  <c r="T32" i="7"/>
  <c r="T33" i="7"/>
  <c r="T34" i="7"/>
  <c r="T24" i="8"/>
  <c r="T25" i="8"/>
  <c r="T26" i="8"/>
  <c r="T27" i="8"/>
  <c r="T28" i="8"/>
  <c r="T29" i="8"/>
  <c r="T30" i="8"/>
  <c r="T31" i="8"/>
  <c r="T32" i="8"/>
  <c r="T33" i="8"/>
  <c r="T34" i="8"/>
  <c r="T24" i="9"/>
  <c r="T25" i="9"/>
  <c r="T26" i="9"/>
  <c r="T27" i="9"/>
  <c r="T28" i="9"/>
  <c r="T29" i="9"/>
  <c r="T30" i="9"/>
  <c r="T31" i="9"/>
  <c r="T32" i="9"/>
  <c r="T33" i="9"/>
  <c r="T34" i="9"/>
  <c r="T24" i="10"/>
  <c r="T25" i="10"/>
  <c r="T26" i="10"/>
  <c r="T27" i="10"/>
  <c r="T28" i="10"/>
  <c r="T29" i="10"/>
  <c r="T30" i="10"/>
  <c r="T31" i="10"/>
  <c r="T32" i="10"/>
  <c r="T33" i="10"/>
  <c r="T34" i="10"/>
  <c r="T24" i="11"/>
  <c r="T25" i="11"/>
  <c r="T26" i="11"/>
  <c r="T27" i="11"/>
  <c r="T28" i="11"/>
  <c r="T29" i="11"/>
  <c r="T30" i="11"/>
  <c r="T31" i="11"/>
  <c r="T32" i="11"/>
  <c r="T33" i="11"/>
  <c r="T34" i="11"/>
  <c r="T24" i="12"/>
  <c r="T25" i="12"/>
  <c r="T26" i="12"/>
  <c r="T27" i="12"/>
  <c r="T28" i="12"/>
  <c r="T29" i="12"/>
  <c r="T30" i="12"/>
  <c r="T31" i="12"/>
  <c r="T32" i="12"/>
  <c r="T33" i="12"/>
  <c r="T34" i="12"/>
  <c r="T24" i="13"/>
  <c r="T25" i="13"/>
  <c r="T26" i="13"/>
  <c r="T27" i="13"/>
  <c r="T28" i="13"/>
  <c r="T29" i="13"/>
  <c r="T30" i="13"/>
  <c r="T31" i="13"/>
  <c r="T32" i="13"/>
  <c r="T33" i="13"/>
  <c r="T34" i="13"/>
  <c r="T24" i="14"/>
  <c r="T25" i="14"/>
  <c r="T26" i="14"/>
  <c r="T27" i="14"/>
  <c r="T28" i="14"/>
  <c r="T29" i="14"/>
  <c r="T30" i="14"/>
  <c r="T31" i="14"/>
  <c r="T32" i="14"/>
  <c r="T33" i="14"/>
  <c r="T34" i="14"/>
  <c r="T24" i="15"/>
  <c r="T25" i="15"/>
  <c r="T26" i="15"/>
  <c r="T27" i="15"/>
  <c r="T28" i="15"/>
  <c r="T29" i="15"/>
  <c r="T30" i="15"/>
  <c r="T31" i="15"/>
  <c r="T32" i="15"/>
  <c r="T33" i="15"/>
  <c r="T34" i="15"/>
  <c r="T24" i="16"/>
  <c r="T25" i="16"/>
  <c r="T26" i="16"/>
  <c r="T27" i="16"/>
  <c r="T28" i="16"/>
  <c r="T29" i="16"/>
  <c r="T30" i="16"/>
  <c r="T31" i="16"/>
  <c r="T32" i="16"/>
  <c r="T33" i="16"/>
  <c r="T34" i="16"/>
  <c r="T24" i="17"/>
  <c r="T25" i="17"/>
  <c r="T26" i="17"/>
  <c r="T27" i="17"/>
  <c r="T28" i="17"/>
  <c r="T29" i="17"/>
  <c r="T30" i="17"/>
  <c r="T31" i="17"/>
  <c r="T32" i="17"/>
  <c r="T33" i="17"/>
  <c r="T34" i="17"/>
  <c r="T24" i="2"/>
  <c r="T25" i="2"/>
  <c r="T26" i="2"/>
  <c r="T27" i="2"/>
  <c r="T28" i="2"/>
  <c r="T29" i="2"/>
  <c r="T30" i="2"/>
  <c r="T31" i="2"/>
  <c r="T32" i="2"/>
  <c r="T33" i="2"/>
  <c r="T34" i="2"/>
  <c r="M42" i="28"/>
  <c r="C42" i="28"/>
  <c r="D42" i="28"/>
  <c r="E42" i="28"/>
  <c r="F42" i="28"/>
  <c r="G42" i="28"/>
  <c r="H42" i="28"/>
  <c r="I42" i="28"/>
  <c r="J42" i="28"/>
  <c r="K42" i="28"/>
  <c r="B6" i="28"/>
  <c r="N45" i="28"/>
  <c r="N42" i="28"/>
  <c r="O42" i="28"/>
  <c r="M43" i="28"/>
  <c r="U31" i="28"/>
  <c r="B36" i="5"/>
  <c r="N36" i="5"/>
  <c r="N38" i="5"/>
  <c r="N38" i="28"/>
  <c r="B33" i="14"/>
  <c r="C36" i="14"/>
  <c r="C32" i="14"/>
  <c r="B32" i="14"/>
  <c r="B35" i="14"/>
  <c r="N35" i="14"/>
  <c r="N37" i="14"/>
  <c r="N37" i="28"/>
  <c r="N36" i="10"/>
  <c r="N36" i="28"/>
  <c r="N41" i="28"/>
  <c r="N32" i="10"/>
  <c r="N32" i="13"/>
  <c r="N32" i="28"/>
  <c r="B33" i="13"/>
  <c r="N33" i="13"/>
  <c r="N33" i="28"/>
  <c r="N34" i="28"/>
  <c r="N35" i="13"/>
  <c r="N35" i="15"/>
  <c r="N35" i="28"/>
  <c r="N31" i="28"/>
  <c r="O38" i="5"/>
  <c r="B36" i="3"/>
  <c r="B37" i="3"/>
  <c r="O37" i="3"/>
  <c r="O37" i="4"/>
  <c r="B37" i="5"/>
  <c r="O37" i="5"/>
  <c r="O37" i="7"/>
  <c r="O37" i="13"/>
  <c r="O31" i="14"/>
  <c r="O37" i="14"/>
  <c r="O37" i="15"/>
  <c r="O36" i="4"/>
  <c r="C36" i="7"/>
  <c r="O36" i="7"/>
  <c r="O36" i="15"/>
  <c r="O41" i="28"/>
  <c r="C32" i="3"/>
  <c r="O32" i="3"/>
  <c r="B32" i="5"/>
  <c r="O32" i="5"/>
  <c r="O32" i="6"/>
  <c r="B32" i="7"/>
  <c r="O32" i="7"/>
  <c r="C34" i="9"/>
  <c r="C32" i="9"/>
  <c r="E32" i="9"/>
  <c r="O32" i="9"/>
  <c r="B32" i="13"/>
  <c r="O32" i="13"/>
  <c r="O33" i="3"/>
  <c r="O33" i="4"/>
  <c r="O33" i="5"/>
  <c r="B33" i="7"/>
  <c r="O33" i="7"/>
  <c r="B35" i="15"/>
  <c r="B33" i="15"/>
  <c r="O33" i="15"/>
  <c r="B35" i="4"/>
  <c r="O35" i="4"/>
  <c r="O35" i="5"/>
  <c r="B35" i="7"/>
  <c r="O35" i="7"/>
  <c r="O31" i="13"/>
  <c r="O39" i="13"/>
  <c r="J27" i="6"/>
  <c r="L32" i="28"/>
  <c r="M32" i="28"/>
  <c r="O39" i="4"/>
  <c r="O39" i="6"/>
  <c r="O39" i="9"/>
  <c r="B35" i="3"/>
  <c r="B39" i="3"/>
  <c r="L39" i="3"/>
  <c r="O39" i="3"/>
  <c r="G32" i="10"/>
  <c r="B17" i="3"/>
  <c r="B23" i="3"/>
  <c r="O17" i="3"/>
  <c r="B44" i="3"/>
  <c r="O18" i="3"/>
  <c r="O23" i="3"/>
  <c r="T31" i="28"/>
  <c r="T30" i="28"/>
  <c r="U30" i="28"/>
  <c r="S31" i="28"/>
  <c r="S30" i="28"/>
  <c r="N43" i="28"/>
  <c r="U22" i="28"/>
  <c r="G43" i="28"/>
  <c r="U23" i="28"/>
  <c r="J43" i="28"/>
  <c r="U24" i="28"/>
  <c r="F43" i="28"/>
  <c r="U25" i="28"/>
  <c r="E43" i="28"/>
  <c r="U26" i="28"/>
  <c r="D43" i="28"/>
  <c r="U27" i="28"/>
  <c r="K43" i="28"/>
  <c r="U28" i="28"/>
  <c r="I43" i="28"/>
  <c r="U29" i="28"/>
  <c r="H43" i="28"/>
  <c r="U32" i="28"/>
  <c r="C43" i="28"/>
  <c r="U33" i="28"/>
  <c r="U34" i="28"/>
  <c r="T23" i="28"/>
  <c r="T24" i="28"/>
  <c r="T28" i="28"/>
  <c r="T29" i="28"/>
  <c r="T33" i="28"/>
  <c r="T27" i="28"/>
  <c r="T22" i="28"/>
  <c r="T25" i="28"/>
  <c r="T26" i="28"/>
  <c r="T32" i="28"/>
  <c r="T34" i="28"/>
  <c r="C36" i="28"/>
  <c r="G36" i="28"/>
  <c r="C6" i="28"/>
  <c r="D6" i="28"/>
  <c r="E6" i="28"/>
  <c r="F6" i="28"/>
  <c r="G6" i="28"/>
  <c r="H6" i="28"/>
  <c r="C7" i="28"/>
  <c r="D7" i="28"/>
  <c r="E7" i="28"/>
  <c r="F7" i="28"/>
  <c r="G7" i="28"/>
  <c r="H7" i="28"/>
  <c r="B7" i="28"/>
  <c r="B4" i="10"/>
  <c r="B10" i="10"/>
  <c r="B8" i="10"/>
  <c r="B8" i="28"/>
  <c r="B9" i="28"/>
  <c r="B10" i="2"/>
  <c r="B10" i="3"/>
  <c r="B10" i="4"/>
  <c r="B4" i="5"/>
  <c r="B10" i="5"/>
  <c r="B4" i="6"/>
  <c r="B10" i="6"/>
  <c r="B4" i="7"/>
  <c r="B10" i="7"/>
  <c r="B4" i="8"/>
  <c r="B10" i="8"/>
  <c r="B4" i="9"/>
  <c r="B10" i="9"/>
  <c r="B4" i="11"/>
  <c r="B10" i="11"/>
  <c r="B4" i="12"/>
  <c r="B10" i="12"/>
  <c r="B4" i="13"/>
  <c r="B10" i="13"/>
  <c r="B4" i="14"/>
  <c r="B10" i="14"/>
  <c r="B4" i="15"/>
  <c r="B10" i="15"/>
  <c r="B4" i="16"/>
  <c r="B10" i="16"/>
  <c r="B4" i="17"/>
  <c r="B10" i="17"/>
  <c r="C17" i="28"/>
  <c r="D17" i="28"/>
  <c r="E17" i="28"/>
  <c r="F17" i="28"/>
  <c r="G17" i="28"/>
  <c r="H17" i="28"/>
  <c r="I17" i="28"/>
  <c r="J17" i="28"/>
  <c r="K17" i="28"/>
  <c r="L17" i="28"/>
  <c r="M17" i="28"/>
  <c r="N17" i="28"/>
  <c r="O17" i="7"/>
  <c r="O17" i="12"/>
  <c r="C18" i="28"/>
  <c r="D18" i="28"/>
  <c r="E18" i="28"/>
  <c r="F18" i="28"/>
  <c r="G18" i="28"/>
  <c r="H18" i="28"/>
  <c r="I18" i="28"/>
  <c r="J18" i="28"/>
  <c r="K18" i="28"/>
  <c r="L18" i="28"/>
  <c r="M18" i="28"/>
  <c r="N18" i="28"/>
  <c r="O18" i="2"/>
  <c r="O18" i="5"/>
  <c r="O18" i="6"/>
  <c r="O18" i="7"/>
  <c r="O18" i="11"/>
  <c r="O18" i="12"/>
  <c r="O18" i="13"/>
  <c r="O18" i="14"/>
  <c r="O18" i="15"/>
  <c r="O18" i="16"/>
  <c r="O18" i="17"/>
  <c r="O19" i="6"/>
  <c r="O19" i="17"/>
  <c r="O23" i="2"/>
  <c r="O23" i="4"/>
  <c r="O23" i="5"/>
  <c r="O23" i="6"/>
  <c r="O23" i="7"/>
  <c r="O23" i="11"/>
  <c r="O23" i="12"/>
  <c r="O23" i="13"/>
  <c r="O23" i="14"/>
  <c r="O23" i="15"/>
  <c r="O23" i="16"/>
  <c r="O23" i="17"/>
  <c r="B18" i="5"/>
  <c r="B18" i="6"/>
  <c r="B18" i="11"/>
  <c r="B18" i="12"/>
  <c r="B18" i="13"/>
  <c r="B18" i="14"/>
  <c r="B18" i="15"/>
  <c r="B18" i="16"/>
  <c r="B18" i="17"/>
  <c r="B18" i="28"/>
  <c r="B19" i="28"/>
  <c r="B20" i="28"/>
  <c r="B21" i="28"/>
  <c r="B22" i="28"/>
  <c r="B23" i="2"/>
  <c r="B23" i="4"/>
  <c r="B23" i="5"/>
  <c r="B23" i="6"/>
  <c r="B23" i="7"/>
  <c r="B23" i="11"/>
  <c r="B23" i="12"/>
  <c r="B23" i="13"/>
  <c r="B23" i="14"/>
  <c r="B23" i="15"/>
  <c r="B23" i="16"/>
  <c r="B23" i="17"/>
  <c r="B17" i="28"/>
  <c r="C31" i="28"/>
  <c r="D31" i="28"/>
  <c r="E31" i="28"/>
  <c r="F31" i="28"/>
  <c r="G31" i="28"/>
  <c r="H31" i="28"/>
  <c r="I31" i="28"/>
  <c r="J31" i="28"/>
  <c r="K31" i="28"/>
  <c r="L31" i="28"/>
  <c r="M31" i="28"/>
  <c r="C32" i="28"/>
  <c r="D32" i="28"/>
  <c r="E32" i="28"/>
  <c r="F32" i="28"/>
  <c r="G32" i="28"/>
  <c r="H32" i="28"/>
  <c r="I32" i="28"/>
  <c r="J32" i="28"/>
  <c r="K32" i="28"/>
  <c r="C33" i="28"/>
  <c r="D33" i="28"/>
  <c r="E33" i="28"/>
  <c r="F33" i="28"/>
  <c r="G33" i="28"/>
  <c r="H33" i="28"/>
  <c r="I33" i="28"/>
  <c r="J33" i="28"/>
  <c r="K33" i="28"/>
  <c r="L33" i="28"/>
  <c r="M33" i="28"/>
  <c r="C34" i="28"/>
  <c r="D34" i="28"/>
  <c r="F34" i="28"/>
  <c r="G34" i="28"/>
  <c r="I34" i="28"/>
  <c r="J34" i="28"/>
  <c r="K34" i="28"/>
  <c r="L34" i="28"/>
  <c r="M34" i="28"/>
  <c r="C35" i="28"/>
  <c r="D35" i="28"/>
  <c r="E35" i="28"/>
  <c r="F35" i="28"/>
  <c r="G35" i="28"/>
  <c r="H35" i="28"/>
  <c r="I35" i="28"/>
  <c r="J35" i="28"/>
  <c r="K35" i="28"/>
  <c r="L35" i="28"/>
  <c r="M35" i="28"/>
  <c r="D36" i="28"/>
  <c r="E36" i="28"/>
  <c r="F36" i="28"/>
  <c r="H36" i="28"/>
  <c r="I36" i="28"/>
  <c r="J36" i="28"/>
  <c r="K36" i="28"/>
  <c r="L36" i="28"/>
  <c r="M36" i="28"/>
  <c r="C37" i="28"/>
  <c r="D37" i="28"/>
  <c r="E37" i="28"/>
  <c r="F37" i="28"/>
  <c r="G37" i="28"/>
  <c r="H37" i="28"/>
  <c r="I37" i="28"/>
  <c r="J37" i="28"/>
  <c r="K37" i="28"/>
  <c r="L37" i="28"/>
  <c r="M37" i="28"/>
  <c r="C38" i="28"/>
  <c r="D38" i="28"/>
  <c r="E38" i="28"/>
  <c r="F38" i="28"/>
  <c r="G38" i="28"/>
  <c r="H38" i="28"/>
  <c r="I38" i="28"/>
  <c r="J38" i="28"/>
  <c r="K38" i="28"/>
  <c r="L38" i="28"/>
  <c r="M38" i="28"/>
  <c r="B32" i="28"/>
  <c r="B34" i="28"/>
  <c r="B36" i="28"/>
  <c r="B37" i="28"/>
  <c r="B38" i="28"/>
  <c r="B31" i="28"/>
  <c r="E85" i="28"/>
  <c r="F71" i="28"/>
  <c r="F78" i="28"/>
  <c r="F73" i="28"/>
  <c r="B4" i="28"/>
  <c r="F40" i="2"/>
  <c r="O25" i="8"/>
  <c r="B45" i="7"/>
  <c r="O45" i="7"/>
  <c r="T38" i="7"/>
  <c r="B45" i="6"/>
  <c r="B46" i="6"/>
  <c r="B45" i="4"/>
  <c r="O24" i="2"/>
  <c r="B45" i="2"/>
  <c r="B45" i="17"/>
  <c r="R36" i="15"/>
  <c r="R34" i="15"/>
  <c r="R37" i="15"/>
  <c r="R38" i="15"/>
  <c r="R31" i="15"/>
  <c r="T42" i="14"/>
  <c r="T44" i="8"/>
  <c r="B45" i="5"/>
  <c r="I41" i="15"/>
  <c r="K41" i="11"/>
  <c r="N41" i="7"/>
  <c r="E40" i="4"/>
  <c r="P34" i="3"/>
  <c r="U44" i="3"/>
  <c r="T44" i="3"/>
  <c r="P32" i="3"/>
  <c r="U43" i="3"/>
  <c r="T43" i="3"/>
  <c r="P31" i="3"/>
  <c r="T42" i="3"/>
  <c r="P33" i="3"/>
  <c r="U41" i="3"/>
  <c r="T41" i="3"/>
  <c r="P35" i="3"/>
  <c r="U40" i="3"/>
  <c r="T40" i="3"/>
  <c r="P35" i="4"/>
  <c r="U40" i="4"/>
  <c r="P33" i="4"/>
  <c r="U41" i="4"/>
  <c r="P31" i="4"/>
  <c r="P32" i="4"/>
  <c r="P34" i="4"/>
  <c r="U44" i="4"/>
  <c r="T40" i="4"/>
  <c r="T41" i="4"/>
  <c r="T42" i="4"/>
  <c r="T43" i="4"/>
  <c r="T44" i="4"/>
  <c r="P34" i="5"/>
  <c r="U44" i="5"/>
  <c r="T44" i="5"/>
  <c r="P32" i="5"/>
  <c r="U43" i="5"/>
  <c r="T43" i="5"/>
  <c r="P31" i="5"/>
  <c r="U42" i="5"/>
  <c r="T42" i="5"/>
  <c r="P33" i="5"/>
  <c r="U41" i="5"/>
  <c r="T41" i="5"/>
  <c r="P35" i="5"/>
  <c r="U40" i="5"/>
  <c r="T40" i="5"/>
  <c r="P38" i="5"/>
  <c r="P35" i="6"/>
  <c r="U40" i="6"/>
  <c r="P33" i="6"/>
  <c r="U41" i="6"/>
  <c r="P31" i="6"/>
  <c r="U42" i="6"/>
  <c r="P32" i="6"/>
  <c r="P34" i="6"/>
  <c r="U44" i="6"/>
  <c r="T40" i="6"/>
  <c r="T41" i="6"/>
  <c r="T42" i="6"/>
  <c r="T43" i="6"/>
  <c r="T44" i="6"/>
  <c r="P34" i="7"/>
  <c r="U44" i="7"/>
  <c r="T44" i="7"/>
  <c r="P32" i="7"/>
  <c r="U43" i="7"/>
  <c r="T43" i="7"/>
  <c r="P31" i="7"/>
  <c r="T42" i="7"/>
  <c r="P33" i="7"/>
  <c r="U41" i="7"/>
  <c r="T41" i="7"/>
  <c r="P35" i="7"/>
  <c r="U40" i="7"/>
  <c r="T40" i="7"/>
  <c r="P35" i="8"/>
  <c r="U40" i="8"/>
  <c r="P33" i="8"/>
  <c r="U41" i="8"/>
  <c r="P31" i="8"/>
  <c r="T40" i="8"/>
  <c r="T41" i="8"/>
  <c r="T42" i="8"/>
  <c r="P35" i="9"/>
  <c r="U40" i="9"/>
  <c r="P33" i="9"/>
  <c r="U41" i="9"/>
  <c r="P31" i="9"/>
  <c r="U42" i="9"/>
  <c r="P32" i="9"/>
  <c r="P34" i="9"/>
  <c r="U44" i="9"/>
  <c r="T40" i="9"/>
  <c r="T41" i="9"/>
  <c r="T42" i="9"/>
  <c r="T43" i="9"/>
  <c r="T44" i="9"/>
  <c r="P35" i="10"/>
  <c r="U40" i="10"/>
  <c r="P33" i="10"/>
  <c r="U41" i="10"/>
  <c r="P31" i="10"/>
  <c r="U42" i="10"/>
  <c r="P32" i="10"/>
  <c r="P34" i="10"/>
  <c r="U44" i="10"/>
  <c r="T40" i="10"/>
  <c r="T41" i="10"/>
  <c r="T42" i="10"/>
  <c r="T43" i="10"/>
  <c r="T44" i="10"/>
  <c r="P34" i="11"/>
  <c r="U44" i="11"/>
  <c r="T44" i="11"/>
  <c r="P32" i="11"/>
  <c r="U43" i="11"/>
  <c r="T43" i="11"/>
  <c r="P31" i="11"/>
  <c r="T42" i="11"/>
  <c r="P33" i="11"/>
  <c r="U41" i="11"/>
  <c r="T41" i="11"/>
  <c r="P35" i="11"/>
  <c r="U40" i="11"/>
  <c r="T40" i="11"/>
  <c r="P35" i="12"/>
  <c r="P33" i="12"/>
  <c r="U41" i="12"/>
  <c r="P31" i="12"/>
  <c r="U42" i="12"/>
  <c r="P32" i="12"/>
  <c r="P34" i="12"/>
  <c r="U44" i="12"/>
  <c r="T40" i="12"/>
  <c r="T41" i="12"/>
  <c r="T42" i="12"/>
  <c r="T43" i="12"/>
  <c r="T44" i="12"/>
  <c r="T44" i="13"/>
  <c r="T43" i="13"/>
  <c r="T41" i="13"/>
  <c r="T44" i="14"/>
  <c r="T43" i="14"/>
  <c r="T41" i="14"/>
  <c r="T40" i="14"/>
  <c r="T44" i="15"/>
  <c r="T43" i="15"/>
  <c r="T42" i="15"/>
  <c r="T40" i="15"/>
  <c r="P35" i="16"/>
  <c r="U40" i="16"/>
  <c r="P33" i="16"/>
  <c r="U41" i="16"/>
  <c r="P31" i="16"/>
  <c r="P32" i="16"/>
  <c r="U43" i="16"/>
  <c r="P34" i="16"/>
  <c r="U44" i="16"/>
  <c r="T40" i="16"/>
  <c r="T41" i="16"/>
  <c r="T42" i="16"/>
  <c r="T43" i="16"/>
  <c r="T44" i="16"/>
  <c r="P35" i="17"/>
  <c r="U40" i="17"/>
  <c r="P33" i="17"/>
  <c r="U41" i="17"/>
  <c r="P31" i="17"/>
  <c r="P32" i="17"/>
  <c r="U43" i="17"/>
  <c r="P34" i="17"/>
  <c r="U44" i="17"/>
  <c r="T40" i="17"/>
  <c r="T41" i="17"/>
  <c r="T42" i="17"/>
  <c r="T43" i="17"/>
  <c r="O41" i="17"/>
  <c r="T39" i="17"/>
  <c r="T44" i="17"/>
  <c r="T45" i="17"/>
  <c r="T44" i="2"/>
  <c r="P32" i="2"/>
  <c r="T43" i="2"/>
  <c r="P31" i="2"/>
  <c r="U42" i="2"/>
  <c r="T42" i="2"/>
  <c r="P33" i="2"/>
  <c r="U41" i="2"/>
  <c r="T41" i="2"/>
  <c r="P35" i="2"/>
  <c r="U40" i="2"/>
  <c r="T40" i="2"/>
  <c r="B45" i="3"/>
  <c r="O41" i="3"/>
  <c r="P41" i="3"/>
  <c r="U39" i="3"/>
  <c r="U42" i="3"/>
  <c r="U45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O41" i="4"/>
  <c r="T39" i="4"/>
  <c r="T45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M41" i="5"/>
  <c r="L41" i="5"/>
  <c r="K41" i="5"/>
  <c r="J41" i="5"/>
  <c r="I41" i="5"/>
  <c r="H41" i="5"/>
  <c r="G41" i="5"/>
  <c r="F41" i="5"/>
  <c r="E41" i="5"/>
  <c r="D41" i="5"/>
  <c r="C41" i="5"/>
  <c r="O41" i="6"/>
  <c r="P41" i="6"/>
  <c r="U39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M41" i="7"/>
  <c r="L41" i="7"/>
  <c r="K41" i="7"/>
  <c r="J41" i="7"/>
  <c r="I41" i="7"/>
  <c r="H41" i="7"/>
  <c r="G41" i="7"/>
  <c r="F41" i="7"/>
  <c r="E41" i="7"/>
  <c r="D41" i="7"/>
  <c r="B41" i="7"/>
  <c r="B45" i="8"/>
  <c r="O45" i="8"/>
  <c r="T38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B45" i="9"/>
  <c r="O45" i="9"/>
  <c r="T38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B45" i="10"/>
  <c r="B46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O41" i="11"/>
  <c r="N41" i="11"/>
  <c r="M41" i="11"/>
  <c r="L41" i="11"/>
  <c r="J41" i="11"/>
  <c r="I41" i="11"/>
  <c r="H41" i="11"/>
  <c r="G41" i="11"/>
  <c r="F41" i="11"/>
  <c r="E41" i="11"/>
  <c r="D41" i="11"/>
  <c r="C41" i="11"/>
  <c r="B41" i="11"/>
  <c r="B45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B45" i="13"/>
  <c r="L41" i="13"/>
  <c r="K41" i="13"/>
  <c r="J41" i="13"/>
  <c r="I41" i="13"/>
  <c r="H41" i="13"/>
  <c r="G41" i="13"/>
  <c r="F41" i="13"/>
  <c r="E41" i="13"/>
  <c r="D41" i="13"/>
  <c r="C41" i="13"/>
  <c r="B41" i="13"/>
  <c r="M41" i="14"/>
  <c r="L41" i="14"/>
  <c r="K41" i="14"/>
  <c r="J41" i="14"/>
  <c r="I41" i="14"/>
  <c r="H41" i="14"/>
  <c r="G41" i="14"/>
  <c r="F41" i="14"/>
  <c r="E41" i="14"/>
  <c r="D41" i="14"/>
  <c r="C41" i="14"/>
  <c r="B41" i="14"/>
  <c r="O41" i="15"/>
  <c r="T39" i="15"/>
  <c r="N41" i="15"/>
  <c r="M41" i="15"/>
  <c r="L41" i="15"/>
  <c r="K41" i="15"/>
  <c r="J41" i="15"/>
  <c r="H41" i="15"/>
  <c r="G41" i="15"/>
  <c r="F41" i="15"/>
  <c r="E41" i="15"/>
  <c r="D41" i="15"/>
  <c r="C41" i="15"/>
  <c r="B41" i="15"/>
  <c r="B45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O41" i="2"/>
  <c r="T39" i="2"/>
  <c r="T45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B46" i="8"/>
  <c r="B46" i="9"/>
  <c r="B46" i="16"/>
  <c r="H41" i="28"/>
  <c r="D41" i="28"/>
  <c r="K41" i="28"/>
  <c r="J41" i="28"/>
  <c r="L41" i="28"/>
  <c r="G41" i="28"/>
  <c r="I6" i="28"/>
  <c r="J6" i="28"/>
  <c r="J7" i="28"/>
  <c r="K6" i="28"/>
  <c r="L6" i="28"/>
  <c r="L7" i="28"/>
  <c r="M6" i="28"/>
  <c r="M7" i="28"/>
  <c r="N6" i="28"/>
  <c r="I7" i="28"/>
  <c r="K7" i="28"/>
  <c r="N7" i="28"/>
  <c r="O45" i="3"/>
  <c r="T38" i="3"/>
  <c r="B46" i="3"/>
  <c r="P41" i="2"/>
  <c r="U39" i="2"/>
  <c r="T44" i="28"/>
  <c r="T39" i="10"/>
  <c r="T45" i="10"/>
  <c r="P41" i="10"/>
  <c r="U39" i="10"/>
  <c r="U43" i="10"/>
  <c r="U45" i="10"/>
  <c r="O45" i="10"/>
  <c r="T38" i="10"/>
  <c r="U40" i="12"/>
  <c r="T39" i="6"/>
  <c r="T45" i="6"/>
  <c r="P41" i="11"/>
  <c r="U39" i="11"/>
  <c r="U42" i="11"/>
  <c r="U45" i="11"/>
  <c r="T39" i="11"/>
  <c r="T45" i="11"/>
  <c r="U42" i="17"/>
  <c r="P38" i="17"/>
  <c r="T21" i="17"/>
  <c r="P41" i="16"/>
  <c r="U39" i="16"/>
  <c r="T39" i="16"/>
  <c r="T45" i="16"/>
  <c r="P41" i="12"/>
  <c r="U39" i="12"/>
  <c r="T39" i="12"/>
  <c r="T45" i="12"/>
  <c r="P41" i="8"/>
  <c r="U39" i="8"/>
  <c r="T39" i="8"/>
  <c r="U42" i="8"/>
  <c r="U42" i="7"/>
  <c r="P38" i="7"/>
  <c r="P41" i="17"/>
  <c r="U39" i="17"/>
  <c r="U45" i="17"/>
  <c r="P41" i="9"/>
  <c r="U39" i="9"/>
  <c r="T39" i="9"/>
  <c r="T45" i="9"/>
  <c r="O45" i="6"/>
  <c r="T38" i="6"/>
  <c r="P41" i="4"/>
  <c r="U39" i="4"/>
  <c r="U43" i="6"/>
  <c r="P38" i="6"/>
  <c r="U42" i="4"/>
  <c r="P38" i="11"/>
  <c r="P38" i="10"/>
  <c r="P38" i="3"/>
  <c r="T39" i="3"/>
  <c r="T45" i="3"/>
  <c r="U45" i="6"/>
  <c r="O45" i="2"/>
  <c r="T38" i="2"/>
  <c r="B46" i="2"/>
  <c r="U43" i="9"/>
  <c r="B46" i="7"/>
  <c r="M43" i="11"/>
  <c r="B41" i="5"/>
  <c r="R32" i="15"/>
  <c r="B46" i="4"/>
  <c r="O45" i="4"/>
  <c r="T38" i="4"/>
  <c r="L43" i="10"/>
  <c r="U43" i="2"/>
  <c r="U43" i="12"/>
  <c r="U45" i="12"/>
  <c r="P38" i="12"/>
  <c r="U43" i="4"/>
  <c r="U45" i="4"/>
  <c r="P38" i="4"/>
  <c r="B45" i="11"/>
  <c r="B46" i="13"/>
  <c r="P38" i="16"/>
  <c r="U42" i="16"/>
  <c r="U45" i="16"/>
  <c r="O45" i="16"/>
  <c r="T38" i="16"/>
  <c r="P34" i="8"/>
  <c r="U44" i="8"/>
  <c r="B25" i="5"/>
  <c r="B25" i="14"/>
  <c r="O45" i="17"/>
  <c r="T38" i="17"/>
  <c r="B46" i="17"/>
  <c r="B25" i="15"/>
  <c r="B45" i="15"/>
  <c r="O45" i="12"/>
  <c r="T38" i="12"/>
  <c r="B46" i="12"/>
  <c r="T21" i="12"/>
  <c r="M43" i="12"/>
  <c r="L43" i="12"/>
  <c r="B46" i="11"/>
  <c r="O45" i="11"/>
  <c r="T38" i="11"/>
  <c r="N41" i="5"/>
  <c r="N30" i="5"/>
  <c r="L43" i="11"/>
  <c r="O43" i="11"/>
  <c r="T21" i="10"/>
  <c r="M43" i="10"/>
  <c r="P32" i="8"/>
  <c r="T43" i="8"/>
  <c r="T45" i="8"/>
  <c r="L43" i="3"/>
  <c r="M43" i="3"/>
  <c r="T21" i="3"/>
  <c r="T21" i="11"/>
  <c r="B24" i="11"/>
  <c r="O43" i="10"/>
  <c r="B46" i="15"/>
  <c r="O41" i="5"/>
  <c r="U43" i="8"/>
  <c r="U45" i="8"/>
  <c r="P38" i="8"/>
  <c r="P41" i="5"/>
  <c r="U39" i="5"/>
  <c r="U45" i="5"/>
  <c r="T39" i="5"/>
  <c r="T45" i="5"/>
  <c r="C41" i="7"/>
  <c r="O41" i="7"/>
  <c r="T39" i="7"/>
  <c r="T45" i="7"/>
  <c r="T21" i="7"/>
  <c r="P41" i="7"/>
  <c r="U39" i="7"/>
  <c r="U45" i="7"/>
  <c r="L43" i="7"/>
  <c r="M43" i="7"/>
  <c r="O43" i="7"/>
  <c r="P34" i="2"/>
  <c r="L43" i="8"/>
  <c r="M43" i="8"/>
  <c r="T21" i="8"/>
  <c r="T21" i="5"/>
  <c r="M43" i="5"/>
  <c r="T21" i="4"/>
  <c r="L43" i="4"/>
  <c r="M43" i="17"/>
  <c r="L43" i="17"/>
  <c r="M43" i="16"/>
  <c r="T21" i="16"/>
  <c r="L43" i="16"/>
  <c r="T43" i="28"/>
  <c r="P38" i="2"/>
  <c r="U44" i="2"/>
  <c r="U45" i="2"/>
  <c r="O43" i="8"/>
  <c r="M43" i="4"/>
  <c r="O43" i="3"/>
  <c r="O43" i="12"/>
  <c r="O43" i="17"/>
  <c r="O43" i="16"/>
  <c r="M43" i="2"/>
  <c r="L43" i="2"/>
  <c r="T21" i="2"/>
  <c r="O43" i="4"/>
  <c r="O43" i="2"/>
  <c r="T40" i="13"/>
  <c r="T40" i="28"/>
  <c r="B45" i="14"/>
  <c r="B46" i="14"/>
  <c r="P35" i="14"/>
  <c r="U40" i="14"/>
  <c r="P31" i="14"/>
  <c r="U42" i="14"/>
  <c r="P32" i="14"/>
  <c r="P33" i="14"/>
  <c r="P34" i="14"/>
  <c r="P38" i="14"/>
  <c r="U43" i="14"/>
  <c r="U44" i="14"/>
  <c r="U41" i="14"/>
  <c r="O41" i="14"/>
  <c r="P41" i="14"/>
  <c r="U39" i="14"/>
  <c r="U45" i="14"/>
  <c r="T39" i="14"/>
  <c r="T45" i="14"/>
  <c r="O45" i="13"/>
  <c r="T38" i="13"/>
  <c r="M41" i="13"/>
  <c r="T42" i="13"/>
  <c r="O45" i="14"/>
  <c r="T38" i="14"/>
  <c r="N41" i="14"/>
  <c r="L43" i="14"/>
  <c r="M43" i="14"/>
  <c r="T21" i="14"/>
  <c r="O43" i="14"/>
  <c r="T21" i="13"/>
  <c r="U45" i="9"/>
  <c r="P38" i="9"/>
  <c r="O45" i="5"/>
  <c r="T38" i="5"/>
  <c r="B46" i="5"/>
  <c r="M41" i="28"/>
  <c r="I41" i="28"/>
  <c r="C41" i="28"/>
  <c r="L43" i="5"/>
  <c r="B45" i="28"/>
  <c r="F41" i="28"/>
  <c r="E41" i="28"/>
  <c r="B41" i="28"/>
  <c r="T42" i="28"/>
  <c r="L43" i="13"/>
  <c r="M43" i="13"/>
  <c r="O43" i="5"/>
  <c r="D43" i="6"/>
  <c r="K43" i="6"/>
  <c r="T21" i="6"/>
  <c r="O43" i="13"/>
  <c r="O43" i="6"/>
  <c r="T21" i="9"/>
  <c r="L43" i="9"/>
  <c r="M43" i="9"/>
  <c r="O43" i="9"/>
  <c r="L43" i="28"/>
  <c r="O43" i="28"/>
  <c r="T19" i="28"/>
  <c r="B33" i="28"/>
  <c r="T41" i="28"/>
  <c r="O45" i="28"/>
  <c r="T38" i="28"/>
  <c r="P31" i="15"/>
  <c r="P32" i="15"/>
  <c r="P33" i="15"/>
  <c r="P34" i="15"/>
  <c r="P35" i="15"/>
  <c r="P38" i="15"/>
  <c r="P41" i="15"/>
  <c r="U39" i="15"/>
  <c r="U40" i="15"/>
  <c r="U41" i="15"/>
  <c r="U42" i="15"/>
  <c r="U43" i="15"/>
  <c r="U44" i="15"/>
  <c r="U45" i="15"/>
  <c r="T41" i="15"/>
  <c r="T45" i="15"/>
  <c r="R33" i="15"/>
  <c r="O30" i="15"/>
  <c r="L43" i="15"/>
  <c r="M43" i="15"/>
  <c r="O43" i="15"/>
  <c r="T21" i="15"/>
  <c r="R35" i="15"/>
  <c r="O45" i="15"/>
  <c r="T38" i="15"/>
  <c r="R39" i="15"/>
  <c r="B35" i="13"/>
  <c r="P34" i="13"/>
  <c r="U44" i="13"/>
  <c r="P32" i="13"/>
  <c r="U43" i="13"/>
  <c r="P33" i="13"/>
  <c r="U41" i="13"/>
  <c r="P35" i="13"/>
  <c r="U40" i="13"/>
  <c r="O41" i="13"/>
  <c r="T39" i="13"/>
  <c r="T45" i="13"/>
  <c r="P31" i="13"/>
  <c r="P38" i="13"/>
  <c r="U42" i="13"/>
  <c r="P41" i="13"/>
  <c r="U39" i="13"/>
  <c r="U45" i="13"/>
  <c r="N41" i="13"/>
  <c r="B30" i="13"/>
  <c r="B35" i="28"/>
  <c r="T39" i="28"/>
  <c r="T45" i="28"/>
  <c r="P35" i="28"/>
  <c r="U40" i="28"/>
  <c r="P33" i="28"/>
  <c r="U41" i="28"/>
  <c r="P31" i="28"/>
  <c r="U42" i="28"/>
  <c r="P32" i="28"/>
  <c r="U43" i="28"/>
  <c r="P34" i="28"/>
  <c r="U44" i="28"/>
  <c r="P41" i="28"/>
  <c r="U39" i="28"/>
  <c r="U45" i="28"/>
  <c r="P38" i="28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MR, i linje med föregående års förbrukning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kolumn, litet jämfört med det beräknat ur MR</t>
        </r>
      </text>
    </comment>
    <comment ref="C39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kolumn</t>
        </r>
      </text>
    </comment>
    <comment ref="G39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på rad</t>
        </r>
      </text>
    </comment>
    <comment ref="C49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Mängd diesel och eldningsolja i m3 * energiinehållen</t>
        </r>
      </text>
    </comment>
    <comment ref="G49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Medeleffekt * antalet timmer på ett år</t>
        </r>
      </text>
    </comment>
  </commentList>
</comments>
</file>

<file path=xl/comments11.xml><?xml version="1.0" encoding="utf-8"?>
<comments xmlns="http://schemas.openxmlformats.org/spreadsheetml/2006/main">
  <authors>
    <author>Rickard</author>
    <author>www.statistikdatabasen.scb.se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Fjärrvämekollen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9 m3 eco-par bränsle, 11% mer energiinnehåll jämtemot diesel.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Konverteringsfaktorer från bioenergiportalen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trädelar fuktighet 45%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m3s flis till MWh</t>
        </r>
      </text>
    </comment>
  </commentList>
</comments>
</file>

<file path=xl/comments12.xml><?xml version="1.0" encoding="utf-8"?>
<comments xmlns="http://schemas.openxmlformats.org/spreadsheetml/2006/main">
  <authors>
    <author>Rickard</author>
    <author>www.statistikdatabasen.scb.se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Svensk Fjärrvärme och Fjärrvärmekollen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Fjärrvärmekollen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Fjärrvärmekollen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Fjärrvärmekollen: karlstad + molkom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Fjärrvärmekollen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Korrekt enligt svensk fjärrvärme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Fjärrvärmekollen: karlstad + molkom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SvFj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Spillvärme + köpt hetvatten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Står m3 i MR, menar dem liter egentligen?</t>
        </r>
      </text>
    </comment>
  </commentList>
</comments>
</file>

<file path=xl/comments13.xml><?xml version="1.0" encoding="utf-8"?>
<comments xmlns="http://schemas.openxmlformats.org/spreadsheetml/2006/main">
  <authors>
    <author>Rickard</author>
    <author>www.statistikdatabasen.scb.se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Samma som Svensk Fjärrvärme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Samma som Svensk Fjärrvärme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Justerad för mottryck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på rad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på rad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elberäkning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kolumn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aserat på tidigare års statistik.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elberäkningar
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elberäkningar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Summa rad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Olja mottryck samt stort tillägg inkluderat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Justerad för mottryck</t>
        </r>
      </text>
    </comment>
  </commentList>
</comments>
</file>

<file path=xl/comments14.xml><?xml version="1.0" encoding="utf-8"?>
<comments xmlns="http://schemas.openxmlformats.org/spreadsheetml/2006/main">
  <authors>
    <author>Rickard</author>
    <author>www.statistikdatabasen.scb.se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Beräknad med 90% verkningsgrad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inom industri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kolumn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elberäkningen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på rad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för småhus</t>
        </r>
      </text>
    </comment>
  </commentList>
</comments>
</file>

<file path=xl/comments1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>
  <authors>
    <author>Rickard</author>
    <author>www.statistikdatabasen.scb.se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Stämmer med uppgifter från Svensk Fjärrvärme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7.xml><?xml version="1.0" encoding="utf-8"?>
<comments xmlns="http://schemas.openxmlformats.org/spreadsheetml/2006/main">
  <authors>
    <author>Rickard</author>
    <author>www.statistikdatabasen.scb.se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Svensk Fjärrvärme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Svensk Fjärrvärme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elberäkningen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Summa kolumn</t>
        </r>
      </text>
    </comment>
  </commentList>
</comments>
</file>

<file path=xl/comments2.xml><?xml version="1.0" encoding="utf-8"?>
<comments xmlns="http://schemas.openxmlformats.org/spreadsheetml/2006/main">
  <authors>
    <author>Rickard</author>
    <author>www.statistikdatabasen.scb.se</author>
  </authors>
  <commentList>
    <comment ref="K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Enligt fjärrvärmekollen och svensk fjärrvärme. Flyttat mängden från kol och koks samt biobränsle.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på rad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på rad</t>
        </r>
      </text>
    </comment>
  </commentList>
</comments>
</file>

<file path=xl/comments3.xml><?xml version="1.0" encoding="utf-8"?>
<comments xmlns="http://schemas.openxmlformats.org/spreadsheetml/2006/main">
  <authors>
    <author>Kaj</author>
    <author>www.statistikdatabasen.scb.se</author>
    <author>Rickard</author>
  </authors>
  <commentList>
    <comment ref="B17" authorId="0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Utäver värme produceras ånga 112 GWh.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2" authorId="2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kolumn</t>
        </r>
      </text>
    </comment>
    <comment ref="E32" authorId="2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Norma precision förbrukning 2013</t>
        </r>
      </text>
    </comment>
    <comment ref="G32" authorId="2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på rad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Rickard</author>
    <author>www.statistikdatabasen.scb.se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Beräknad utifrån kvoten av levererad fjärrvärme mellan Storfors och Filipstad, multiplicerat med produktionen i hela nätet.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Uppgifter om bränslen från Svensk Fjärrvärme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inom småhus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kolumnen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Rickard</author>
    <author>www.statistikdatabasen.scb.se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RT-flis enligt Fjärrvärmekollen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F34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Samma förhållande till oljeprodukter som genomsnittet för övriga kommuner.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 kollumn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inom transporter</t>
        </r>
      </text>
    </comment>
    <comment ref="F34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Medelvärdet år 13-14.</t>
        </r>
      </text>
    </comment>
    <comment ref="C39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Ökad i behov av mer oljeförbrukning inom industrin</t>
        </r>
      </text>
    </comment>
  </commentList>
</comments>
</file>

<file path=xl/sharedStrings.xml><?xml version="1.0" encoding="utf-8"?>
<sst xmlns="http://schemas.openxmlformats.org/spreadsheetml/2006/main" count="1669" uniqueCount="94">
  <si>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</si>
  <si>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</si>
  <si>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</si>
  <si>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</si>
  <si>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</si>
  <si>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</si>
  <si>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</si>
  <si>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</si>
  <si>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</si>
  <si>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</si>
  <si>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</si>
  <si>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</si>
  <si>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</si>
  <si>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</si>
  <si>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</si>
  <si>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</si>
  <si>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</si>
  <si>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</si>
  <si>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</si>
  <si>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</si>
  <si>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</si>
  <si>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</si>
  <si>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</si>
  <si>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</si>
  <si>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</si>
  <si>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</si>
  <si>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</si>
  <si>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</si>
  <si>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</si>
  <si>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</si>
  <si>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</si>
  <si>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</si>
  <si>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</si>
  <si>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..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</si>
  <si>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</si>
  <si>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</si>
  <si>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</si>
  <si>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</si>
  <si>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</si>
  <si>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</si>
  <si>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</si>
  <si>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</si>
  <si>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</si>
  <si>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</si>
  <si>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</si>
  <si>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</si>
  <si>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</si>
  <si>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</si>
  <si>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</si>
  <si>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</si>
  <si>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</si>
  <si>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</si>
  <si>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</si>
  <si>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</si>
  <si>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</si>
  <si>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</si>
  <si>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</si>
  <si>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</si>
  <si>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</si>
  <si>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Biobränslen</t>
  </si>
  <si>
    <t>Kontroll</t>
  </si>
  <si>
    <t>Värmlands län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</si>
  <si>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</si>
  <si>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</si>
  <si>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</si>
  <si>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</si>
  <si>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</si>
  <si>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</si>
  <si>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</si>
  <si>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</si>
  <si>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</si>
  <si>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</si>
  <si>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</si>
  <si>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</si>
  <si>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</si>
  <si>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</si>
  <si>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</si>
  <si>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</si>
  <si>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har industriellt mottryck</t>
  </si>
  <si>
    <t>Träpellets</t>
  </si>
  <si>
    <t>Träbriketter</t>
  </si>
  <si>
    <t>Köpt Karlstad</t>
  </si>
  <si>
    <t>Grot</t>
  </si>
  <si>
    <t>Stamvedsflis</t>
  </si>
  <si>
    <t>Bark</t>
  </si>
  <si>
    <t>Sålt Hammarö</t>
  </si>
  <si>
    <t>Starkgas</t>
  </si>
  <si>
    <t>Slam</t>
  </si>
  <si>
    <t>Solceller</t>
  </si>
  <si>
    <t>17 Värmlands län</t>
  </si>
  <si>
    <t>Antal solcellsanläggninar och installerad effekt efter tabellinnehåll, region, år och förbrukarkategori</t>
  </si>
  <si>
    <t>Änga</t>
  </si>
  <si>
    <t>Slam+starkgas</t>
  </si>
  <si>
    <t>Ånga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</si>
</sst>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#,##0.000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color rgb="FF000000"/>
      <name val="Tahoma"/>
      <family val="2"/>
    </font>
    <font>
      <u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rgb="FF000000"/>
      <name val="Calibri"/>
      <family val="2"/>
    </font>
    <font>
      <u/>
      <sz val="11"/>
      <color rgb="FF000000"/>
      <name val="Calibri"/>
      <family val="2"/>
    </font>
    <font>
      <i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i/>
      <u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A07A"/>
        <bgColor rgb="FFFFA07A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0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0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1" applyFont="1" applyFill="1" applyProtection="1"/>
    <xf numFmtId="0" fontId="4" fillId="0" borderId="0" xfId="1" applyFill="1" applyProtection="1"/>
    <xf numFmtId="0" fontId="6" fillId="0" borderId="0" xfId="1" applyFont="1"/>
    <xf numFmtId="0" fontId="7" fillId="0" borderId="0" xfId="0" applyFont="1" applyFill="1" applyProtection="1"/>
    <xf numFmtId="0" fontId="7" fillId="0" borderId="0" xfId="1" applyFont="1" applyFill="1" applyProtection="1"/>
    <xf numFmtId="3" fontId="4" fillId="0" borderId="0" xfId="1" applyNumberFormat="1"/>
    <xf numFmtId="0" fontId="4" fillId="0" borderId="0" xfId="1"/>
    <xf numFmtId="3" fontId="0" fillId="0" borderId="0" xfId="0" applyNumberFormat="1" applyFill="1" applyProtection="1"/>
    <xf numFmtId="3" fontId="4" fillId="0" borderId="0" xfId="1" applyNumberFormat="1" applyFill="1" applyProtection="1"/>
    <xf numFmtId="3" fontId="8" fillId="0" borderId="0" xfId="1" applyNumberFormat="1" applyFont="1" applyFill="1" applyProtection="1"/>
    <xf numFmtId="164" fontId="4" fillId="0" borderId="0" xfId="1" applyNumberFormat="1"/>
    <xf numFmtId="4" fontId="4" fillId="0" borderId="0" xfId="1" applyNumberFormat="1"/>
    <xf numFmtId="165" fontId="4" fillId="0" borderId="0" xfId="1" applyNumberFormat="1"/>
    <xf numFmtId="10" fontId="4" fillId="0" borderId="0" xfId="1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165" fontId="9" fillId="0" borderId="0" xfId="1" applyNumberFormat="1" applyFont="1"/>
    <xf numFmtId="165" fontId="6" fillId="0" borderId="0" xfId="1" applyNumberFormat="1" applyFont="1"/>
    <xf numFmtId="166" fontId="4" fillId="0" borderId="0" xfId="1" applyNumberFormat="1"/>
    <xf numFmtId="2" fontId="4" fillId="0" borderId="0" xfId="1" applyNumberFormat="1"/>
    <xf numFmtId="0" fontId="10" fillId="0" borderId="0" xfId="1" applyFont="1"/>
    <xf numFmtId="3" fontId="10" fillId="0" borderId="0" xfId="1" applyNumberFormat="1" applyFont="1"/>
    <xf numFmtId="3" fontId="9" fillId="0" borderId="0" xfId="1" applyNumberFormat="1" applyFont="1"/>
    <xf numFmtId="3" fontId="9" fillId="2" borderId="0" xfId="1" applyNumberFormat="1" applyFont="1" applyFill="1"/>
    <xf numFmtId="3" fontId="11" fillId="2" borderId="0" xfId="1" applyNumberFormat="1" applyFont="1" applyFill="1"/>
    <xf numFmtId="3" fontId="4" fillId="2" borderId="0" xfId="1" applyNumberFormat="1" applyFill="1"/>
    <xf numFmtId="0" fontId="0" fillId="0" borderId="0" xfId="0" applyFill="1" applyProtection="1"/>
    <xf numFmtId="1" fontId="4" fillId="0" borderId="0" xfId="1" applyNumberFormat="1"/>
    <xf numFmtId="165" fontId="9" fillId="0" borderId="0" xfId="2" applyNumberFormat="1" applyFont="1"/>
    <xf numFmtId="165" fontId="3" fillId="0" borderId="0" xfId="2" applyNumberFormat="1" applyFont="1"/>
    <xf numFmtId="3" fontId="11" fillId="0" borderId="0" xfId="1" applyNumberFormat="1" applyFont="1"/>
    <xf numFmtId="9" fontId="11" fillId="0" borderId="0" xfId="2" applyFont="1"/>
    <xf numFmtId="0" fontId="4" fillId="0" borderId="0" xfId="1" applyAlignment="1">
      <alignment horizontal="right"/>
    </xf>
    <xf numFmtId="3" fontId="4" fillId="0" borderId="0" xfId="1" applyNumberFormat="1" applyAlignment="1">
      <alignment horizontal="right"/>
    </xf>
    <xf numFmtId="9" fontId="11" fillId="0" borderId="0" xfId="2" applyNumberFormat="1" applyFont="1"/>
    <xf numFmtId="9" fontId="3" fillId="0" borderId="0" xfId="2" applyFont="1"/>
    <xf numFmtId="0" fontId="13" fillId="0" borderId="0" xfId="0" applyFont="1"/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3" fontId="16" fillId="0" borderId="0" xfId="1" applyNumberFormat="1" applyFont="1"/>
    <xf numFmtId="3" fontId="17" fillId="0" borderId="0" xfId="1" applyNumberFormat="1" applyFont="1" applyFill="1" applyProtection="1"/>
    <xf numFmtId="0" fontId="17" fillId="0" borderId="0" xfId="1" applyFont="1" applyFill="1" applyProtection="1"/>
    <xf numFmtId="165" fontId="4" fillId="0" borderId="0" xfId="1" applyNumberFormat="1" applyFill="1" applyProtection="1"/>
    <xf numFmtId="3" fontId="15" fillId="0" borderId="0" xfId="0" applyNumberFormat="1" applyFont="1"/>
    <xf numFmtId="165" fontId="2" fillId="0" borderId="0" xfId="2" applyNumberFormat="1" applyFont="1"/>
    <xf numFmtId="3" fontId="0" fillId="0" borderId="0" xfId="1" applyNumberFormat="1" applyFont="1"/>
    <xf numFmtId="9" fontId="2" fillId="0" borderId="0" xfId="2" applyFont="1"/>
    <xf numFmtId="3" fontId="0" fillId="0" borderId="0" xfId="0" applyNumberFormat="1" applyFill="1" applyAlignment="1" applyProtection="1">
      <alignment horizontal="right"/>
    </xf>
    <xf numFmtId="9" fontId="4" fillId="0" borderId="0" xfId="4" applyFont="1"/>
    <xf numFmtId="167" fontId="4" fillId="0" borderId="0" xfId="1" applyNumberFormat="1" applyFill="1" applyProtection="1"/>
    <xf numFmtId="3" fontId="21" fillId="0" borderId="0" xfId="0" applyNumberFormat="1" applyFont="1" applyFill="1" applyAlignment="1" applyProtection="1">
      <alignment horizontal="right"/>
    </xf>
    <xf numFmtId="3" fontId="21" fillId="0" borderId="0" xfId="0" applyNumberFormat="1" applyFont="1" applyFill="1" applyProtection="1"/>
    <xf numFmtId="167" fontId="0" fillId="0" borderId="0" xfId="0" applyNumberFormat="1" applyFill="1" applyProtection="1"/>
    <xf numFmtId="3" fontId="22" fillId="0" borderId="0" xfId="0" applyNumberFormat="1" applyFont="1" applyFill="1" applyAlignment="1" applyProtection="1">
      <alignment horizontal="right"/>
    </xf>
    <xf numFmtId="3" fontId="23" fillId="0" borderId="0" xfId="0" applyNumberFormat="1" applyFont="1" applyFill="1" applyAlignment="1" applyProtection="1">
      <alignment horizontal="right"/>
    </xf>
    <xf numFmtId="3" fontId="6" fillId="0" borderId="0" xfId="1" applyNumberFormat="1" applyFont="1"/>
    <xf numFmtId="3" fontId="0" fillId="0" borderId="0" xfId="0" applyNumberFormat="1" applyFont="1" applyFill="1" applyAlignment="1" applyProtection="1">
      <alignment horizontal="right"/>
    </xf>
    <xf numFmtId="0" fontId="24" fillId="0" borderId="0" xfId="0" applyFont="1" applyFill="1" applyProtection="1"/>
    <xf numFmtId="3" fontId="7" fillId="0" borderId="0" xfId="0" applyNumberFormat="1" applyFont="1" applyFill="1" applyProtection="1"/>
    <xf numFmtId="3" fontId="23" fillId="0" borderId="0" xfId="0" applyNumberFormat="1" applyFont="1" applyFill="1" applyProtection="1"/>
    <xf numFmtId="0" fontId="7" fillId="0" borderId="2" xfId="0" applyFont="1" applyFill="1" applyBorder="1" applyProtection="1"/>
    <xf numFmtId="3" fontId="0" fillId="0" borderId="3" xfId="0" applyNumberFormat="1" applyFill="1" applyBorder="1" applyProtection="1"/>
    <xf numFmtId="3" fontId="22" fillId="0" borderId="4" xfId="0" applyNumberFormat="1" applyFont="1" applyFill="1" applyBorder="1" applyAlignment="1" applyProtection="1">
      <alignment horizontal="right"/>
    </xf>
    <xf numFmtId="3" fontId="22" fillId="3" borderId="1" xfId="0" applyNumberFormat="1" applyFont="1" applyFill="1" applyBorder="1" applyAlignment="1" applyProtection="1">
      <alignment horizontal="right"/>
    </xf>
    <xf numFmtId="3" fontId="23" fillId="0" borderId="0" xfId="0" applyNumberFormat="1" applyFont="1"/>
    <xf numFmtId="3" fontId="27" fillId="0" borderId="0" xfId="1" applyNumberFormat="1" applyFont="1" applyFill="1" applyProtection="1"/>
    <xf numFmtId="3" fontId="0" fillId="0" borderId="0" xfId="0" applyNumberFormat="1" applyFont="1" applyFill="1" applyProtection="1"/>
    <xf numFmtId="9" fontId="4" fillId="0" borderId="0" xfId="4" applyFont="1" applyFill="1" applyProtection="1"/>
    <xf numFmtId="0" fontId="23" fillId="0" borderId="0" xfId="0" applyFont="1"/>
    <xf numFmtId="3" fontId="21" fillId="0" borderId="0" xfId="0" applyNumberFormat="1" applyFont="1"/>
    <xf numFmtId="3" fontId="28" fillId="0" borderId="0" xfId="1" applyNumberFormat="1" applyFont="1" applyFill="1" applyProtection="1"/>
    <xf numFmtId="9" fontId="0" fillId="0" borderId="0" xfId="4" applyFont="1" applyFill="1" applyProtection="1"/>
    <xf numFmtId="0" fontId="14" fillId="0" borderId="0" xfId="0" applyFont="1" applyAlignment="1">
      <alignment horizontal="left"/>
    </xf>
    <xf numFmtId="3" fontId="29" fillId="0" borderId="0" xfId="0" applyNumberFormat="1" applyFont="1" applyFill="1" applyProtection="1"/>
    <xf numFmtId="0" fontId="13" fillId="0" borderId="0" xfId="0" applyFont="1" applyAlignment="1">
      <alignment horizontal="left"/>
    </xf>
    <xf numFmtId="0" fontId="4" fillId="0" borderId="0" xfId="1" applyFill="1" applyProtection="1"/>
    <xf numFmtId="0" fontId="7" fillId="0" borderId="0" xfId="1" applyFont="1" applyFill="1" applyProtection="1"/>
    <xf numFmtId="166" fontId="4" fillId="0" borderId="0" xfId="1" applyNumberFormat="1" applyFill="1" applyProtection="1"/>
    <xf numFmtId="3" fontId="24" fillId="0" borderId="0" xfId="0" applyNumberFormat="1" applyFont="1" applyFill="1" applyProtection="1"/>
    <xf numFmtId="3" fontId="29" fillId="0" borderId="0" xfId="0" applyNumberFormat="1" applyFont="1" applyFill="1" applyAlignment="1" applyProtection="1">
      <alignment horizontal="right"/>
    </xf>
    <xf numFmtId="3" fontId="31" fillId="0" borderId="0" xfId="0" applyNumberFormat="1" applyFont="1" applyFill="1" applyAlignment="1" applyProtection="1">
      <alignment horizontal="right"/>
    </xf>
    <xf numFmtId="3" fontId="31" fillId="0" borderId="0" xfId="0" applyNumberFormat="1" applyFont="1" applyFill="1" applyProtection="1"/>
    <xf numFmtId="0" fontId="4" fillId="0" borderId="0" xfId="1" applyFill="1" applyProtection="1"/>
    <xf numFmtId="0" fontId="7" fillId="0" borderId="0" xfId="1" applyFont="1" applyFill="1" applyProtection="1"/>
    <xf numFmtId="3" fontId="30" fillId="4" borderId="0" xfId="5" applyNumberFormat="1" applyAlignment="1" applyProtection="1">
      <alignment horizontal="right"/>
    </xf>
    <xf numFmtId="3" fontId="4" fillId="5" borderId="0" xfId="1" applyNumberFormat="1" applyFill="1" applyAlignment="1" applyProtection="1">
      <alignment horizontal="right"/>
    </xf>
    <xf numFmtId="3" fontId="23" fillId="3" borderId="1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Alignment="1" applyProtection="1">
      <alignment horizontal="right"/>
    </xf>
    <xf numFmtId="0" fontId="5" fillId="0" borderId="0" xfId="0" applyFont="1" applyFill="1" applyProtection="1"/>
    <xf numFmtId="3" fontId="33" fillId="0" borderId="0" xfId="0" applyNumberFormat="1" applyFont="1" applyAlignment="1">
      <alignment horizontal="right"/>
    </xf>
    <xf numFmtId="3" fontId="0" fillId="0" borderId="0" xfId="0" applyNumberFormat="1" applyFont="1"/>
    <xf numFmtId="3" fontId="22" fillId="0" borderId="0" xfId="0" applyNumberFormat="1" applyFont="1" applyFill="1" applyProtection="1"/>
    <xf numFmtId="3" fontId="36" fillId="0" borderId="0" xfId="0" applyNumberFormat="1" applyFont="1" applyFill="1" applyProtection="1"/>
    <xf numFmtId="3" fontId="13" fillId="0" borderId="0" xfId="0" applyNumberFormat="1" applyFont="1"/>
  </cellXfs>
  <cellStyles count="10">
    <cellStyle name="Bra" xfId="5" builtinId="26"/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/>
    <cellStyle name="Normal 3" xfId="3"/>
    <cellStyle name="Percent 2" xfId="2"/>
    <cellStyle name="Procent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8" Type="http://schemas.openxmlformats.org/officeDocument/2006/relationships/worksheet" Target="worksheets/sheet8.xml"/><Relationship Id="rId2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7" Type="http://schemas.openxmlformats.org/officeDocument/2006/relationships/worksheet" Target="worksheets/sheet7.xml"/><Relationship Id="rId20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4" Type="http://schemas.openxmlformats.org/officeDocument/2006/relationships/customXml" Target="../customXml/item3.xml"/><Relationship Id="rId15" Type="http://schemas.openxmlformats.org/officeDocument/2006/relationships/worksheet" Target="worksheets/sheet15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11.vml"/><Relationship Id="rId3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12.vml"/><Relationship Id="rId3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vmlDrawing" Target="../drawings/vmlDrawing13.vml"/><Relationship Id="rId3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vmlDrawing" Target="../drawings/vmlDrawing14.vml"/><Relationship Id="rId3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vmlDrawing" Target="../drawings/vmlDrawing15.vml"/><Relationship Id="rId3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7.vml"/><Relationship Id="rId2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6.vml"/><Relationship Id="rId3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86"/>
  <sheetViews>
    <sheetView tabSelected="1" zoomScale="85" zoomScaleNormal="85" zoomScalePageLayoutView="85" workbookViewId="0">
      <selection activeCell="B5" sqref="B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1.5" style="2" customWidth="1"/>
    <col min="4" max="6" width="8.83203125" style="2"/>
    <col min="7" max="7" width="9.6640625" style="2" customWidth="1"/>
    <col min="8" max="11" width="8.83203125" style="2"/>
    <col min="12" max="12" width="7.6640625" style="2" customWidth="1"/>
    <col min="13" max="13" width="7" style="2" customWidth="1"/>
    <col min="14" max="14" width="9.5" style="2" customWidth="1"/>
    <col min="15" max="15" width="9.83203125" style="2" customWidth="1"/>
    <col min="16" max="16" width="10.1640625" style="2" customWidth="1"/>
    <col min="17" max="17" width="9.5" style="2" customWidth="1"/>
    <col min="18" max="20" width="8.83203125" style="2"/>
    <col min="21" max="21" width="10.1640625" style="2" bestFit="1" customWidth="1"/>
    <col min="22" max="16384" width="8.832031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37" t="s">
        <v>61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 t="s">
        <v>8</v>
      </c>
      <c r="M3" s="6" t="s">
        <v>8</v>
      </c>
      <c r="N3" s="6"/>
      <c r="O3" s="7" t="s">
        <v>10</v>
      </c>
      <c r="P3" s="3"/>
      <c r="Q3" s="3"/>
      <c r="R3" s="3"/>
      <c r="S3" s="3"/>
      <c r="T3" s="3"/>
      <c r="U3" s="3"/>
    </row>
    <row r="4" spans="1:21" ht="15.75" x14ac:dyDescent="0.25">
      <c r="A4" s="4" t="s">
        <v>88</v>
      </c>
      <c r="B4" s="39">
        <f>SUM(Kil:Säffle!B4)</f>
        <v>2433.15</v>
      </c>
      <c r="C4" s="38"/>
      <c r="D4" s="9"/>
      <c r="P4" s="3"/>
      <c r="Q4" s="3"/>
      <c r="R4" s="3"/>
      <c r="S4" s="3"/>
      <c r="T4" s="3"/>
      <c r="U4" s="3"/>
    </row>
    <row r="5" spans="1:21" ht="15.75" x14ac:dyDescent="0.25">
      <c r="A5" s="5"/>
      <c r="B5" s="39"/>
      <c r="C5" s="27"/>
      <c r="D5" s="27"/>
      <c r="E5" s="27"/>
      <c r="F5" s="27"/>
      <c r="G5" s="27"/>
      <c r="P5" s="3"/>
      <c r="Q5" s="42"/>
      <c r="R5" s="3"/>
      <c r="S5" s="3"/>
      <c r="T5" s="3"/>
      <c r="U5" s="3"/>
    </row>
    <row r="6" spans="1:21" ht="16" x14ac:dyDescent="0.2">
      <c r="A6" s="4" t="s">
        <v>11</v>
      </c>
      <c r="B6" s="39">
        <f>SUM(Kil:Säffle!B6)</f>
        <v>138966</v>
      </c>
      <c r="C6" s="39">
        <f>SUM(Kil:Säffle!C6)</f>
        <v>135</v>
      </c>
      <c r="D6" s="39">
        <f>SUM(Kil:Säffle!D6)</f>
        <v>0</v>
      </c>
      <c r="E6" s="39">
        <f>SUM(Kil:Säffle!E6)</f>
        <v>0</v>
      </c>
      <c r="F6" s="39">
        <f>SUM(Kil:Säffle!F6)</f>
        <v>0</v>
      </c>
      <c r="G6" s="39">
        <f>SUM(Kil:Säffle!G6)</f>
        <v>142321</v>
      </c>
      <c r="H6" s="39">
        <f>SUM(Kil:Säffle!H6)</f>
        <v>0</v>
      </c>
      <c r="I6" s="39">
        <f>SUM(Kil:Säffle!I6)</f>
        <v>0</v>
      </c>
      <c r="J6" s="39">
        <f>SUM(Kil:Säffle!J6)</f>
        <v>0</v>
      </c>
      <c r="K6" s="39">
        <f>SUM(Kil:Säffle!K6)</f>
        <v>0</v>
      </c>
      <c r="L6" s="39">
        <f>SUM(Kil:Säffle!L6)</f>
        <v>0</v>
      </c>
      <c r="M6" s="39">
        <f>SUM(Kil:Säffle!M6)</f>
        <v>0</v>
      </c>
      <c r="N6" s="39">
        <f>SUM(Kil:Säffle!N6)</f>
        <v>0</v>
      </c>
      <c r="O6" s="39">
        <f>SUM(C6:N6)</f>
        <v>142456</v>
      </c>
      <c r="P6" s="3"/>
      <c r="Q6" s="43"/>
      <c r="R6" s="39"/>
      <c r="S6" s="3"/>
      <c r="T6" s="3"/>
      <c r="U6" s="3"/>
    </row>
    <row r="7" spans="1:21" ht="16" x14ac:dyDescent="0.2">
      <c r="A7" s="4" t="s">
        <v>12</v>
      </c>
      <c r="B7" s="39">
        <f>SUM(Kil:Säffle!B7)</f>
        <v>25</v>
      </c>
      <c r="C7" s="39">
        <f>SUM(Kil:Säffle!C7)</f>
        <v>77</v>
      </c>
      <c r="D7" s="39">
        <f>SUM(Kil:Säffle!D7)</f>
        <v>0</v>
      </c>
      <c r="E7" s="39">
        <f>SUM(Kil:Säffle!E7)</f>
        <v>0</v>
      </c>
      <c r="F7" s="39">
        <f>SUM(Kil:Säffle!F7)</f>
        <v>0</v>
      </c>
      <c r="G7" s="39">
        <f>SUM(Kil:Säffle!G7)</f>
        <v>0</v>
      </c>
      <c r="H7" s="39">
        <f>SUM(Kil:Säffle!H7)</f>
        <v>0</v>
      </c>
      <c r="I7" s="39">
        <f>SUM(Kil:Säffle!I7)</f>
        <v>0</v>
      </c>
      <c r="J7" s="39">
        <f>SUM(Kil:Säffle!J7)</f>
        <v>0</v>
      </c>
      <c r="K7" s="39">
        <f>SUM(Kil:Säffle!K7)</f>
        <v>0</v>
      </c>
      <c r="L7" s="39">
        <f>SUM(Kil:Säffle!L7)</f>
        <v>0</v>
      </c>
      <c r="M7" s="39">
        <f>SUM(Kil:Säffle!M7)</f>
        <v>0</v>
      </c>
      <c r="N7" s="39">
        <f>SUM(Kil:Säffle!N7)</f>
        <v>0</v>
      </c>
      <c r="O7" s="39">
        <f>SUM(C7:N7)</f>
        <v>77</v>
      </c>
      <c r="P7" s="3"/>
      <c r="Q7" s="43"/>
      <c r="R7" s="39"/>
      <c r="S7" s="3"/>
      <c r="T7" s="3"/>
      <c r="U7" s="3"/>
    </row>
    <row r="8" spans="1:21" ht="16" x14ac:dyDescent="0.2">
      <c r="A8" s="4" t="s">
        <v>13</v>
      </c>
      <c r="B8" s="39">
        <f>SUM(Kil:Säffle!B8)</f>
        <v>2535420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3"/>
      <c r="Q8" s="3"/>
      <c r="R8" s="39"/>
      <c r="S8" s="3"/>
      <c r="T8" s="3"/>
      <c r="U8" s="3"/>
    </row>
    <row r="9" spans="1:21" ht="16" x14ac:dyDescent="0.2">
      <c r="A9" s="4" t="s">
        <v>14</v>
      </c>
      <c r="B9" s="39">
        <f>SUM(Kil:Säffle!B9)</f>
        <v>314794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3"/>
      <c r="Q9" s="3"/>
      <c r="R9" s="39"/>
      <c r="S9" s="3"/>
      <c r="T9" s="3"/>
      <c r="U9" s="3"/>
    </row>
    <row r="10" spans="1:21" ht="16" x14ac:dyDescent="0.2">
      <c r="A10" s="4" t="s">
        <v>15</v>
      </c>
      <c r="B10" s="39">
        <f>SUM(B4:B9)</f>
        <v>2991638.15</v>
      </c>
      <c r="C10" s="39">
        <f>SUM(C6:C7)</f>
        <v>212</v>
      </c>
      <c r="D10" s="39">
        <f t="shared" ref="D10:O10" si="0">SUM(D6:D7)</f>
        <v>0</v>
      </c>
      <c r="E10" s="39">
        <f t="shared" si="0"/>
        <v>0</v>
      </c>
      <c r="F10" s="39">
        <f t="shared" si="0"/>
        <v>0</v>
      </c>
      <c r="G10" s="39">
        <f t="shared" si="0"/>
        <v>142321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39">
        <f t="shared" si="0"/>
        <v>142533</v>
      </c>
      <c r="P10" s="3"/>
      <c r="Q10" s="3"/>
      <c r="R10" s="39"/>
      <c r="S10" s="3"/>
      <c r="T10" s="3"/>
      <c r="U10" s="3"/>
    </row>
    <row r="11" spans="1:21" ht="16" x14ac:dyDescent="0.2">
      <c r="A11" s="4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"/>
      <c r="Q11" s="3"/>
      <c r="R11" s="39"/>
      <c r="S11" s="3"/>
      <c r="T11" s="3"/>
      <c r="U11" s="3"/>
    </row>
    <row r="12" spans="1:21" ht="16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"/>
      <c r="Q12" s="3"/>
      <c r="R12" s="39"/>
      <c r="S12" s="3"/>
      <c r="T12" s="3"/>
      <c r="U12" s="3"/>
    </row>
    <row r="13" spans="1:21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9"/>
      <c r="S13" s="3"/>
      <c r="T13" s="3"/>
      <c r="U13" s="3"/>
    </row>
    <row r="14" spans="1:21" ht="16" x14ac:dyDescent="0.2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9"/>
      <c r="S14" s="3"/>
      <c r="T14" s="3"/>
      <c r="U14" s="3"/>
    </row>
    <row r="15" spans="1:21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 t="s">
        <v>8</v>
      </c>
      <c r="M15" s="6" t="s">
        <v>8</v>
      </c>
      <c r="N15" s="6" t="s">
        <v>9</v>
      </c>
      <c r="O15" s="9" t="s">
        <v>10</v>
      </c>
      <c r="P15" s="3"/>
      <c r="Q15" s="3"/>
      <c r="R15" s="39"/>
      <c r="S15" s="3"/>
      <c r="T15" s="3"/>
      <c r="U15" s="3"/>
    </row>
    <row r="16" spans="1:21" ht="16" x14ac:dyDescent="0.2">
      <c r="B16" s="9"/>
      <c r="C16" s="27"/>
      <c r="D16" s="27"/>
      <c r="E16" s="27"/>
      <c r="F16" s="27"/>
      <c r="G16" s="27"/>
      <c r="H16" s="9"/>
      <c r="I16" s="9"/>
      <c r="J16" s="9"/>
      <c r="K16" s="9"/>
      <c r="L16" s="9"/>
      <c r="M16" s="9"/>
      <c r="N16" s="9"/>
      <c r="O16" s="9"/>
      <c r="P16" s="3"/>
      <c r="Q16" s="42"/>
      <c r="R16" s="39"/>
      <c r="S16" s="3"/>
      <c r="T16" s="3"/>
      <c r="U16" s="3"/>
    </row>
    <row r="17" spans="1:25" ht="16" x14ac:dyDescent="0.2">
      <c r="A17" s="4" t="s">
        <v>19</v>
      </c>
      <c r="B17" s="39">
        <f>SUM(Kil:Säffle!B17)</f>
        <v>506100</v>
      </c>
      <c r="C17" s="39">
        <f>SUM(Kil:Säffle!C17)</f>
        <v>3460</v>
      </c>
      <c r="D17" s="39">
        <f>SUM(Kil:Säffle!D17)</f>
        <v>0</v>
      </c>
      <c r="E17" s="39">
        <f>SUM(Kil:Säffle!E17)</f>
        <v>0</v>
      </c>
      <c r="F17" s="39">
        <f>SUM(Kil:Säffle!F17)</f>
        <v>0</v>
      </c>
      <c r="G17" s="39">
        <f>SUM(Kil:Säffle!G17)</f>
        <v>561900</v>
      </c>
      <c r="H17" s="39">
        <f>SUM(Kil:Säffle!H17)</f>
        <v>0</v>
      </c>
      <c r="I17" s="39">
        <f>SUM(Kil:Säffle!I17)</f>
        <v>0</v>
      </c>
      <c r="J17" s="39">
        <f>SUM(Kil:Säffle!J17)</f>
        <v>0</v>
      </c>
      <c r="K17" s="39">
        <f>SUM(Kil:Säffle!K17)</f>
        <v>206151</v>
      </c>
      <c r="L17" s="39">
        <f>SUM(Kil:Säffle!L17)</f>
        <v>0</v>
      </c>
      <c r="M17" s="39">
        <f>SUM(Kil:Säffle!M17)</f>
        <v>0</v>
      </c>
      <c r="N17" s="39">
        <f>SUM(Kil:Säffle!N17)</f>
        <v>0</v>
      </c>
      <c r="O17" s="39">
        <f>SUM(C17:N17)</f>
        <v>771511</v>
      </c>
      <c r="P17" s="3"/>
      <c r="Q17" s="43"/>
      <c r="R17" s="39"/>
      <c r="S17" s="3"/>
      <c r="T17" s="3"/>
      <c r="U17" s="3"/>
    </row>
    <row r="18" spans="1:25" ht="16" x14ac:dyDescent="0.2">
      <c r="A18" s="4" t="s">
        <v>20</v>
      </c>
      <c r="B18" s="39">
        <f>SUM(Kil:Säffle!B18)</f>
        <v>792441.40445572475</v>
      </c>
      <c r="C18" s="39">
        <f>SUM(Kil:Säffle!C18)</f>
        <v>17223</v>
      </c>
      <c r="D18" s="39">
        <f>SUM(Kil:Säffle!D18)</f>
        <v>0</v>
      </c>
      <c r="E18" s="39">
        <f>SUM(Kil:Säffle!E18)</f>
        <v>0</v>
      </c>
      <c r="F18" s="39">
        <f>SUM(Kil:Säffle!F18)</f>
        <v>10231</v>
      </c>
      <c r="G18" s="39">
        <f>SUM(Kil:Säffle!G18)</f>
        <v>570410</v>
      </c>
      <c r="H18" s="39">
        <f>SUM(Kil:Säffle!H18)</f>
        <v>2006</v>
      </c>
      <c r="I18" s="39">
        <f>SUM(Kil:Säffle!I18)</f>
        <v>0</v>
      </c>
      <c r="J18" s="39">
        <f>SUM(Kil:Säffle!J18)</f>
        <v>0</v>
      </c>
      <c r="K18" s="39">
        <f>SUM(Kil:Säffle!K18)</f>
        <v>199757</v>
      </c>
      <c r="L18" s="39">
        <f>SUM(Kil:Säffle!L18)</f>
        <v>0</v>
      </c>
      <c r="M18" s="39">
        <f>SUM(Kil:Säffle!M18)</f>
        <v>0</v>
      </c>
      <c r="N18" s="39">
        <f>SUM(Kil:Säffle!N18)</f>
        <v>13919.619999999999</v>
      </c>
      <c r="O18" s="39">
        <f>SUM(C18:N18)</f>
        <v>813546.62</v>
      </c>
      <c r="P18" s="3"/>
      <c r="Q18" s="43"/>
      <c r="R18" s="39"/>
      <c r="S18" s="3"/>
      <c r="T18" s="3"/>
      <c r="U18" s="3"/>
    </row>
    <row r="19" spans="1:25" ht="16" x14ac:dyDescent="0.2">
      <c r="A19" s="4" t="s">
        <v>21</v>
      </c>
      <c r="B19" s="39">
        <f>SUM(Kil:Säffle!B19)</f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39"/>
      <c r="P19" s="3"/>
      <c r="Q19" s="3"/>
      <c r="R19" s="39"/>
      <c r="S19" s="3" t="s">
        <v>25</v>
      </c>
      <c r="T19" s="11">
        <f>O42/1000</f>
        <v>19130.074829010657</v>
      </c>
      <c r="U19" s="3"/>
    </row>
    <row r="20" spans="1:25" ht="16" x14ac:dyDescent="0.2">
      <c r="A20" s="4" t="s">
        <v>22</v>
      </c>
      <c r="B20" s="39">
        <f>SUM(Kil:Säffle!B20)</f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9"/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39">
        <f>SUM(Kil:Säffle!B21)</f>
        <v>79063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"/>
      <c r="Q21" s="3"/>
      <c r="R21" s="3"/>
      <c r="S21" s="3"/>
      <c r="T21" s="3" t="s">
        <v>26</v>
      </c>
      <c r="U21" s="3" t="s">
        <v>27</v>
      </c>
    </row>
    <row r="22" spans="1:25" ht="16" x14ac:dyDescent="0.2">
      <c r="A22" s="4" t="s">
        <v>24</v>
      </c>
      <c r="B22" s="39">
        <f>SUM(Kil:Säffle!B22)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"/>
      <c r="Q22" s="3"/>
      <c r="R22" s="3"/>
      <c r="S22" s="3" t="s">
        <v>9</v>
      </c>
      <c r="T22" s="12">
        <f>N42/1000</f>
        <v>4843.7214416439183</v>
      </c>
      <c r="U22" s="13">
        <f>N43</f>
        <v>0.25319929404031605</v>
      </c>
    </row>
    <row r="23" spans="1:25" ht="16" x14ac:dyDescent="0.2">
      <c r="A23" s="4" t="s">
        <v>15</v>
      </c>
      <c r="B23" s="39">
        <f>SUM(B17:B22)</f>
        <v>1377604.4044557246</v>
      </c>
      <c r="C23" s="39">
        <f t="shared" ref="C23:O23" si="1">SUM(C17:C22)</f>
        <v>20683</v>
      </c>
      <c r="D23" s="39">
        <f t="shared" si="1"/>
        <v>0</v>
      </c>
      <c r="E23" s="39">
        <f t="shared" si="1"/>
        <v>0</v>
      </c>
      <c r="F23" s="39">
        <f t="shared" si="1"/>
        <v>10231</v>
      </c>
      <c r="G23" s="39">
        <f t="shared" si="1"/>
        <v>1132310</v>
      </c>
      <c r="H23" s="39">
        <f t="shared" si="1"/>
        <v>2006</v>
      </c>
      <c r="I23" s="39">
        <f t="shared" si="1"/>
        <v>0</v>
      </c>
      <c r="J23" s="39">
        <f t="shared" si="1"/>
        <v>0</v>
      </c>
      <c r="K23" s="39">
        <f t="shared" si="1"/>
        <v>405908</v>
      </c>
      <c r="L23" s="39">
        <f t="shared" si="1"/>
        <v>0</v>
      </c>
      <c r="M23" s="39">
        <f t="shared" si="1"/>
        <v>0</v>
      </c>
      <c r="N23" s="39">
        <f t="shared" si="1"/>
        <v>13919.619999999999</v>
      </c>
      <c r="O23" s="39">
        <f t="shared" si="1"/>
        <v>1585057.62</v>
      </c>
      <c r="P23" s="3"/>
      <c r="Q23" s="3"/>
      <c r="R23" s="3"/>
      <c r="S23" s="3" t="s">
        <v>59</v>
      </c>
      <c r="T23" s="12">
        <f>G42/1000</f>
        <v>3834.6025870120725</v>
      </c>
      <c r="U23" s="14">
        <f>G43</f>
        <v>0.20044890682795019</v>
      </c>
    </row>
    <row r="24" spans="1:25" ht="16" x14ac:dyDescent="0.2">
      <c r="A24" s="4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"/>
      <c r="Q24" s="3"/>
      <c r="R24" s="3"/>
      <c r="S24" s="3" t="s">
        <v>6</v>
      </c>
      <c r="T24" s="12">
        <f>J42/1000</f>
        <v>0</v>
      </c>
      <c r="U24" s="13">
        <f>J43</f>
        <v>0</v>
      </c>
    </row>
    <row r="25" spans="1:25" ht="16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"/>
      <c r="R25" s="3"/>
      <c r="S25" s="3" t="s">
        <v>30</v>
      </c>
      <c r="T25" s="12">
        <f>F42/1000</f>
        <v>486.02800000000002</v>
      </c>
      <c r="U25" s="13">
        <f>F43</f>
        <v>2.5406487133178439E-2</v>
      </c>
    </row>
    <row r="26" spans="1:25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3</v>
      </c>
      <c r="T26" s="11">
        <f>E42/1000</f>
        <v>309.76068084941062</v>
      </c>
      <c r="U26" s="13">
        <f>E43</f>
        <v>1.61923402609832E-2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2" t="s">
        <v>2</v>
      </c>
      <c r="T27" s="2">
        <f>D42/1000</f>
        <v>0</v>
      </c>
      <c r="U27" s="46">
        <f>D43</f>
        <v>0</v>
      </c>
      <c r="V27" s="39"/>
      <c r="W27" s="39"/>
      <c r="X27" s="39"/>
      <c r="Y27" s="39"/>
    </row>
    <row r="28" spans="1:25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2" t="s">
        <v>7</v>
      </c>
      <c r="T28" s="2">
        <f>K42/1000</f>
        <v>405.90800000000002</v>
      </c>
      <c r="U28" s="46">
        <f>K43</f>
        <v>2.1218317420507036E-2</v>
      </c>
      <c r="V28" s="39"/>
      <c r="W28" s="39"/>
      <c r="X28" s="39"/>
      <c r="Y28" s="39"/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93</v>
      </c>
      <c r="M29" s="6" t="s">
        <v>92</v>
      </c>
      <c r="N29" s="6" t="s">
        <v>9</v>
      </c>
      <c r="O29" s="6" t="s">
        <v>31</v>
      </c>
      <c r="P29" s="3"/>
      <c r="Q29" s="3"/>
      <c r="R29" s="3"/>
      <c r="S29" s="3" t="s">
        <v>4</v>
      </c>
      <c r="T29" s="12">
        <f>I42/1000</f>
        <v>5470.4129444444443</v>
      </c>
      <c r="U29" s="13">
        <f>I43</f>
        <v>0.28595878444493023</v>
      </c>
      <c r="V29" s="39"/>
      <c r="W29" s="39"/>
      <c r="X29" s="39"/>
      <c r="Y29" s="39"/>
    </row>
    <row r="30" spans="1:25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9" t="str">
        <f>L29</f>
        <v>Ånga</v>
      </c>
      <c r="T30" s="12">
        <f>L42/1000</f>
        <v>0</v>
      </c>
      <c r="U30" s="13">
        <f t="shared" ref="U30" si="2">I44</f>
        <v>0</v>
      </c>
      <c r="V30" s="39"/>
      <c r="W30" s="39"/>
      <c r="X30" s="39"/>
      <c r="Y30" s="39"/>
    </row>
    <row r="31" spans="1:25" ht="16" x14ac:dyDescent="0.2">
      <c r="A31" s="5" t="s">
        <v>32</v>
      </c>
      <c r="B31" s="39">
        <f>SUM(Kil:Säffle!B31)</f>
        <v>0</v>
      </c>
      <c r="C31" s="39">
        <f>SUM(Kil:Säffle!C31)</f>
        <v>87434</v>
      </c>
      <c r="D31" s="39">
        <f>SUM(Kil:Säffle!D31)</f>
        <v>0</v>
      </c>
      <c r="E31" s="39">
        <f>SUM(Kil:Säffle!E31)</f>
        <v>0</v>
      </c>
      <c r="F31" s="39">
        <f>SUM(Kil:Säffle!F31)</f>
        <v>8617</v>
      </c>
      <c r="G31" s="39">
        <f>SUM(Kil:Säffle!G31)</f>
        <v>0</v>
      </c>
      <c r="H31" s="39">
        <f>SUM(Kil:Säffle!H31)</f>
        <v>0</v>
      </c>
      <c r="I31" s="39">
        <f>SUM(Kil:Säffle!I31)</f>
        <v>0</v>
      </c>
      <c r="J31" s="39">
        <f>SUM(Kil:Säffle!J31)</f>
        <v>0</v>
      </c>
      <c r="K31" s="39">
        <f>SUM(Kil:Säffle!K31)</f>
        <v>0</v>
      </c>
      <c r="L31" s="39">
        <f>SUM(Kil:Säffle!L31)</f>
        <v>0</v>
      </c>
      <c r="M31" s="39">
        <f>SUM(Kil:Säffle!M31)</f>
        <v>0</v>
      </c>
      <c r="N31" s="39">
        <f>SUM(Kil:Säffle!N31)</f>
        <v>128656</v>
      </c>
      <c r="O31" s="39">
        <f>SUM(B31:N31)</f>
        <v>224707</v>
      </c>
      <c r="P31" s="17">
        <f>O31/O$39</f>
        <v>1.2167705401295522E-2</v>
      </c>
      <c r="Q31" s="18" t="s">
        <v>34</v>
      </c>
      <c r="R31" s="3"/>
      <c r="S31" s="9" t="str">
        <f>M29</f>
        <v>Slam+starkgas</v>
      </c>
      <c r="T31" s="12">
        <f>M42/1000</f>
        <v>94.580277777777781</v>
      </c>
      <c r="U31" s="13">
        <f>M43</f>
        <v>4.944062091923827E-3</v>
      </c>
      <c r="V31" s="39"/>
      <c r="W31" s="39"/>
      <c r="X31" s="39"/>
      <c r="Y31" s="39"/>
    </row>
    <row r="32" spans="1:25" ht="16" x14ac:dyDescent="0.2">
      <c r="A32" s="5" t="s">
        <v>36</v>
      </c>
      <c r="B32" s="39">
        <f>SUM(Kil:Säffle!B32)</f>
        <v>177969.58008828026</v>
      </c>
      <c r="C32" s="39">
        <f>SUM(Kil:Säffle!C32)</f>
        <v>499326.89728303725</v>
      </c>
      <c r="D32" s="39">
        <f>SUM(Kil:Säffle!D32)</f>
        <v>0</v>
      </c>
      <c r="E32" s="39">
        <f>SUM(Kil:Säffle!E32)</f>
        <v>305585.68084941059</v>
      </c>
      <c r="F32" s="39">
        <f>SUM(Kil:Säffle!F32)</f>
        <v>221918</v>
      </c>
      <c r="G32" s="39">
        <f>SUM(Kil:Säffle!G32)</f>
        <v>2011293.5870120726</v>
      </c>
      <c r="H32" s="39">
        <f>SUM(Kil:Säffle!H32)</f>
        <v>0</v>
      </c>
      <c r="I32" s="39">
        <f>SUM(Kil:Säffle!I32)</f>
        <v>5470412.944444444</v>
      </c>
      <c r="J32" s="39">
        <f>SUM(Kil:Säffle!J32)</f>
        <v>0</v>
      </c>
      <c r="K32" s="39">
        <f>SUM(Kil:Säffle!K32)</f>
        <v>0</v>
      </c>
      <c r="L32" s="39">
        <f>Eda!L32</f>
        <v>112000</v>
      </c>
      <c r="M32" s="39">
        <f>Hammarö!L32+Hammarö!M32</f>
        <v>94580.277777777781</v>
      </c>
      <c r="N32" s="39">
        <f>SUM(Kil:Säffle!N32)</f>
        <v>2399736</v>
      </c>
      <c r="O32" s="39">
        <f t="shared" ref="O32:O38" si="3">SUM(B32:N32)</f>
        <v>11292822.967455024</v>
      </c>
      <c r="P32" s="17">
        <f>O32/O$39</f>
        <v>0.6114973855597583</v>
      </c>
      <c r="Q32" s="18" t="s">
        <v>37</v>
      </c>
      <c r="R32" s="3"/>
      <c r="S32" s="3" t="s">
        <v>5</v>
      </c>
      <c r="T32" s="12">
        <f>H42/1000</f>
        <v>32.951999999999998</v>
      </c>
      <c r="U32" s="13">
        <f>H43</f>
        <v>1.722523319669846E-3</v>
      </c>
      <c r="V32" s="39"/>
      <c r="W32" s="39"/>
      <c r="X32" s="39"/>
      <c r="Y32" s="39"/>
    </row>
    <row r="33" spans="1:48" ht="16" x14ac:dyDescent="0.2">
      <c r="A33" s="5" t="s">
        <v>38</v>
      </c>
      <c r="B33" s="39">
        <f>SUM(Kil:Säffle!B33)</f>
        <v>159042.37221450172</v>
      </c>
      <c r="C33" s="39">
        <f>SUM(Kil:Säffle!C33)</f>
        <v>4368</v>
      </c>
      <c r="D33" s="39">
        <f>SUM(Kil:Säffle!D33)</f>
        <v>0</v>
      </c>
      <c r="E33" s="39">
        <f>SUM(Kil:Säffle!E33)</f>
        <v>0</v>
      </c>
      <c r="F33" s="39">
        <f>SUM(Kil:Säffle!F33)</f>
        <v>0</v>
      </c>
      <c r="G33" s="39">
        <f>SUM(Kil:Säffle!G33)</f>
        <v>0</v>
      </c>
      <c r="H33" s="39">
        <f>SUM(Kil:Säffle!H33)</f>
        <v>0</v>
      </c>
      <c r="I33" s="39">
        <f>SUM(Kil:Säffle!I33)</f>
        <v>0</v>
      </c>
      <c r="J33" s="39">
        <f>SUM(Kil:Säffle!J33)</f>
        <v>0</v>
      </c>
      <c r="K33" s="39">
        <f>SUM(Kil:Säffle!K33)</f>
        <v>0</v>
      </c>
      <c r="L33" s="39">
        <f>SUM(Kil:Säffle!L33)</f>
        <v>0</v>
      </c>
      <c r="M33" s="39">
        <f>SUM(Kil:Säffle!M33)</f>
        <v>0</v>
      </c>
      <c r="N33" s="39">
        <f>SUM(Kil:Säffle!N33)</f>
        <v>267487.76285128779</v>
      </c>
      <c r="O33" s="39">
        <f t="shared" si="3"/>
        <v>430898.13506578951</v>
      </c>
      <c r="P33" s="17">
        <f>O33/O$39</f>
        <v>2.3332791437063259E-2</v>
      </c>
      <c r="Q33" s="18" t="s">
        <v>39</v>
      </c>
      <c r="R33" s="3"/>
      <c r="S33" s="3" t="s">
        <v>35</v>
      </c>
      <c r="T33" s="12">
        <f>C42/1000</f>
        <v>3652.1088972830371</v>
      </c>
      <c r="U33" s="14">
        <f>C43</f>
        <v>0.19090928446054134</v>
      </c>
      <c r="V33" s="39"/>
      <c r="W33" s="39"/>
      <c r="X33" s="39"/>
      <c r="Y33" s="39"/>
    </row>
    <row r="34" spans="1:48" ht="16" x14ac:dyDescent="0.2">
      <c r="A34" s="5" t="s">
        <v>40</v>
      </c>
      <c r="B34" s="39">
        <f>SUM(Kil:Säffle!B34)</f>
        <v>0</v>
      </c>
      <c r="C34" s="39">
        <f>SUM(Kil:Säffle!C34)</f>
        <v>2879917</v>
      </c>
      <c r="D34" s="39">
        <f>SUM(Kil:Säffle!D34)</f>
        <v>0</v>
      </c>
      <c r="E34" s="93">
        <v>4175</v>
      </c>
      <c r="F34" s="39">
        <f>SUM(Kil:Säffle!F34)</f>
        <v>245262</v>
      </c>
      <c r="G34" s="39">
        <f>SUM(Kil:Säffle!G34)</f>
        <v>0</v>
      </c>
      <c r="H34" s="93">
        <v>30946</v>
      </c>
      <c r="I34" s="39">
        <f>SUM(Kil:Säffle!I34)</f>
        <v>0</v>
      </c>
      <c r="J34" s="39">
        <f>SUM(Kil:Säffle!J34)</f>
        <v>0</v>
      </c>
      <c r="K34" s="39">
        <f>SUM(Kil:Säffle!K34)</f>
        <v>0</v>
      </c>
      <c r="L34" s="39">
        <f>SUM(Kil:Säffle!L34)</f>
        <v>0</v>
      </c>
      <c r="M34" s="39">
        <f>SUM(Kil:Säffle!M34)</f>
        <v>0</v>
      </c>
      <c r="N34" s="39">
        <f>SUM(Kil:Säffle!N34)</f>
        <v>80245</v>
      </c>
      <c r="O34" s="39">
        <f t="shared" si="3"/>
        <v>3240545</v>
      </c>
      <c r="P34" s="17">
        <f>O34/O$39</f>
        <v>0.17547293542097572</v>
      </c>
      <c r="Q34" s="18" t="s">
        <v>41</v>
      </c>
      <c r="R34" s="3"/>
      <c r="S34" s="3"/>
      <c r="T34" s="12">
        <f>SUM(T22:T33)</f>
        <v>19130.07482901066</v>
      </c>
      <c r="U34" s="13">
        <f>SUM(U22:U33)</f>
        <v>1</v>
      </c>
      <c r="V34" s="39"/>
      <c r="W34" s="39"/>
      <c r="X34" s="39"/>
      <c r="Y34" s="39"/>
    </row>
    <row r="35" spans="1:48" ht="16" x14ac:dyDescent="0.2">
      <c r="A35" s="5" t="s">
        <v>42</v>
      </c>
      <c r="B35" s="39">
        <f>SUM(Kil:Säffle!B35)</f>
        <v>193085.39234522366</v>
      </c>
      <c r="C35" s="39">
        <f>SUM(Kil:Säffle!C35)</f>
        <v>145529</v>
      </c>
      <c r="D35" s="39">
        <f>SUM(Kil:Säffle!D35)</f>
        <v>0</v>
      </c>
      <c r="E35" s="39">
        <f>SUM(Kil:Säffle!E35)</f>
        <v>0</v>
      </c>
      <c r="F35" s="39">
        <f>SUM(Kil:Säffle!F35)</f>
        <v>0</v>
      </c>
      <c r="G35" s="39">
        <f>SUM(Kil:Säffle!G35)</f>
        <v>0</v>
      </c>
      <c r="H35" s="39">
        <f>SUM(Kil:Säffle!H35)</f>
        <v>0</v>
      </c>
      <c r="I35" s="39">
        <f>SUM(Kil:Säffle!I35)</f>
        <v>0</v>
      </c>
      <c r="J35" s="39">
        <f>SUM(Kil:Säffle!J35)</f>
        <v>0</v>
      </c>
      <c r="K35" s="39">
        <f>SUM(Kil:Säffle!K35)</f>
        <v>0</v>
      </c>
      <c r="L35" s="39">
        <f>SUM(Kil:Säffle!L35)</f>
        <v>0</v>
      </c>
      <c r="M35" s="39">
        <f>SUM(Kil:Säffle!M35)</f>
        <v>0</v>
      </c>
      <c r="N35" s="39">
        <f>SUM(Kil:Säffle!N35)</f>
        <v>673990.18311530259</v>
      </c>
      <c r="O35" s="39">
        <f t="shared" si="3"/>
        <v>1012604.5754605263</v>
      </c>
      <c r="P35" s="17">
        <f>O35/O$39</f>
        <v>5.4831732710630306E-2</v>
      </c>
      <c r="Q35" s="18" t="s">
        <v>43</v>
      </c>
      <c r="R35" s="18"/>
      <c r="V35" s="39"/>
      <c r="W35" s="39"/>
      <c r="X35" s="39"/>
      <c r="Y35" s="39"/>
    </row>
    <row r="36" spans="1:48" ht="16" x14ac:dyDescent="0.2">
      <c r="A36" s="5" t="s">
        <v>44</v>
      </c>
      <c r="B36" s="39">
        <f>SUM(Kil:Säffle!B36)</f>
        <v>148949.1447640534</v>
      </c>
      <c r="C36" s="39">
        <f>SUM(Kil:Säffle!C36)</f>
        <v>12814</v>
      </c>
      <c r="D36" s="39">
        <f>SUM(Kil:Säffle!D36)</f>
        <v>0</v>
      </c>
      <c r="E36" s="39">
        <f>SUM(Kil:Säffle!E36)</f>
        <v>0</v>
      </c>
      <c r="F36" s="39">
        <f>SUM(Kil:Säffle!F36)</f>
        <v>0</v>
      </c>
      <c r="G36" s="39">
        <f>SUM(Kil:Säffle!G36)</f>
        <v>548678</v>
      </c>
      <c r="H36" s="39">
        <f>SUM(Kil:Säffle!H36)</f>
        <v>0</v>
      </c>
      <c r="I36" s="39">
        <f>SUM(Kil:Säffle!I36)</f>
        <v>0</v>
      </c>
      <c r="J36" s="39">
        <f>SUM(Kil:Säffle!J36)</f>
        <v>0</v>
      </c>
      <c r="K36" s="39">
        <f>SUM(Kil:Säffle!K36)</f>
        <v>0</v>
      </c>
      <c r="L36" s="39">
        <f>SUM(Kil:Säffle!L36)</f>
        <v>0</v>
      </c>
      <c r="M36" s="39">
        <f>SUM(Kil:Säffle!M36)</f>
        <v>0</v>
      </c>
      <c r="N36" s="39">
        <f>SUM(Kil:Säffle!N36)</f>
        <v>838798.8552359466</v>
      </c>
      <c r="O36" s="39">
        <f t="shared" si="3"/>
        <v>1549240</v>
      </c>
      <c r="P36" s="18"/>
      <c r="Q36" s="18"/>
      <c r="R36" s="3"/>
      <c r="S36" s="7"/>
      <c r="T36" s="7"/>
      <c r="U36" s="7"/>
      <c r="V36" s="39"/>
      <c r="W36" s="39"/>
      <c r="X36" s="39"/>
      <c r="Y36" s="39"/>
    </row>
    <row r="37" spans="1:48" ht="16" x14ac:dyDescent="0.2">
      <c r="A37" s="5" t="s">
        <v>45</v>
      </c>
      <c r="B37" s="39">
        <f>SUM(Kil:Säffle!B37)</f>
        <v>503052</v>
      </c>
      <c r="C37" s="39">
        <f>SUM(Kil:Säffle!C37)</f>
        <v>1825</v>
      </c>
      <c r="D37" s="39">
        <f>SUM(Kil:Säffle!D37)</f>
        <v>0</v>
      </c>
      <c r="E37" s="39">
        <f>SUM(Kil:Säffle!E37)</f>
        <v>0</v>
      </c>
      <c r="F37" s="39">
        <f>SUM(Kil:Säffle!F37)</f>
        <v>0</v>
      </c>
      <c r="G37" s="39">
        <f>SUM(Kil:Säffle!G37)</f>
        <v>0</v>
      </c>
      <c r="H37" s="39">
        <f>SUM(Kil:Säffle!H37)</f>
        <v>0</v>
      </c>
      <c r="I37" s="39">
        <f>SUM(Kil:Säffle!I37)</f>
        <v>0</v>
      </c>
      <c r="J37" s="39">
        <f>SUM(Kil:Säffle!J37)</f>
        <v>0</v>
      </c>
      <c r="K37" s="39">
        <f>SUM(Kil:Säffle!K37)</f>
        <v>0</v>
      </c>
      <c r="L37" s="39">
        <f>SUM(Kil:Säffle!L37)</f>
        <v>0</v>
      </c>
      <c r="M37" s="39">
        <f>SUM(Kil:Säffle!M37)</f>
        <v>0</v>
      </c>
      <c r="N37" s="39">
        <f>SUM(Kil:Säffle!N37)</f>
        <v>131326</v>
      </c>
      <c r="O37" s="39">
        <f t="shared" si="3"/>
        <v>636203</v>
      </c>
      <c r="P37" s="18"/>
      <c r="Q37" s="18"/>
      <c r="R37" s="3"/>
      <c r="S37" s="7"/>
      <c r="T37" s="7" t="s">
        <v>26</v>
      </c>
      <c r="U37" s="7" t="s">
        <v>27</v>
      </c>
      <c r="V37" s="39"/>
      <c r="W37" s="39"/>
      <c r="X37" s="39"/>
      <c r="Y37" s="39"/>
    </row>
    <row r="38" spans="1:48" ht="16" x14ac:dyDescent="0.2">
      <c r="A38" s="5" t="s">
        <v>46</v>
      </c>
      <c r="B38" s="39">
        <f>SUM(Kil:Säffle!B38)</f>
        <v>0</v>
      </c>
      <c r="C38" s="39">
        <f>SUM(Kil:Säffle!C38)</f>
        <v>0</v>
      </c>
      <c r="D38" s="39">
        <f>SUM(Kil:Säffle!D38)</f>
        <v>0</v>
      </c>
      <c r="E38" s="39">
        <f>SUM(Kil:Säffle!E38)</f>
        <v>0</v>
      </c>
      <c r="F38" s="39">
        <f>SUM(Kil:Säffle!F38)</f>
        <v>0</v>
      </c>
      <c r="G38" s="39">
        <f>SUM(Kil:Säffle!G38)</f>
        <v>0</v>
      </c>
      <c r="H38" s="39">
        <f>SUM(Kil:Säffle!H38)</f>
        <v>0</v>
      </c>
      <c r="I38" s="39">
        <f>SUM(Kil:Säffle!I38)</f>
        <v>0</v>
      </c>
      <c r="J38" s="39">
        <f>SUM(Kil:Säffle!J38)</f>
        <v>0</v>
      </c>
      <c r="K38" s="39">
        <f>SUM(Kil:Säffle!K38)</f>
        <v>0</v>
      </c>
      <c r="L38" s="39">
        <f>SUM(Kil:Säffle!L38)</f>
        <v>0</v>
      </c>
      <c r="M38" s="39">
        <f>SUM(Kil:Säffle!M38)</f>
        <v>0</v>
      </c>
      <c r="N38" s="39">
        <f>SUM(Kil:Säffle!N38)</f>
        <v>80471.144764053402</v>
      </c>
      <c r="O38" s="39">
        <f t="shared" si="3"/>
        <v>80471.144764053402</v>
      </c>
      <c r="P38" s="18">
        <f>SUM(P31:P35)</f>
        <v>0.87730255052972317</v>
      </c>
      <c r="Q38" s="18"/>
      <c r="R38" s="3"/>
      <c r="S38" s="7" t="s">
        <v>47</v>
      </c>
      <c r="T38" s="19">
        <f>O45/1000</f>
        <v>563.56279072099267</v>
      </c>
      <c r="U38" s="7"/>
      <c r="V38" s="39"/>
      <c r="W38" s="39"/>
      <c r="X38" s="39"/>
      <c r="Y38" s="39"/>
    </row>
    <row r="39" spans="1:48" ht="16" x14ac:dyDescent="0.2">
      <c r="A39" s="5" t="s">
        <v>15</v>
      </c>
      <c r="B39" s="39">
        <f>SUM(B31:B38)</f>
        <v>1182098.4894120591</v>
      </c>
      <c r="C39" s="39">
        <f t="shared" ref="C39:O39" si="4">SUM(C31:C38)</f>
        <v>3631213.8972830372</v>
      </c>
      <c r="D39" s="39">
        <f t="shared" si="4"/>
        <v>0</v>
      </c>
      <c r="E39" s="39">
        <f t="shared" si="4"/>
        <v>309760.68084941059</v>
      </c>
      <c r="F39" s="39">
        <f t="shared" si="4"/>
        <v>475797</v>
      </c>
      <c r="G39" s="39">
        <f t="shared" si="4"/>
        <v>2559971.5870120726</v>
      </c>
      <c r="H39" s="39">
        <f t="shared" si="4"/>
        <v>30946</v>
      </c>
      <c r="I39" s="39">
        <f t="shared" si="4"/>
        <v>5470412.944444444</v>
      </c>
      <c r="J39" s="39">
        <f t="shared" si="4"/>
        <v>0</v>
      </c>
      <c r="K39" s="39">
        <f t="shared" si="4"/>
        <v>0</v>
      </c>
      <c r="L39" s="39">
        <f t="shared" si="4"/>
        <v>112000</v>
      </c>
      <c r="M39" s="39">
        <f t="shared" si="4"/>
        <v>94580.277777777781</v>
      </c>
      <c r="N39" s="39">
        <f t="shared" si="4"/>
        <v>4600710.9459665902</v>
      </c>
      <c r="O39" s="39">
        <f t="shared" si="4"/>
        <v>18467491.822745394</v>
      </c>
      <c r="P39" s="3"/>
      <c r="Q39" s="3"/>
      <c r="R39" s="3"/>
      <c r="S39" s="7" t="s">
        <v>48</v>
      </c>
      <c r="T39" s="20">
        <f>O41/1000</f>
        <v>2265.9141447640536</v>
      </c>
      <c r="U39" s="13">
        <f>P41</f>
        <v>0.12269744947027683</v>
      </c>
      <c r="V39" s="39"/>
      <c r="W39" s="39"/>
      <c r="X39" s="39"/>
      <c r="Y39" s="39"/>
    </row>
    <row r="40" spans="1:48" x14ac:dyDescent="0.2">
      <c r="S40" s="7" t="s">
        <v>49</v>
      </c>
      <c r="T40" s="20">
        <f>O35/1000</f>
        <v>1012.6045754605262</v>
      </c>
      <c r="U40" s="14">
        <f>P35</f>
        <v>5.4831732710630306E-2</v>
      </c>
    </row>
    <row r="41" spans="1:48" ht="16" x14ac:dyDescent="0.2">
      <c r="A41" s="21" t="s">
        <v>50</v>
      </c>
      <c r="B41" s="22">
        <f>B38+B37+B36</f>
        <v>652001.1447640534</v>
      </c>
      <c r="C41" s="22">
        <f t="shared" ref="C41:O41" si="5">C38+C37+C36</f>
        <v>14639</v>
      </c>
      <c r="D41" s="22">
        <f t="shared" si="5"/>
        <v>0</v>
      </c>
      <c r="E41" s="22">
        <f t="shared" si="5"/>
        <v>0</v>
      </c>
      <c r="F41" s="22">
        <f t="shared" si="5"/>
        <v>0</v>
      </c>
      <c r="G41" s="22">
        <f t="shared" si="5"/>
        <v>548678</v>
      </c>
      <c r="H41" s="22">
        <f t="shared" si="5"/>
        <v>0</v>
      </c>
      <c r="I41" s="22">
        <f t="shared" si="5"/>
        <v>0</v>
      </c>
      <c r="J41" s="22">
        <f t="shared" si="5"/>
        <v>0</v>
      </c>
      <c r="K41" s="22">
        <f t="shared" si="5"/>
        <v>0</v>
      </c>
      <c r="L41" s="22">
        <f t="shared" si="5"/>
        <v>0</v>
      </c>
      <c r="M41" s="22">
        <f t="shared" si="5"/>
        <v>0</v>
      </c>
      <c r="N41" s="22">
        <f t="shared" si="5"/>
        <v>1050596</v>
      </c>
      <c r="O41" s="22">
        <f t="shared" si="5"/>
        <v>2265914.1447640536</v>
      </c>
      <c r="P41" s="17">
        <f>O41/O$39</f>
        <v>0.12269744947027683</v>
      </c>
      <c r="Q41" s="17" t="s">
        <v>51</v>
      </c>
      <c r="R41" s="7"/>
      <c r="S41" s="7" t="s">
        <v>52</v>
      </c>
      <c r="T41" s="20">
        <f>O33/1000</f>
        <v>430.89813506578952</v>
      </c>
      <c r="U41" s="13">
        <f>P33</f>
        <v>2.3332791437063259E-2</v>
      </c>
    </row>
    <row r="42" spans="1:48" ht="16" x14ac:dyDescent="0.2">
      <c r="A42" s="23" t="s">
        <v>53</v>
      </c>
      <c r="B42" s="22"/>
      <c r="C42" s="24">
        <f>C39+C23+C10</f>
        <v>3652108.8972830372</v>
      </c>
      <c r="D42" s="24">
        <f t="shared" ref="D42:M42" si="6">D39+D23+D10</f>
        <v>0</v>
      </c>
      <c r="E42" s="24">
        <f t="shared" si="6"/>
        <v>309760.68084941059</v>
      </c>
      <c r="F42" s="24">
        <f t="shared" si="6"/>
        <v>486028</v>
      </c>
      <c r="G42" s="24">
        <f t="shared" si="6"/>
        <v>3834602.5870120726</v>
      </c>
      <c r="H42" s="24">
        <f t="shared" si="6"/>
        <v>32952</v>
      </c>
      <c r="I42" s="24">
        <f t="shared" si="6"/>
        <v>5470412.944444444</v>
      </c>
      <c r="J42" s="24">
        <f t="shared" si="6"/>
        <v>0</v>
      </c>
      <c r="K42" s="24">
        <f t="shared" si="6"/>
        <v>405908</v>
      </c>
      <c r="L42" s="39">
        <v>0</v>
      </c>
      <c r="M42" s="24">
        <f t="shared" si="6"/>
        <v>94580.277777777781</v>
      </c>
      <c r="N42" s="24">
        <f>N39+N23-B6+N45</f>
        <v>4843721.4416439179</v>
      </c>
      <c r="O42" s="25">
        <f>SUM(C42:N42)</f>
        <v>19130074.829010658</v>
      </c>
      <c r="P42" s="7"/>
      <c r="Q42" s="7"/>
      <c r="R42" s="7"/>
      <c r="S42" s="7" t="s">
        <v>34</v>
      </c>
      <c r="T42" s="20">
        <f>O31/1000</f>
        <v>224.70699999999999</v>
      </c>
      <c r="U42" s="13">
        <f>P31</f>
        <v>1.2167705401295522E-2</v>
      </c>
    </row>
    <row r="43" spans="1:48" ht="16" x14ac:dyDescent="0.2">
      <c r="A43" s="23" t="s">
        <v>54</v>
      </c>
      <c r="B43" s="22"/>
      <c r="C43" s="17">
        <f t="shared" ref="C43:N43" si="7">C42/$O42</f>
        <v>0.19090928446054134</v>
      </c>
      <c r="D43" s="17">
        <f t="shared" si="7"/>
        <v>0</v>
      </c>
      <c r="E43" s="17">
        <f t="shared" si="7"/>
        <v>1.61923402609832E-2</v>
      </c>
      <c r="F43" s="17">
        <f t="shared" si="7"/>
        <v>2.5406487133178439E-2</v>
      </c>
      <c r="G43" s="17">
        <f t="shared" si="7"/>
        <v>0.20044890682795019</v>
      </c>
      <c r="H43" s="17">
        <f t="shared" si="7"/>
        <v>1.722523319669846E-3</v>
      </c>
      <c r="I43" s="17">
        <f t="shared" si="7"/>
        <v>0.28595878444493023</v>
      </c>
      <c r="J43" s="17">
        <f t="shared" si="7"/>
        <v>0</v>
      </c>
      <c r="K43" s="17">
        <f t="shared" si="7"/>
        <v>2.1218317420507036E-2</v>
      </c>
      <c r="L43" s="17">
        <f t="shared" si="7"/>
        <v>0</v>
      </c>
      <c r="M43" s="17">
        <f t="shared" si="7"/>
        <v>4.944062091923827E-3</v>
      </c>
      <c r="N43" s="17">
        <f t="shared" si="7"/>
        <v>0.25319929404031605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11292.822967455024</v>
      </c>
      <c r="U43" s="14">
        <f>P32</f>
        <v>0.6114973855597583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3240.5450000000001</v>
      </c>
      <c r="U44" s="14">
        <f>P34</f>
        <v>0.17547293542097572</v>
      </c>
    </row>
    <row r="45" spans="1:48" ht="16" x14ac:dyDescent="0.2">
      <c r="A45" s="6" t="s">
        <v>57</v>
      </c>
      <c r="B45" s="6">
        <f>B23-B39</f>
        <v>195505.91504366556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368056.87567732722</v>
      </c>
      <c r="O45" s="25">
        <f>B45+N45</f>
        <v>563562.79072099272</v>
      </c>
      <c r="P45" s="7"/>
      <c r="Q45" s="7"/>
      <c r="R45" s="7"/>
      <c r="S45" s="7" t="s">
        <v>58</v>
      </c>
      <c r="T45" s="20">
        <f>SUM(T39:T44)</f>
        <v>18467.491822745393</v>
      </c>
      <c r="U45" s="13">
        <f>SUM(U39:U44)</f>
        <v>1</v>
      </c>
    </row>
    <row r="46" spans="1:48" ht="16" x14ac:dyDescent="0.2">
      <c r="A46" s="6"/>
      <c r="B46" s="6"/>
      <c r="C46" s="6"/>
      <c r="D46" s="6"/>
      <c r="E46" s="6"/>
      <c r="F46" s="6"/>
      <c r="G46" s="6"/>
      <c r="H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2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38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1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1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1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1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1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40"/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1"/>
      <c r="F56" s="41"/>
      <c r="G56" s="41"/>
      <c r="H56" s="41"/>
      <c r="I56" s="6"/>
      <c r="J56" s="41"/>
      <c r="K56" s="41"/>
      <c r="L56" s="41"/>
      <c r="M56" s="41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40"/>
      <c r="G57" s="40"/>
      <c r="H57" s="28"/>
      <c r="I57" s="38"/>
      <c r="J57" s="40"/>
      <c r="K57" s="28"/>
      <c r="L57" s="6"/>
      <c r="M57" s="6"/>
      <c r="N57" s="29"/>
      <c r="O57" s="7"/>
      <c r="P57" s="6"/>
      <c r="Q57" s="13"/>
      <c r="R57" s="7"/>
      <c r="S57" s="7"/>
      <c r="T57" s="6"/>
      <c r="U57" s="48"/>
    </row>
    <row r="58" spans="1:48" ht="16" x14ac:dyDescent="0.2">
      <c r="A58" s="7"/>
      <c r="B58" s="7"/>
      <c r="C58" s="28"/>
      <c r="D58" s="28"/>
      <c r="E58" s="28"/>
      <c r="F58" s="41"/>
      <c r="G58" s="40"/>
      <c r="H58" s="28"/>
      <c r="I58" s="38"/>
      <c r="J58" s="40"/>
      <c r="K58" s="28"/>
      <c r="L58" s="6"/>
      <c r="M58" s="6"/>
      <c r="N58" s="29"/>
      <c r="O58" s="7"/>
      <c r="P58" s="6"/>
      <c r="Q58" s="13"/>
      <c r="R58" s="7"/>
      <c r="S58" s="7"/>
      <c r="T58" s="6"/>
      <c r="U58" s="48"/>
    </row>
    <row r="59" spans="1:48" ht="16" x14ac:dyDescent="0.2">
      <c r="A59" s="7"/>
      <c r="B59" s="7"/>
      <c r="C59" s="28"/>
      <c r="D59" s="28"/>
      <c r="E59" s="28"/>
      <c r="F59" s="40"/>
      <c r="G59" s="40"/>
      <c r="H59" s="28"/>
      <c r="I59" s="38"/>
      <c r="J59" s="40"/>
      <c r="K59" s="28"/>
      <c r="L59" s="6"/>
      <c r="M59" s="6"/>
      <c r="N59" s="29"/>
      <c r="O59" s="7"/>
      <c r="P59" s="6"/>
      <c r="Q59" s="13"/>
      <c r="R59" s="7"/>
      <c r="S59" s="7"/>
      <c r="T59" s="6"/>
      <c r="U59" s="48"/>
    </row>
    <row r="60" spans="1:48" ht="16" x14ac:dyDescent="0.2">
      <c r="A60" s="23"/>
      <c r="B60" s="7"/>
      <c r="C60" s="28"/>
      <c r="D60" s="28"/>
      <c r="E60" s="28"/>
      <c r="F60" s="40"/>
      <c r="G60" s="40"/>
      <c r="H60" s="28"/>
      <c r="I60" s="38"/>
      <c r="J60" s="40"/>
      <c r="K60" s="28"/>
      <c r="L60" s="6"/>
      <c r="M60" s="6"/>
      <c r="N60" s="29"/>
      <c r="O60" s="7"/>
      <c r="P60" s="6"/>
      <c r="Q60" s="13"/>
      <c r="R60" s="7"/>
      <c r="S60" s="7"/>
      <c r="T60" s="6"/>
      <c r="U60" s="48"/>
    </row>
    <row r="61" spans="1:48" ht="16" x14ac:dyDescent="0.2">
      <c r="A61" s="7"/>
      <c r="B61" s="7"/>
      <c r="C61" s="7"/>
      <c r="D61" s="7"/>
      <c r="E61" s="7"/>
      <c r="F61" s="40"/>
      <c r="G61" s="40"/>
      <c r="H61" s="7"/>
      <c r="I61" s="38"/>
      <c r="J61" s="40"/>
      <c r="K61" s="6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40"/>
      <c r="G62" s="40"/>
      <c r="H62" s="7"/>
      <c r="I62" s="38"/>
      <c r="J62" s="40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48"/>
    </row>
    <row r="65" spans="1:21" ht="19" x14ac:dyDescent="0.25">
      <c r="A65" s="92" t="s">
        <v>90</v>
      </c>
      <c r="B65" s="6"/>
      <c r="C65" s="7"/>
      <c r="D65" s="6"/>
      <c r="E65" s="49"/>
      <c r="F65" s="49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48"/>
    </row>
    <row r="66" spans="1:21" ht="16" x14ac:dyDescent="0.2">
      <c r="A66" s="7"/>
      <c r="B66" s="39"/>
      <c r="C66" s="39"/>
      <c r="D66" s="39"/>
      <c r="F66" s="39"/>
      <c r="G66" s="39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48"/>
    </row>
    <row r="67" spans="1:21" ht="16" x14ac:dyDescent="0.2">
      <c r="A67" s="4" t="s">
        <v>89</v>
      </c>
      <c r="B67" s="39" t="s">
        <v>33</v>
      </c>
      <c r="C67" s="39" t="s">
        <v>33</v>
      </c>
      <c r="D67" s="39">
        <v>0</v>
      </c>
      <c r="E67" s="39">
        <v>2562</v>
      </c>
      <c r="F67" s="39"/>
      <c r="G67" s="39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48"/>
    </row>
    <row r="68" spans="1:21" ht="16" x14ac:dyDescent="0.2">
      <c r="A68" s="4" t="s">
        <v>62</v>
      </c>
      <c r="B68" s="39">
        <v>72</v>
      </c>
      <c r="C68" s="39">
        <v>38</v>
      </c>
      <c r="D68" s="39">
        <v>0</v>
      </c>
      <c r="E68" s="39">
        <v>110</v>
      </c>
      <c r="F68" s="39"/>
      <c r="G68" s="39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48"/>
    </row>
    <row r="69" spans="1:21" ht="16" x14ac:dyDescent="0.2">
      <c r="A69" s="4" t="s">
        <v>63</v>
      </c>
      <c r="B69" s="39">
        <v>53</v>
      </c>
      <c r="C69" s="39">
        <v>0</v>
      </c>
      <c r="D69" s="39">
        <v>0</v>
      </c>
      <c r="E69" s="39">
        <v>53</v>
      </c>
      <c r="F69" s="39"/>
      <c r="G69" s="39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48"/>
    </row>
    <row r="70" spans="1:21" ht="16" x14ac:dyDescent="0.2">
      <c r="A70" s="4" t="s">
        <v>64</v>
      </c>
      <c r="B70" s="39">
        <v>84</v>
      </c>
      <c r="C70" s="39">
        <v>39</v>
      </c>
      <c r="D70" s="39">
        <v>0</v>
      </c>
      <c r="E70" s="39">
        <v>123</v>
      </c>
      <c r="F70" s="39"/>
      <c r="G70" s="39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50"/>
      <c r="T70" s="31"/>
      <c r="U70" s="35"/>
    </row>
    <row r="71" spans="1:21" x14ac:dyDescent="0.2">
      <c r="A71" s="4" t="s">
        <v>65</v>
      </c>
      <c r="B71" s="39" t="s">
        <v>33</v>
      </c>
      <c r="C71" s="39">
        <v>24</v>
      </c>
      <c r="D71" s="39">
        <v>0</v>
      </c>
      <c r="E71" s="39" t="s">
        <v>33</v>
      </c>
      <c r="F71" s="39">
        <f>E85/3</f>
        <v>269.66666666666669</v>
      </c>
      <c r="G71" s="39"/>
    </row>
    <row r="72" spans="1:21" x14ac:dyDescent="0.2">
      <c r="A72" s="4" t="s">
        <v>66</v>
      </c>
      <c r="B72" s="39">
        <v>92</v>
      </c>
      <c r="C72" s="39">
        <v>44</v>
      </c>
      <c r="D72" s="39">
        <v>0</v>
      </c>
      <c r="E72" s="39">
        <v>136</v>
      </c>
      <c r="F72" s="39"/>
      <c r="G72" s="39"/>
    </row>
    <row r="73" spans="1:21" x14ac:dyDescent="0.2">
      <c r="A73" s="4" t="s">
        <v>67</v>
      </c>
      <c r="B73" s="39" t="s">
        <v>33</v>
      </c>
      <c r="C73" s="39" t="s">
        <v>33</v>
      </c>
      <c r="D73" s="39" t="s">
        <v>33</v>
      </c>
      <c r="E73" s="39" t="s">
        <v>33</v>
      </c>
      <c r="F73" s="39">
        <f>E85/3</f>
        <v>269.66666666666669</v>
      </c>
      <c r="G73" s="39"/>
    </row>
    <row r="74" spans="1:21" x14ac:dyDescent="0.2">
      <c r="A74" s="4" t="s">
        <v>68</v>
      </c>
      <c r="B74" s="39">
        <v>49</v>
      </c>
      <c r="C74" s="39">
        <v>0</v>
      </c>
      <c r="D74" s="39">
        <v>0</v>
      </c>
      <c r="E74" s="39">
        <v>49</v>
      </c>
      <c r="F74" s="39"/>
      <c r="G74" s="39"/>
    </row>
    <row r="75" spans="1:21" x14ac:dyDescent="0.2">
      <c r="A75" s="4" t="s">
        <v>69</v>
      </c>
      <c r="B75" s="39">
        <v>50</v>
      </c>
      <c r="C75" s="39">
        <v>0</v>
      </c>
      <c r="D75" s="39">
        <v>0</v>
      </c>
      <c r="E75" s="39">
        <v>50</v>
      </c>
      <c r="F75" s="39"/>
      <c r="G75" s="39"/>
    </row>
    <row r="76" spans="1:21" x14ac:dyDescent="0.2">
      <c r="A76" s="4" t="s">
        <v>70</v>
      </c>
      <c r="B76" s="39">
        <v>197</v>
      </c>
      <c r="C76" s="39">
        <v>0</v>
      </c>
      <c r="D76" s="39">
        <v>0</v>
      </c>
      <c r="E76" s="39">
        <v>197</v>
      </c>
      <c r="F76" s="39"/>
      <c r="G76" s="39"/>
    </row>
    <row r="77" spans="1:21" x14ac:dyDescent="0.2">
      <c r="A77" s="4" t="s">
        <v>71</v>
      </c>
      <c r="B77" s="39">
        <v>131</v>
      </c>
      <c r="C77" s="39">
        <v>0</v>
      </c>
      <c r="D77" s="39">
        <v>0</v>
      </c>
      <c r="E77" s="39">
        <v>131</v>
      </c>
      <c r="F77" s="39"/>
      <c r="G77" s="39"/>
    </row>
    <row r="78" spans="1:21" x14ac:dyDescent="0.2">
      <c r="A78" s="4" t="s">
        <v>72</v>
      </c>
      <c r="B78" s="39" t="s">
        <v>33</v>
      </c>
      <c r="C78" s="39" t="s">
        <v>33</v>
      </c>
      <c r="D78" s="39">
        <v>0</v>
      </c>
      <c r="E78" s="39" t="s">
        <v>33</v>
      </c>
      <c r="F78" s="39">
        <f>E85/3</f>
        <v>269.66666666666669</v>
      </c>
      <c r="G78" s="39"/>
    </row>
    <row r="79" spans="1:21" x14ac:dyDescent="0.2">
      <c r="A79" s="4" t="s">
        <v>73</v>
      </c>
      <c r="B79" s="39">
        <v>55</v>
      </c>
      <c r="C79" s="39">
        <v>225</v>
      </c>
      <c r="D79" s="39">
        <v>0</v>
      </c>
      <c r="E79" s="39">
        <v>280</v>
      </c>
      <c r="F79" s="39"/>
      <c r="G79" s="39"/>
    </row>
    <row r="80" spans="1:21" x14ac:dyDescent="0.2">
      <c r="A80" s="4" t="s">
        <v>74</v>
      </c>
      <c r="B80" s="39">
        <v>103</v>
      </c>
      <c r="C80" s="39">
        <v>0</v>
      </c>
      <c r="D80" s="39">
        <v>0</v>
      </c>
      <c r="E80" s="39">
        <v>103</v>
      </c>
      <c r="F80" s="39"/>
      <c r="G80" s="39"/>
    </row>
    <row r="81" spans="1:7" x14ac:dyDescent="0.2">
      <c r="A81" s="4" t="s">
        <v>75</v>
      </c>
      <c r="B81" s="39">
        <v>77</v>
      </c>
      <c r="C81" s="39">
        <v>0</v>
      </c>
      <c r="D81" s="39">
        <v>0</v>
      </c>
      <c r="E81" s="39">
        <v>77</v>
      </c>
      <c r="F81" s="39"/>
      <c r="G81" s="39"/>
    </row>
    <row r="82" spans="1:7" x14ac:dyDescent="0.2">
      <c r="A82" s="4" t="s">
        <v>76</v>
      </c>
      <c r="B82" s="39">
        <v>130</v>
      </c>
      <c r="C82" s="39">
        <v>157</v>
      </c>
      <c r="D82" s="39">
        <v>0</v>
      </c>
      <c r="E82" s="39">
        <v>287</v>
      </c>
      <c r="F82" s="39"/>
      <c r="G82" s="39"/>
    </row>
    <row r="83" spans="1:7" x14ac:dyDescent="0.2">
      <c r="A83" s="4" t="s">
        <v>77</v>
      </c>
      <c r="B83" s="39">
        <v>124</v>
      </c>
      <c r="C83" s="39">
        <v>33</v>
      </c>
      <c r="D83" s="39">
        <v>0</v>
      </c>
      <c r="E83" s="39">
        <v>157</v>
      </c>
      <c r="F83" s="39"/>
      <c r="G83" s="39"/>
    </row>
    <row r="84" spans="1:7" x14ac:dyDescent="0.2">
      <c r="B84" s="39"/>
      <c r="C84" s="39"/>
      <c r="D84" s="39"/>
      <c r="E84" s="39"/>
      <c r="F84" s="39"/>
      <c r="G84" s="39"/>
    </row>
    <row r="85" spans="1:7" x14ac:dyDescent="0.2">
      <c r="B85" s="39"/>
      <c r="C85" s="39"/>
      <c r="D85" s="39"/>
      <c r="E85" s="39">
        <f>E67-SUM(E68:E83)</f>
        <v>809</v>
      </c>
      <c r="F85" s="39"/>
      <c r="G85" s="39"/>
    </row>
    <row r="86" spans="1:7" x14ac:dyDescent="0.2">
      <c r="B86" s="39"/>
      <c r="C86" s="39"/>
      <c r="D86" s="39"/>
      <c r="E86" s="39"/>
      <c r="F86" s="39"/>
      <c r="G86" s="39"/>
    </row>
  </sheetData>
  <pageMargins left="0.75" right="0.75" top="0.75" bottom="0.5" header="0.5" footer="0.75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70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0.95*197</f>
        <v>187.14999999999998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58">
        <f>B10-B9-B4</f>
        <v>29092.999999999993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57">
        <v>205162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63">
        <f>234255+B4</f>
        <v>234442.15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8">
        <v>1287</v>
      </c>
      <c r="C18" s="8">
        <v>0</v>
      </c>
      <c r="D18" s="8">
        <v>0</v>
      </c>
      <c r="E18" s="8">
        <v>0</v>
      </c>
      <c r="F18" s="8">
        <v>0</v>
      </c>
      <c r="G18" s="8">
        <v>1464</v>
      </c>
      <c r="H18" s="8">
        <v>0</v>
      </c>
      <c r="I18" s="8"/>
      <c r="J18" s="8"/>
      <c r="K18" s="8"/>
      <c r="L18" s="8"/>
      <c r="M18" s="8"/>
      <c r="N18" s="8"/>
      <c r="O18" s="8">
        <v>1464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18187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444.73032000000001</v>
      </c>
      <c r="U21" s="3"/>
    </row>
    <row r="22" spans="1:25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8">
        <v>19474</v>
      </c>
      <c r="C23" s="8">
        <v>0</v>
      </c>
      <c r="D23" s="8">
        <v>0</v>
      </c>
      <c r="E23" s="8">
        <v>0</v>
      </c>
      <c r="F23" s="8">
        <v>0</v>
      </c>
      <c r="G23" s="8">
        <v>1464</v>
      </c>
      <c r="H23" s="8">
        <v>0</v>
      </c>
      <c r="I23" s="8"/>
      <c r="J23" s="8"/>
      <c r="K23" s="8"/>
      <c r="L23" s="8"/>
      <c r="M23" s="8"/>
      <c r="N23" s="8"/>
      <c r="O23" s="8">
        <v>1464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134.81532000000001</v>
      </c>
      <c r="U24" s="13">
        <f>N43</f>
        <v>0.30313948462070228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71.572999999999993</v>
      </c>
      <c r="U25" s="14">
        <f>G43</f>
        <v>0.16093573291787255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18.547999999999998</v>
      </c>
      <c r="U27" s="13">
        <f>F43</f>
        <v>4.1706173754917364E-2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5.0000000000000001E-3</v>
      </c>
      <c r="U28" s="13">
        <f>E43</f>
        <v>1.1242768426492711E-5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5383</v>
      </c>
      <c r="D31" s="8">
        <v>0</v>
      </c>
      <c r="E31" s="8">
        <v>0</v>
      </c>
      <c r="F31" s="8">
        <v>557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13297</v>
      </c>
      <c r="O31" s="8">
        <v>19238</v>
      </c>
      <c r="P31" s="17">
        <f>O31/O$39</f>
        <v>4.2714376747108596E-2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8">
        <v>120</v>
      </c>
      <c r="C32" s="77">
        <v>3910</v>
      </c>
      <c r="D32" s="8">
        <v>0</v>
      </c>
      <c r="E32" s="58">
        <v>5</v>
      </c>
      <c r="F32" s="8">
        <v>0</v>
      </c>
      <c r="G32" s="58">
        <f>G39-G36</f>
        <v>35109</v>
      </c>
      <c r="H32" s="8">
        <v>0</v>
      </c>
      <c r="I32" s="8"/>
      <c r="J32" s="8"/>
      <c r="K32" s="8"/>
      <c r="L32" s="8"/>
      <c r="M32" s="27"/>
      <c r="N32" s="58">
        <f>N39-N38-N37-N36-N35-N34-N33-N31</f>
        <v>28912</v>
      </c>
      <c r="O32" s="8">
        <v>68056</v>
      </c>
      <c r="P32" s="17">
        <f>O32/O$39</f>
        <v>0.15110560473548304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8">
        <v>7247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8134</v>
      </c>
      <c r="O33" s="8">
        <v>15381</v>
      </c>
      <c r="P33" s="17">
        <f>O33/O$39</f>
        <v>3.4150630457806287E-2</v>
      </c>
      <c r="Q33" s="18" t="s">
        <v>39</v>
      </c>
      <c r="R33" s="3"/>
      <c r="S33" s="3" t="s">
        <v>35</v>
      </c>
      <c r="T33" s="12">
        <f>C42/1000</f>
        <v>219.78899999999999</v>
      </c>
      <c r="U33" s="14">
        <f>C43</f>
        <v>0.49420736593808129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209973</v>
      </c>
      <c r="D34" s="8">
        <v>0</v>
      </c>
      <c r="E34" s="8">
        <v>0</v>
      </c>
      <c r="F34" s="8">
        <v>17990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147</v>
      </c>
      <c r="O34" s="8">
        <v>228111</v>
      </c>
      <c r="P34" s="17">
        <f>O34/O$39</f>
        <v>0.50647776245761977</v>
      </c>
      <c r="Q34" s="18" t="s">
        <v>41</v>
      </c>
      <c r="R34" s="3"/>
      <c r="S34" s="3"/>
      <c r="T34" s="12">
        <f>SUM(T24:T33)</f>
        <v>444.73032000000001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8">
        <v>2638</v>
      </c>
      <c r="C35" s="8">
        <v>334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30484</v>
      </c>
      <c r="O35" s="8">
        <v>33456</v>
      </c>
      <c r="P35" s="17">
        <f>O35/O$39</f>
        <v>7.428278347287999E-2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8">
        <v>267</v>
      </c>
      <c r="C36" s="8">
        <v>189</v>
      </c>
      <c r="D36" s="8">
        <v>0</v>
      </c>
      <c r="E36" s="8">
        <v>0</v>
      </c>
      <c r="F36" s="8">
        <v>0</v>
      </c>
      <c r="G36" s="58">
        <v>35000</v>
      </c>
      <c r="H36" s="8">
        <v>0</v>
      </c>
      <c r="I36" s="8"/>
      <c r="J36" s="8"/>
      <c r="K36" s="8"/>
      <c r="L36" s="8"/>
      <c r="M36" s="27"/>
      <c r="N36" s="58">
        <f>O36-G36-C36-B36</f>
        <v>33107</v>
      </c>
      <c r="O36" s="8">
        <v>68563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8">
        <v>6835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4081</v>
      </c>
      <c r="O37" s="8">
        <v>10916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6667</v>
      </c>
      <c r="O38" s="8">
        <v>6667</v>
      </c>
      <c r="P38" s="18">
        <f>SUM(P31:P35)</f>
        <v>0.80873115787089767</v>
      </c>
      <c r="Q38" s="18"/>
      <c r="R38" s="3"/>
      <c r="S38" s="7" t="s">
        <v>47</v>
      </c>
      <c r="T38" s="19">
        <f>O45/1000</f>
        <v>12.35332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17107</v>
      </c>
      <c r="C39" s="63">
        <f>SUM(C31:C38)</f>
        <v>219789</v>
      </c>
      <c r="D39" s="8">
        <v>0</v>
      </c>
      <c r="E39" s="58">
        <v>5</v>
      </c>
      <c r="F39" s="8">
        <v>18548</v>
      </c>
      <c r="G39" s="58">
        <f>O39-F39-N39-C39-B39-E39</f>
        <v>70109</v>
      </c>
      <c r="H39" s="8">
        <v>0</v>
      </c>
      <c r="I39" s="8"/>
      <c r="J39" s="8"/>
      <c r="K39" s="8"/>
      <c r="L39" s="8"/>
      <c r="M39" s="27"/>
      <c r="N39" s="8">
        <v>124829</v>
      </c>
      <c r="O39" s="8">
        <v>450387</v>
      </c>
      <c r="P39" s="3"/>
      <c r="Q39" s="3"/>
      <c r="R39" s="3"/>
      <c r="S39" s="7" t="s">
        <v>48</v>
      </c>
      <c r="T39" s="20">
        <f>O41/1000</f>
        <v>86.146000000000001</v>
      </c>
      <c r="U39" s="13">
        <f>P41</f>
        <v>0.19127106244185557</v>
      </c>
      <c r="W39" s="8"/>
      <c r="X39" s="8"/>
      <c r="Y39" s="8"/>
    </row>
    <row r="40" spans="1:48" ht="16" x14ac:dyDescent="0.2">
      <c r="C40" s="9"/>
      <c r="F40" s="9"/>
      <c r="G40" s="9"/>
      <c r="H40" s="9"/>
      <c r="S40" s="7" t="s">
        <v>49</v>
      </c>
      <c r="T40" s="20">
        <f>O35/1000</f>
        <v>33.456000000000003</v>
      </c>
      <c r="U40" s="14">
        <f>P35</f>
        <v>7.428278347287999E-2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7102</v>
      </c>
      <c r="C41" s="22">
        <f t="shared" ref="C41:O41" si="0">C38+C37+C36</f>
        <v>189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35000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43855</v>
      </c>
      <c r="O41" s="22">
        <f t="shared" si="0"/>
        <v>86146</v>
      </c>
      <c r="P41" s="17">
        <f>O41/O$39</f>
        <v>0.19127106244185557</v>
      </c>
      <c r="Q41" s="17" t="s">
        <v>51</v>
      </c>
      <c r="R41" s="7"/>
      <c r="S41" s="7" t="s">
        <v>52</v>
      </c>
      <c r="T41" s="20">
        <f>O33/1000</f>
        <v>15.381</v>
      </c>
      <c r="U41" s="13">
        <f>P33</f>
        <v>3.4150630457806287E-2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219789</v>
      </c>
      <c r="D42" s="24">
        <f t="shared" ref="D42:M42" si="1">D39+D23+D10</f>
        <v>0</v>
      </c>
      <c r="E42" s="24">
        <f t="shared" si="1"/>
        <v>5</v>
      </c>
      <c r="F42" s="24">
        <f t="shared" si="1"/>
        <v>18548</v>
      </c>
      <c r="G42" s="24">
        <f t="shared" si="1"/>
        <v>71573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134815.32</v>
      </c>
      <c r="O42" s="25">
        <f>SUM(C42:N42)</f>
        <v>444730.32</v>
      </c>
      <c r="P42" s="7"/>
      <c r="Q42" s="7"/>
      <c r="R42" s="7"/>
      <c r="S42" s="7" t="s">
        <v>34</v>
      </c>
      <c r="T42" s="20">
        <f>O31/1000</f>
        <v>19.238</v>
      </c>
      <c r="U42" s="13">
        <f>P31</f>
        <v>4.2714376747108596E-2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0.49420736593808129</v>
      </c>
      <c r="D43" s="17">
        <f t="shared" si="2"/>
        <v>0</v>
      </c>
      <c r="E43" s="17">
        <f t="shared" si="2"/>
        <v>1.1242768426492711E-5</v>
      </c>
      <c r="F43" s="17">
        <f t="shared" si="2"/>
        <v>4.1706173754917364E-2</v>
      </c>
      <c r="G43" s="17">
        <f t="shared" si="2"/>
        <v>0.16093573291787255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0.30313948462070228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68.055999999999997</v>
      </c>
      <c r="U43" s="14">
        <f>P32</f>
        <v>0.15110560473548304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228.11099999999999</v>
      </c>
      <c r="U44" s="14">
        <f>P34</f>
        <v>0.50647776245761977</v>
      </c>
    </row>
    <row r="45" spans="1:48" ht="16" x14ac:dyDescent="0.2">
      <c r="A45" s="6" t="s">
        <v>57</v>
      </c>
      <c r="B45" s="6">
        <f>B23-B39</f>
        <v>2367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9986.32</v>
      </c>
      <c r="O45" s="25">
        <f>B45+N45</f>
        <v>12353.32</v>
      </c>
      <c r="P45" s="7"/>
      <c r="Q45" s="7"/>
      <c r="R45" s="7"/>
      <c r="S45" s="7" t="s">
        <v>58</v>
      </c>
      <c r="T45" s="20">
        <f>SUM(T39:T44)</f>
        <v>450.38799999999998</v>
      </c>
      <c r="U45" s="13">
        <f>SUM(U39:U44)</f>
        <v>1.0000022203127532</v>
      </c>
    </row>
    <row r="46" spans="1:48" ht="16" x14ac:dyDescent="0.2">
      <c r="A46" s="6"/>
      <c r="B46" s="52">
        <f>B45/B23</f>
        <v>0.12154667762144397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6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6" x14ac:dyDescent="0.2">
      <c r="A49" s="70"/>
      <c r="B49" s="70"/>
      <c r="C49" s="70"/>
      <c r="D49" s="70"/>
      <c r="E49" s="70"/>
      <c r="F49" s="70"/>
      <c r="G49" s="63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6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6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6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6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 enableFormatConditionsCalculation="0"/>
  <dimension ref="A1:AV8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37.1640625" style="2" customWidth="1"/>
    <col min="2" max="2" width="20.33203125" style="2" customWidth="1"/>
    <col min="3" max="3" width="13.83203125" style="2" customWidth="1"/>
    <col min="4" max="4" width="8.83203125" style="2" customWidth="1"/>
    <col min="5" max="6" width="8.83203125" style="2"/>
    <col min="7" max="7" width="10.5" style="2" bestFit="1" customWidth="1"/>
    <col min="8" max="10" width="8.83203125" style="2"/>
    <col min="11" max="11" width="14.1640625" style="2" customWidth="1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71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0.95*131</f>
        <v>124.44999999999999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128973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51"/>
      <c r="U9" s="51"/>
      <c r="V9" s="8"/>
      <c r="W9" s="8"/>
      <c r="X9" s="8"/>
      <c r="Y9" s="51"/>
      <c r="Z9" s="8"/>
      <c r="AA9" s="8"/>
      <c r="AB9" s="8"/>
      <c r="AC9" s="8"/>
      <c r="AD9" s="8"/>
      <c r="AE9" s="8"/>
      <c r="AF9" s="8"/>
      <c r="AG9" s="51"/>
      <c r="AH9" s="27"/>
      <c r="AI9" s="27"/>
    </row>
    <row r="10" spans="1:35" ht="16" x14ac:dyDescent="0.2">
      <c r="A10" s="4" t="s">
        <v>15</v>
      </c>
      <c r="B10" s="63">
        <f>SUM(B4:B9)</f>
        <v>129097.45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51"/>
      <c r="U10" s="51"/>
      <c r="V10" s="8"/>
      <c r="W10" s="8"/>
      <c r="X10" s="8"/>
      <c r="Y10" s="51"/>
      <c r="Z10" s="8"/>
      <c r="AA10" s="8"/>
      <c r="AB10" s="8"/>
      <c r="AC10" s="8"/>
      <c r="AD10" s="8"/>
      <c r="AE10" s="8"/>
      <c r="AF10" s="8"/>
      <c r="AG10" s="51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/>
      <c r="K15" s="6"/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54">
        <f>32100+6725</f>
        <v>38825</v>
      </c>
      <c r="C18" s="83">
        <v>105</v>
      </c>
      <c r="D18" s="8">
        <v>0</v>
      </c>
      <c r="E18" s="8">
        <v>0</v>
      </c>
      <c r="F18" s="8">
        <v>0</v>
      </c>
      <c r="G18" s="83">
        <v>36815</v>
      </c>
      <c r="H18" s="70">
        <v>0</v>
      </c>
      <c r="I18" s="8"/>
      <c r="J18" s="55"/>
      <c r="K18" s="55"/>
      <c r="L18" s="8"/>
      <c r="M18" s="8"/>
      <c r="N18" s="55"/>
      <c r="O18" s="83">
        <f>SUM(C18:N18)</f>
        <v>36920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70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O19" s="70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60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844.89217276663635</v>
      </c>
      <c r="U21" s="3"/>
    </row>
    <row r="22" spans="1:25" ht="16" x14ac:dyDescent="0.2">
      <c r="A22" s="4" t="s">
        <v>24</v>
      </c>
      <c r="B22" s="5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54">
        <f>SUM(B17:B22)</f>
        <v>38825</v>
      </c>
      <c r="C23" s="83">
        <v>105</v>
      </c>
      <c r="D23" s="8">
        <v>0</v>
      </c>
      <c r="E23" s="8">
        <v>0</v>
      </c>
      <c r="F23" s="8">
        <v>0</v>
      </c>
      <c r="G23" s="83">
        <f>SUM(G17:G22)</f>
        <v>36815</v>
      </c>
      <c r="H23" s="70">
        <v>0</v>
      </c>
      <c r="I23" s="8"/>
      <c r="J23" s="55"/>
      <c r="K23" s="55"/>
      <c r="L23" s="8"/>
      <c r="M23" s="8"/>
      <c r="N23" s="55"/>
      <c r="O23" s="83">
        <f>SUM(O17:O22)</f>
        <v>36920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71">
        <f>B23/(B22+O23)</f>
        <v>1.0515980498374864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406.90583234958979</v>
      </c>
      <c r="U24" s="13">
        <f>N43</f>
        <v>0.48160681974027392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219.453</v>
      </c>
      <c r="U25" s="14">
        <f>G43</f>
        <v>0.25974083684713467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11.991</v>
      </c>
      <c r="U27" s="13">
        <f>F43</f>
        <v>1.4192343575316773E-2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2</v>
      </c>
      <c r="U28" s="13">
        <f>E43</f>
        <v>2.3671659703639017E-3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5869</v>
      </c>
      <c r="D31" s="8">
        <v>0</v>
      </c>
      <c r="E31" s="8">
        <v>0</v>
      </c>
      <c r="F31" s="8">
        <v>579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17151</v>
      </c>
      <c r="O31" s="8">
        <v>23598</v>
      </c>
      <c r="P31" s="17">
        <f>O31/O$39</f>
        <v>2.9106167576928202E-2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58">
        <f>666*32925/35104</f>
        <v>624.65958295350958</v>
      </c>
      <c r="C32" s="58">
        <f>O32-N32-G32-E32-B32</f>
        <v>59528.340417046493</v>
      </c>
      <c r="D32" s="8">
        <v>0</v>
      </c>
      <c r="E32" s="58">
        <v>2000</v>
      </c>
      <c r="F32" s="8">
        <v>0</v>
      </c>
      <c r="G32" s="58">
        <f>G39-G36</f>
        <v>123138</v>
      </c>
      <c r="H32" s="8">
        <v>0</v>
      </c>
      <c r="I32" s="8"/>
      <c r="J32" s="8"/>
      <c r="K32" s="8"/>
      <c r="L32" s="8"/>
      <c r="M32" s="27"/>
      <c r="N32" s="8">
        <v>272416</v>
      </c>
      <c r="O32" s="8">
        <v>457707</v>
      </c>
      <c r="P32" s="17">
        <f>O32/O$39</f>
        <v>0.5645434631381081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58">
        <f>O33-N33-C33</f>
        <v>7225</v>
      </c>
      <c r="C33" s="8">
        <v>12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10265</v>
      </c>
      <c r="O33" s="58">
        <f>O39-O38-O37-O36-O35-O34-O32-O31</f>
        <v>17502</v>
      </c>
      <c r="P33" s="17">
        <f>O33/O$39</f>
        <v>2.1587259298728595E-2</v>
      </c>
      <c r="Q33" s="18" t="s">
        <v>39</v>
      </c>
      <c r="R33" s="3"/>
      <c r="S33" s="3" t="s">
        <v>35</v>
      </c>
      <c r="T33" s="12">
        <f>C42/1000</f>
        <v>204.54234041704652</v>
      </c>
      <c r="U33" s="14">
        <f>C43</f>
        <v>0.24209283386691069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136476</v>
      </c>
      <c r="D34" s="8">
        <v>0</v>
      </c>
      <c r="E34" s="8">
        <v>0</v>
      </c>
      <c r="F34" s="8">
        <v>11412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146</v>
      </c>
      <c r="O34" s="8">
        <v>148035</v>
      </c>
      <c r="P34" s="17">
        <f>O34/O$39</f>
        <v>0.1825888430057872</v>
      </c>
      <c r="Q34" s="18" t="s">
        <v>41</v>
      </c>
      <c r="R34" s="3"/>
      <c r="S34" s="3"/>
      <c r="T34" s="12">
        <f>SUM(T24:T33)</f>
        <v>844.89217276663624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58">
        <f>B39-B37-B36-B33-B32</f>
        <v>12175.340417046491</v>
      </c>
      <c r="C35" s="8">
        <v>1427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58">
        <f>O35-C35-B35</f>
        <v>23470.659582953507</v>
      </c>
      <c r="O35" s="8">
        <v>37073</v>
      </c>
      <c r="P35" s="17">
        <f>O35/O$39</f>
        <v>4.5726457775212274E-2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54">
        <v>3200</v>
      </c>
      <c r="C36" s="8">
        <v>869</v>
      </c>
      <c r="D36" s="8">
        <v>0</v>
      </c>
      <c r="E36" s="8">
        <v>0</v>
      </c>
      <c r="F36" s="8">
        <v>0</v>
      </c>
      <c r="G36" s="58">
        <v>59500</v>
      </c>
      <c r="H36" s="8">
        <v>0</v>
      </c>
      <c r="I36" s="8"/>
      <c r="J36" s="8"/>
      <c r="K36" s="8"/>
      <c r="L36" s="8"/>
      <c r="M36" s="8"/>
      <c r="N36" s="8">
        <v>43222</v>
      </c>
      <c r="O36" s="58">
        <f>SUM(B36:N36)</f>
        <v>106791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54">
        <v>9700</v>
      </c>
      <c r="C37" s="8">
        <v>256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4326</v>
      </c>
      <c r="O37" s="58">
        <f>SUM(B37:N37)</f>
        <v>14282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5768</v>
      </c>
      <c r="O38" s="8">
        <v>5768</v>
      </c>
      <c r="P38" s="18">
        <f>SUM(P31:P35)</f>
        <v>0.8435521907947644</v>
      </c>
      <c r="Q38" s="18"/>
      <c r="R38" s="3"/>
      <c r="S38" s="7" t="s">
        <v>47</v>
      </c>
      <c r="T38" s="19">
        <f>O45/1000</f>
        <v>36.041172766636279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32925</v>
      </c>
      <c r="C39" s="58">
        <f>SUM(C31:C38)</f>
        <v>204437.34041704651</v>
      </c>
      <c r="D39" s="8">
        <v>0</v>
      </c>
      <c r="E39" s="58">
        <f>SUM(E31:E38)</f>
        <v>2000</v>
      </c>
      <c r="F39" s="8">
        <v>11991</v>
      </c>
      <c r="G39" s="8">
        <v>182638</v>
      </c>
      <c r="H39" s="8">
        <v>0</v>
      </c>
      <c r="I39" s="8"/>
      <c r="J39" s="8"/>
      <c r="K39" s="8"/>
      <c r="L39" s="8"/>
      <c r="M39" s="27"/>
      <c r="N39" s="58">
        <f>SUM(N31:N38)</f>
        <v>376764.65958295349</v>
      </c>
      <c r="O39" s="8">
        <v>810756</v>
      </c>
      <c r="P39" s="59"/>
      <c r="Q39" s="3"/>
      <c r="R39" s="3"/>
      <c r="S39" s="7" t="s">
        <v>48</v>
      </c>
      <c r="T39" s="20">
        <f>O41/1000</f>
        <v>126.84099999999999</v>
      </c>
      <c r="U39" s="13">
        <f>P41</f>
        <v>0.1564478092052356</v>
      </c>
      <c r="W39" s="8"/>
      <c r="X39" s="8"/>
      <c r="Y39" s="8"/>
    </row>
    <row r="40" spans="1:48" ht="16" x14ac:dyDescent="0.2">
      <c r="C40" s="9"/>
      <c r="E40" s="9"/>
      <c r="K40" s="9"/>
      <c r="S40" s="7" t="s">
        <v>49</v>
      </c>
      <c r="T40" s="20">
        <f>O35/1000</f>
        <v>37.073</v>
      </c>
      <c r="U40" s="14">
        <f>P35</f>
        <v>4.5726457775212274E-2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12900</v>
      </c>
      <c r="C41" s="22">
        <f t="shared" ref="C41:O41" si="0">C38+C37+C36</f>
        <v>1125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59500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>K38+K37+K36</f>
        <v>0</v>
      </c>
      <c r="L41" s="22">
        <f t="shared" si="0"/>
        <v>0</v>
      </c>
      <c r="M41" s="22">
        <f t="shared" si="0"/>
        <v>0</v>
      </c>
      <c r="N41" s="22">
        <f t="shared" si="0"/>
        <v>53316</v>
      </c>
      <c r="O41" s="22">
        <f t="shared" si="0"/>
        <v>126841</v>
      </c>
      <c r="P41" s="17">
        <f>O41/O$39</f>
        <v>0.1564478092052356</v>
      </c>
      <c r="Q41" s="17" t="s">
        <v>51</v>
      </c>
      <c r="R41" s="7"/>
      <c r="S41" s="7" t="s">
        <v>52</v>
      </c>
      <c r="T41" s="20">
        <f>O33/1000</f>
        <v>17.501999999999999</v>
      </c>
      <c r="U41" s="13">
        <f>P33</f>
        <v>2.1587259298728595E-2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204542.34041704651</v>
      </c>
      <c r="D42" s="24">
        <f t="shared" ref="D42:M42" si="1">D39+D23+D10</f>
        <v>0</v>
      </c>
      <c r="E42" s="24">
        <f t="shared" si="1"/>
        <v>2000</v>
      </c>
      <c r="F42" s="24">
        <f t="shared" si="1"/>
        <v>11991</v>
      </c>
      <c r="G42" s="24">
        <f t="shared" si="1"/>
        <v>219453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406905.83234958979</v>
      </c>
      <c r="O42" s="25">
        <f>SUM(C42:N42)</f>
        <v>844892.17276663636</v>
      </c>
      <c r="P42" s="7"/>
      <c r="Q42" s="7"/>
      <c r="R42" s="7"/>
      <c r="S42" s="7" t="s">
        <v>34</v>
      </c>
      <c r="T42" s="20">
        <f>O31/1000</f>
        <v>23.597999999999999</v>
      </c>
      <c r="U42" s="13">
        <f>P31</f>
        <v>2.9106167576928202E-2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0.24209283386691069</v>
      </c>
      <c r="D43" s="17">
        <f t="shared" si="2"/>
        <v>0</v>
      </c>
      <c r="E43" s="17">
        <f t="shared" si="2"/>
        <v>2.3671659703639017E-3</v>
      </c>
      <c r="F43" s="17">
        <f t="shared" si="2"/>
        <v>1.4192343575316773E-2</v>
      </c>
      <c r="G43" s="17">
        <f t="shared" si="2"/>
        <v>0.25974083684713467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0.48160681974027392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457.70699999999999</v>
      </c>
      <c r="U43" s="14">
        <f>P32</f>
        <v>0.5645434631381081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148.035</v>
      </c>
      <c r="U44" s="14">
        <f>P34</f>
        <v>0.1825888430057872</v>
      </c>
    </row>
    <row r="45" spans="1:48" ht="16" x14ac:dyDescent="0.2">
      <c r="A45" s="6" t="s">
        <v>57</v>
      </c>
      <c r="B45" s="6">
        <f>B23-B39</f>
        <v>5900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30141.172766636279</v>
      </c>
      <c r="O45" s="25">
        <f>B45+N45</f>
        <v>36041.172766636279</v>
      </c>
      <c r="P45" s="7"/>
      <c r="Q45" s="7"/>
      <c r="R45" s="7"/>
      <c r="S45" s="7" t="s">
        <v>58</v>
      </c>
      <c r="T45" s="20">
        <f>SUM(T39:T44)</f>
        <v>810.75599999999997</v>
      </c>
      <c r="U45" s="13">
        <f>SUM(U39:U44)</f>
        <v>1</v>
      </c>
    </row>
    <row r="46" spans="1:48" ht="16" x14ac:dyDescent="0.2">
      <c r="A46" s="6"/>
      <c r="B46" s="52">
        <f>B45/B23</f>
        <v>0.1519639407598197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3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6" x14ac:dyDescent="0.2">
      <c r="A49" s="37"/>
      <c r="B49" s="70"/>
      <c r="C49" s="63"/>
      <c r="D49" s="70"/>
      <c r="E49" s="70"/>
      <c r="F49" s="70"/>
      <c r="G49" s="63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6" x14ac:dyDescent="0.2">
      <c r="A50" s="37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6" x14ac:dyDescent="0.2">
      <c r="A51" s="37"/>
      <c r="B51" s="70"/>
      <c r="C51" s="70"/>
      <c r="D51" s="70"/>
      <c r="E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6" x14ac:dyDescent="0.2">
      <c r="A52" s="5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6" x14ac:dyDescent="0.2">
      <c r="A53" s="4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ht="16" x14ac:dyDescent="0.2">
      <c r="A54" s="4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6" x14ac:dyDescent="0.2">
      <c r="A55" s="37"/>
      <c r="B55" s="6"/>
      <c r="C55" s="70"/>
      <c r="D55" s="6"/>
      <c r="E55" s="6"/>
      <c r="F55" s="6"/>
      <c r="G55" s="6"/>
      <c r="H55" s="6"/>
      <c r="I55" s="6"/>
      <c r="J55" s="70"/>
      <c r="K55" s="70"/>
      <c r="L55" s="70"/>
      <c r="M55" s="70"/>
      <c r="N55" s="70"/>
      <c r="O55" s="6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ht="16" x14ac:dyDescent="0.2">
      <c r="A56" s="4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4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6"/>
      <c r="Q57" s="13"/>
      <c r="R57" s="7"/>
      <c r="S57" s="7"/>
      <c r="T57" s="6"/>
      <c r="U57" s="30"/>
    </row>
    <row r="58" spans="1:48" ht="16" x14ac:dyDescent="0.2">
      <c r="A58" s="76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6"/>
      <c r="Q58" s="13"/>
      <c r="R58" s="7"/>
      <c r="S58" s="7"/>
      <c r="T58" s="6"/>
      <c r="U58" s="30"/>
    </row>
    <row r="59" spans="1:48" ht="16" x14ac:dyDescent="0.2">
      <c r="A59" s="7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6"/>
      <c r="Q59" s="13"/>
      <c r="R59" s="7"/>
      <c r="S59" s="7"/>
      <c r="T59" s="6"/>
      <c r="U59" s="30"/>
    </row>
    <row r="60" spans="1:48" ht="16" x14ac:dyDescent="0.2">
      <c r="A60" s="23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6"/>
      <c r="Q60" s="13"/>
      <c r="R60" s="7"/>
      <c r="S60" s="7"/>
      <c r="T60" s="6"/>
      <c r="U60" s="30"/>
    </row>
    <row r="61" spans="1:48" ht="16" x14ac:dyDescent="0.2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7"/>
      <c r="C65" s="7"/>
      <c r="D65" s="7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7"/>
      <c r="C66" s="7"/>
      <c r="D66" s="7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33"/>
      <c r="C67" s="7"/>
      <c r="D67" s="7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80"/>
      <c r="B68" s="80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80"/>
      <c r="B69" s="80"/>
      <c r="C69" s="81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9"/>
      <c r="B70" s="80"/>
      <c r="C70" s="81"/>
      <c r="D70" s="6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  <row r="71" spans="1:21" x14ac:dyDescent="0.2">
      <c r="A71" s="79"/>
      <c r="B71" s="80"/>
      <c r="C71" s="81"/>
      <c r="D71" s="6"/>
    </row>
    <row r="72" spans="1:21" x14ac:dyDescent="0.2">
      <c r="A72" s="79"/>
      <c r="B72" s="80"/>
      <c r="C72" s="81"/>
      <c r="D72" s="6"/>
    </row>
    <row r="73" spans="1:21" x14ac:dyDescent="0.2">
      <c r="A73" s="79"/>
      <c r="B73" s="80"/>
      <c r="C73" s="81"/>
      <c r="D73" s="6"/>
    </row>
    <row r="74" spans="1:21" x14ac:dyDescent="0.2">
      <c r="A74" s="79"/>
      <c r="B74" s="80"/>
      <c r="C74" s="81"/>
      <c r="D74" s="6"/>
    </row>
    <row r="75" spans="1:21" x14ac:dyDescent="0.2">
      <c r="A75" s="79"/>
      <c r="D75" s="9"/>
    </row>
    <row r="76" spans="1:21" x14ac:dyDescent="0.2">
      <c r="A76" s="79"/>
      <c r="B76" s="80"/>
      <c r="C76" s="81"/>
    </row>
    <row r="77" spans="1:21" x14ac:dyDescent="0.2">
      <c r="A77" s="79"/>
      <c r="B77" s="80"/>
      <c r="C77" s="81"/>
    </row>
    <row r="78" spans="1:21" x14ac:dyDescent="0.2">
      <c r="A78" s="79"/>
      <c r="B78" s="80"/>
      <c r="C78" s="81"/>
    </row>
    <row r="79" spans="1:21" x14ac:dyDescent="0.2">
      <c r="A79" s="79"/>
    </row>
    <row r="80" spans="1:21" x14ac:dyDescent="0.2">
      <c r="A80" s="79"/>
      <c r="B80" s="80"/>
      <c r="C80" s="81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 enableFormatConditionsCalculation="0"/>
  <dimension ref="A1:AV82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9.1640625" style="2" customWidth="1"/>
    <col min="13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72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270*0.95</f>
        <v>256.5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120161</v>
      </c>
      <c r="C6" s="8">
        <v>135</v>
      </c>
      <c r="D6" s="8">
        <v>0</v>
      </c>
      <c r="E6" s="8">
        <v>0</v>
      </c>
      <c r="F6" s="8">
        <v>0</v>
      </c>
      <c r="G6" s="8">
        <v>142321</v>
      </c>
      <c r="H6" s="8">
        <v>0</v>
      </c>
      <c r="I6" s="8"/>
      <c r="J6" s="8"/>
      <c r="K6" s="8"/>
      <c r="L6" s="8"/>
      <c r="M6" s="8"/>
      <c r="N6" s="8"/>
      <c r="O6" s="8">
        <v>142456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25</v>
      </c>
      <c r="C7" s="8">
        <v>77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77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58">
        <v>33600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70585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58">
        <f>SUM(B4:B9)</f>
        <v>224627.5</v>
      </c>
      <c r="C10" s="8">
        <v>212</v>
      </c>
      <c r="D10" s="8">
        <v>0</v>
      </c>
      <c r="E10" s="8">
        <v>0</v>
      </c>
      <c r="F10" s="8">
        <v>0</v>
      </c>
      <c r="G10" s="8">
        <v>142321</v>
      </c>
      <c r="H10" s="8">
        <v>0</v>
      </c>
      <c r="I10" s="8"/>
      <c r="J10" s="8"/>
      <c r="K10" s="8"/>
      <c r="L10" s="8"/>
      <c r="M10" s="8"/>
      <c r="N10" s="8"/>
      <c r="O10" s="8">
        <v>142533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55">
        <v>432300</v>
      </c>
      <c r="C17" s="55">
        <v>2300</v>
      </c>
      <c r="D17" s="8">
        <v>0</v>
      </c>
      <c r="E17" s="8">
        <v>0</v>
      </c>
      <c r="F17" s="8">
        <v>0</v>
      </c>
      <c r="G17" s="55">
        <v>516300</v>
      </c>
      <c r="H17" s="8">
        <v>0</v>
      </c>
      <c r="I17" s="8"/>
      <c r="J17" s="8"/>
      <c r="K17" s="8"/>
      <c r="L17" s="75"/>
      <c r="M17" s="8"/>
      <c r="N17" s="8"/>
      <c r="O17" s="8">
        <f>SUM(C17:N17)</f>
        <v>518600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55">
        <f>184600+15800</f>
        <v>200400</v>
      </c>
      <c r="C18" s="55">
        <v>3000</v>
      </c>
      <c r="D18" s="8">
        <v>0</v>
      </c>
      <c r="E18" s="8">
        <v>0</v>
      </c>
      <c r="F18" s="8">
        <v>10231</v>
      </c>
      <c r="G18" s="55">
        <f>14300+15800</f>
        <v>30100</v>
      </c>
      <c r="H18" s="8">
        <v>0</v>
      </c>
      <c r="I18" s="8"/>
      <c r="J18" s="8"/>
      <c r="K18" s="55">
        <v>159557</v>
      </c>
      <c r="L18" s="75"/>
      <c r="M18" s="8"/>
      <c r="N18" s="8"/>
      <c r="O18" s="8">
        <f>SUM(C18:N18)</f>
        <v>202888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3405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2878.80348</v>
      </c>
      <c r="U21" s="3"/>
    </row>
    <row r="22" spans="1:25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8">
        <f>SUM(B17:B22)</f>
        <v>636105</v>
      </c>
      <c r="C23" s="55">
        <f>SUM(C17:C22)</f>
        <v>5300</v>
      </c>
      <c r="D23" s="8">
        <f>SUM(D17:D22)</f>
        <v>0</v>
      </c>
      <c r="E23" s="8">
        <v>0</v>
      </c>
      <c r="F23" s="8">
        <f>SUM(F17:F22)</f>
        <v>10231</v>
      </c>
      <c r="G23" s="55">
        <f>SUM(G17:G22)</f>
        <v>546400</v>
      </c>
      <c r="H23" s="8">
        <v>0</v>
      </c>
      <c r="I23" s="8"/>
      <c r="J23" s="8"/>
      <c r="K23" s="55">
        <f>SUM(K17:K22)</f>
        <v>159557</v>
      </c>
      <c r="L23" s="8"/>
      <c r="M23" s="8"/>
      <c r="N23" s="8"/>
      <c r="O23" s="8">
        <f>SUM(O17:O21)</f>
        <v>721488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A24" s="2" t="s">
        <v>85</v>
      </c>
      <c r="B24" s="74">
        <v>54300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675.21147999999994</v>
      </c>
      <c r="U24" s="13">
        <f>N43</f>
        <v>0.23454587459370446</v>
      </c>
    </row>
    <row r="25" spans="1:25" ht="16" x14ac:dyDescent="0.2">
      <c r="B25" s="7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793.1520327669524</v>
      </c>
      <c r="U25" s="14">
        <f>G43</f>
        <v>0.2755144761624897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98.161000000000001</v>
      </c>
      <c r="U27" s="13">
        <f>F43</f>
        <v>3.4097846790153249E-2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21.513967233047545</v>
      </c>
      <c r="U28" s="13">
        <f>E43</f>
        <v>7.473232328122496E-3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159.55699999999999</v>
      </c>
      <c r="U30" s="46">
        <f>K43</f>
        <v>5.5424762790685526E-2</v>
      </c>
    </row>
    <row r="31" spans="1:25" ht="16" x14ac:dyDescent="0.2">
      <c r="A31" s="4" t="s">
        <v>32</v>
      </c>
      <c r="B31" s="8">
        <v>0</v>
      </c>
      <c r="C31" s="8">
        <v>20857</v>
      </c>
      <c r="D31" s="8">
        <v>0</v>
      </c>
      <c r="E31" s="8">
        <v>0</v>
      </c>
      <c r="F31" s="8">
        <v>2117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16397</v>
      </c>
      <c r="O31" s="8">
        <v>39371</v>
      </c>
      <c r="P31" s="17">
        <f>O31/O$39</f>
        <v>1.5293492021132995E-2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8">
        <v>20308</v>
      </c>
      <c r="C32" s="8">
        <v>11191</v>
      </c>
      <c r="D32" s="8">
        <v>0</v>
      </c>
      <c r="E32" s="58">
        <f>(O32-N32-C32-B32)*11279/(11279+20796)</f>
        <v>21513.967233047544</v>
      </c>
      <c r="F32" s="8">
        <v>0</v>
      </c>
      <c r="G32" s="58">
        <f>(O32-N32-C32-B32)*20796/(11279+20796)</f>
        <v>39667.032766952456</v>
      </c>
      <c r="H32" s="8">
        <v>0</v>
      </c>
      <c r="I32" s="8"/>
      <c r="J32" s="8"/>
      <c r="K32" s="8"/>
      <c r="L32" s="8"/>
      <c r="M32" s="27"/>
      <c r="N32" s="8">
        <v>74096</v>
      </c>
      <c r="O32" s="8">
        <v>166776</v>
      </c>
      <c r="P32" s="17">
        <f>O32/O$39</f>
        <v>6.4783404671369185E-2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8">
        <v>52058</v>
      </c>
      <c r="C33" s="8">
        <v>159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102640</v>
      </c>
      <c r="O33" s="8">
        <v>154857</v>
      </c>
      <c r="P33" s="17">
        <f>O33/O$39</f>
        <v>6.0153521473078973E-2</v>
      </c>
      <c r="Q33" s="18" t="s">
        <v>39</v>
      </c>
      <c r="R33" s="3"/>
      <c r="S33" s="3" t="s">
        <v>35</v>
      </c>
      <c r="T33" s="12">
        <f>C42/1000</f>
        <v>1131.2080000000001</v>
      </c>
      <c r="U33" s="14">
        <f>C43</f>
        <v>0.39294380733484457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979435</v>
      </c>
      <c r="D34" s="8">
        <v>0</v>
      </c>
      <c r="E34" s="8">
        <v>0</v>
      </c>
      <c r="F34" s="8">
        <v>85813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1461</v>
      </c>
      <c r="O34" s="8">
        <v>1066708</v>
      </c>
      <c r="P34" s="17">
        <f>O34/O$39</f>
        <v>0.41435803730864684</v>
      </c>
      <c r="Q34" s="18" t="s">
        <v>41</v>
      </c>
      <c r="R34" s="3"/>
      <c r="S34" s="3"/>
      <c r="T34" s="12">
        <f>SUM(T24:T33)</f>
        <v>2878.80348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8">
        <v>101260</v>
      </c>
      <c r="C35" s="8">
        <v>112317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303445</v>
      </c>
      <c r="O35" s="8">
        <v>517022</v>
      </c>
      <c r="P35" s="17">
        <f>O35/O$39</f>
        <v>0.20083492498921093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8">
        <v>76800</v>
      </c>
      <c r="C36" s="8">
        <v>1602</v>
      </c>
      <c r="D36" s="8">
        <v>0</v>
      </c>
      <c r="E36" s="8">
        <v>0</v>
      </c>
      <c r="F36" s="8">
        <v>0</v>
      </c>
      <c r="G36" s="8">
        <v>64764</v>
      </c>
      <c r="H36" s="8">
        <v>0</v>
      </c>
      <c r="I36" s="8"/>
      <c r="J36" s="8"/>
      <c r="K36" s="8"/>
      <c r="L36" s="8"/>
      <c r="M36" s="27"/>
      <c r="N36" s="8">
        <v>173660</v>
      </c>
      <c r="O36" s="8">
        <v>316826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8">
        <v>247910</v>
      </c>
      <c r="C37" s="8">
        <v>135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55919</v>
      </c>
      <c r="O37" s="8">
        <v>303964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8838</v>
      </c>
      <c r="O38" s="8">
        <v>8838</v>
      </c>
      <c r="P38" s="18">
        <f>SUM(P31:P35)</f>
        <v>0.75542338046343893</v>
      </c>
      <c r="Q38" s="18"/>
      <c r="R38" s="3"/>
      <c r="S38" s="7" t="s">
        <v>47</v>
      </c>
      <c r="T38" s="19">
        <f>O45/1000</f>
        <v>196.68548000000001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498336</v>
      </c>
      <c r="C39" s="8">
        <v>1125696</v>
      </c>
      <c r="D39" s="8">
        <v>0</v>
      </c>
      <c r="E39" s="58">
        <f>SUM(E31:E38)</f>
        <v>21513.967233047544</v>
      </c>
      <c r="F39" s="8">
        <v>87930</v>
      </c>
      <c r="G39" s="58">
        <f>SUM(G31:G38)</f>
        <v>104431.03276695246</v>
      </c>
      <c r="H39" s="8">
        <v>0</v>
      </c>
      <c r="I39" s="8"/>
      <c r="J39" s="8"/>
      <c r="K39" s="8"/>
      <c r="L39" s="8"/>
      <c r="M39" s="27"/>
      <c r="N39" s="8">
        <v>736456</v>
      </c>
      <c r="O39" s="8">
        <v>2574363</v>
      </c>
      <c r="P39" s="3"/>
      <c r="Q39" s="3"/>
      <c r="R39" s="3"/>
      <c r="S39" s="7" t="s">
        <v>48</v>
      </c>
      <c r="T39" s="20">
        <f>O41/1000</f>
        <v>629.62800000000004</v>
      </c>
      <c r="U39" s="13">
        <f>P41</f>
        <v>0.24457623109095336</v>
      </c>
      <c r="W39" s="8"/>
      <c r="X39" s="8"/>
      <c r="Y39" s="8"/>
    </row>
    <row r="40" spans="1:48" ht="16" x14ac:dyDescent="0.2">
      <c r="G40" s="9"/>
      <c r="S40" s="7" t="s">
        <v>49</v>
      </c>
      <c r="T40" s="20">
        <f>O35/1000</f>
        <v>517.02200000000005</v>
      </c>
      <c r="U40" s="14">
        <f>P35</f>
        <v>0.20083492498921093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324710</v>
      </c>
      <c r="C41" s="22">
        <f t="shared" ref="C41:O41" si="0">C38+C37+C36</f>
        <v>1737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64764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238417</v>
      </c>
      <c r="O41" s="22">
        <f t="shared" si="0"/>
        <v>629628</v>
      </c>
      <c r="P41" s="17">
        <f>O41/O$39</f>
        <v>0.24457623109095336</v>
      </c>
      <c r="Q41" s="17" t="s">
        <v>51</v>
      </c>
      <c r="R41" s="7"/>
      <c r="S41" s="7" t="s">
        <v>52</v>
      </c>
      <c r="T41" s="20">
        <f>O33/1000</f>
        <v>154.857</v>
      </c>
      <c r="U41" s="13">
        <f>P33</f>
        <v>6.0153521473078973E-2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1131208</v>
      </c>
      <c r="D42" s="24">
        <f t="shared" ref="D42:M42" si="1">D39+D23+D10</f>
        <v>0</v>
      </c>
      <c r="E42" s="24">
        <f t="shared" si="1"/>
        <v>21513.967233047544</v>
      </c>
      <c r="F42" s="24">
        <f t="shared" si="1"/>
        <v>98161</v>
      </c>
      <c r="G42" s="24">
        <f t="shared" si="1"/>
        <v>793152.03276695241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159557</v>
      </c>
      <c r="L42" s="24">
        <f t="shared" si="1"/>
        <v>0</v>
      </c>
      <c r="M42" s="24">
        <f t="shared" si="1"/>
        <v>0</v>
      </c>
      <c r="N42" s="24">
        <f>N39+N23-B6+N45</f>
        <v>675211.48</v>
      </c>
      <c r="O42" s="25">
        <f>SUM(C42:N42)</f>
        <v>2878803.48</v>
      </c>
      <c r="P42" s="7"/>
      <c r="Q42" s="7"/>
      <c r="R42" s="7"/>
      <c r="S42" s="7" t="s">
        <v>34</v>
      </c>
      <c r="T42" s="20">
        <f>O31/1000</f>
        <v>39.371000000000002</v>
      </c>
      <c r="U42" s="13">
        <f>P31</f>
        <v>1.5293492021132995E-2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0.39294380733484457</v>
      </c>
      <c r="D43" s="17">
        <f t="shared" si="2"/>
        <v>0</v>
      </c>
      <c r="E43" s="17">
        <f t="shared" si="2"/>
        <v>7.473232328122496E-3</v>
      </c>
      <c r="F43" s="17">
        <f t="shared" si="2"/>
        <v>3.4097846790153249E-2</v>
      </c>
      <c r="G43" s="17">
        <f t="shared" si="2"/>
        <v>0.2755144761624897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5.5424762790685526E-2</v>
      </c>
      <c r="L43" s="17">
        <f t="shared" si="2"/>
        <v>0</v>
      </c>
      <c r="M43" s="17">
        <f t="shared" si="2"/>
        <v>0</v>
      </c>
      <c r="N43" s="17">
        <f t="shared" si="2"/>
        <v>0.23454587459370446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166.77600000000001</v>
      </c>
      <c r="U43" s="14">
        <f>P32</f>
        <v>6.4783404671369185E-2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1066.7080000000001</v>
      </c>
      <c r="U44" s="14">
        <f>P34</f>
        <v>0.41435803730864684</v>
      </c>
    </row>
    <row r="45" spans="1:48" ht="16" x14ac:dyDescent="0.2">
      <c r="A45" s="6" t="s">
        <v>57</v>
      </c>
      <c r="B45" s="6">
        <f>B23-B39</f>
        <v>137769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58916.480000000003</v>
      </c>
      <c r="O45" s="25">
        <f>B45+N45</f>
        <v>196685.48</v>
      </c>
      <c r="P45" s="7"/>
      <c r="Q45" s="7"/>
      <c r="R45" s="7"/>
      <c r="S45" s="7" t="s">
        <v>58</v>
      </c>
      <c r="T45" s="20">
        <f>SUM(T39:T44)</f>
        <v>2574.3620000000001</v>
      </c>
      <c r="U45" s="13">
        <f>SUM(U39:U44)</f>
        <v>0.99999961155439232</v>
      </c>
    </row>
    <row r="46" spans="1:48" ht="16" x14ac:dyDescent="0.2">
      <c r="A46" s="6"/>
      <c r="B46" s="52">
        <f>(B45-B24)/B23</f>
        <v>0.13121890253967505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3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6" x14ac:dyDescent="0.2">
      <c r="A50" s="37"/>
      <c r="B50" s="70"/>
      <c r="C50" s="70"/>
      <c r="D50" s="70"/>
      <c r="E50" s="70"/>
      <c r="F50" s="70"/>
      <c r="G50" s="63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6" x14ac:dyDescent="0.2">
      <c r="A51" s="37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6" x14ac:dyDescent="0.2">
      <c r="A52" s="37"/>
      <c r="B52" s="70"/>
      <c r="C52" s="70"/>
      <c r="D52" s="70"/>
      <c r="E52" s="70"/>
      <c r="F52" s="7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6" x14ac:dyDescent="0.2">
      <c r="A53" s="8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6" x14ac:dyDescent="0.2">
      <c r="A55" s="37"/>
      <c r="B55" s="6"/>
      <c r="C55" s="7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ht="16" x14ac:dyDescent="0.2">
      <c r="A56" s="4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4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6"/>
      <c r="Q57" s="13"/>
      <c r="R57" s="7"/>
      <c r="S57" s="7"/>
      <c r="T57" s="6"/>
      <c r="U57" s="30"/>
    </row>
    <row r="58" spans="1:48" ht="16" x14ac:dyDescent="0.2">
      <c r="A58" s="78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6"/>
      <c r="Q58" s="13"/>
      <c r="R58" s="7"/>
      <c r="S58" s="7"/>
      <c r="T58" s="6"/>
      <c r="U58" s="30"/>
    </row>
    <row r="59" spans="1:48" ht="16" x14ac:dyDescent="0.2">
      <c r="A59" s="7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6"/>
      <c r="Q59" s="13"/>
      <c r="R59" s="7"/>
      <c r="S59" s="7"/>
      <c r="T59" s="6"/>
      <c r="U59" s="30"/>
    </row>
    <row r="60" spans="1:48" ht="16" x14ac:dyDescent="0.2">
      <c r="A60" s="78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6"/>
      <c r="Q60" s="13"/>
      <c r="R60" s="7"/>
      <c r="S60" s="7"/>
      <c r="T60" s="6"/>
      <c r="U60" s="30"/>
    </row>
    <row r="61" spans="1:48" ht="16" x14ac:dyDescent="0.2">
      <c r="A61" s="7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6"/>
      <c r="Q61" s="13"/>
      <c r="R61" s="7"/>
      <c r="S61" s="7"/>
      <c r="T61" s="31"/>
      <c r="U61" s="32"/>
    </row>
    <row r="62" spans="1:48" ht="16" x14ac:dyDescent="0.2">
      <c r="A62" s="78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"/>
      <c r="Q62" s="7"/>
      <c r="R62" s="7"/>
      <c r="S62" s="7"/>
      <c r="T62" s="7"/>
      <c r="U62" s="6"/>
    </row>
    <row r="63" spans="1:48" ht="16" x14ac:dyDescent="0.2">
      <c r="A63" s="7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33"/>
      <c r="U63" s="34"/>
    </row>
    <row r="64" spans="1:48" ht="16" x14ac:dyDescent="0.2">
      <c r="A64" s="78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6"/>
      <c r="Q64" s="29"/>
      <c r="R64" s="7"/>
      <c r="S64" s="7"/>
      <c r="T64" s="6"/>
      <c r="U64" s="30"/>
    </row>
    <row r="65" spans="1:21" ht="16" x14ac:dyDescent="0.2">
      <c r="A65" s="7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6"/>
      <c r="Q65" s="29"/>
      <c r="R65" s="7"/>
      <c r="S65" s="7"/>
      <c r="T65" s="6"/>
      <c r="U65" s="30"/>
    </row>
    <row r="66" spans="1:21" ht="16" x14ac:dyDescent="0.2">
      <c r="A66" s="7"/>
      <c r="B66" s="82"/>
      <c r="C66" s="82"/>
      <c r="D66" s="70"/>
      <c r="E66" s="70"/>
      <c r="F66" s="82"/>
      <c r="G66" s="82"/>
      <c r="H66" s="70"/>
      <c r="I66" s="70"/>
      <c r="J66" s="70"/>
      <c r="K66" s="82"/>
      <c r="L66" s="82"/>
      <c r="M66" s="70"/>
      <c r="N66" s="70"/>
      <c r="O66" s="82"/>
      <c r="P66" s="6"/>
      <c r="Q66" s="29"/>
      <c r="R66" s="7"/>
      <c r="S66" s="7"/>
      <c r="T66" s="6"/>
      <c r="U66" s="30"/>
    </row>
    <row r="67" spans="1:21" ht="16" x14ac:dyDescent="0.2">
      <c r="A67" s="7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6"/>
      <c r="Q67" s="29"/>
      <c r="R67" s="7"/>
      <c r="S67" s="7"/>
      <c r="T67" s="6"/>
      <c r="U67" s="30"/>
    </row>
    <row r="68" spans="1:21" ht="16" x14ac:dyDescent="0.2">
      <c r="A68" s="7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6"/>
      <c r="Q68" s="29"/>
      <c r="R68" s="7"/>
      <c r="S68" s="7"/>
      <c r="T68" s="6"/>
      <c r="U68" s="30"/>
    </row>
    <row r="69" spans="1:21" ht="16" x14ac:dyDescent="0.2">
      <c r="A69" s="7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6"/>
      <c r="Q69" s="29"/>
      <c r="R69" s="7"/>
      <c r="S69" s="7"/>
      <c r="T69" s="6"/>
      <c r="U69" s="30"/>
    </row>
    <row r="70" spans="1:21" ht="16" x14ac:dyDescent="0.2">
      <c r="A70" s="7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31"/>
      <c r="Q70" s="35"/>
      <c r="R70" s="7"/>
      <c r="S70" s="36"/>
      <c r="T70" s="31"/>
      <c r="U70" s="35"/>
    </row>
    <row r="71" spans="1:21" ht="16" x14ac:dyDescent="0.2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21" ht="16" x14ac:dyDescent="0.2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1:21" ht="16" x14ac:dyDescent="0.2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21" ht="16" x14ac:dyDescent="0.2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21" ht="16" x14ac:dyDescent="0.2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21" ht="16" x14ac:dyDescent="0.2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21" ht="16" x14ac:dyDescent="0.2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21" ht="16" x14ac:dyDescent="0.2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1:21" ht="16" x14ac:dyDescent="0.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21" ht="16" x14ac:dyDescent="0.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2:15" ht="16" x14ac:dyDescent="0.2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2:15" ht="16" x14ac:dyDescent="0.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 enableFormatConditionsCalculation="0"/>
  <dimension ref="A1:AV70"/>
  <sheetViews>
    <sheetView topLeftCell="A10"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7" style="2" customWidth="1"/>
    <col min="13" max="13" width="11.5" style="2" customWidth="1"/>
    <col min="14" max="14" width="10" style="2" customWidth="1"/>
    <col min="15" max="15" width="11.1640625" style="2" customWidth="1"/>
    <col min="16" max="16" width="9.1640625" style="2" customWidth="1"/>
    <col min="17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73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0.95*280</f>
        <v>266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63">
        <v>0</v>
      </c>
      <c r="C6" s="63">
        <v>0</v>
      </c>
      <c r="D6" s="8">
        <v>0</v>
      </c>
      <c r="E6" s="8">
        <v>0</v>
      </c>
      <c r="F6" s="63">
        <v>0</v>
      </c>
      <c r="G6" s="63">
        <v>0</v>
      </c>
      <c r="H6" s="8">
        <v>0</v>
      </c>
      <c r="I6" s="8"/>
      <c r="J6" s="8"/>
      <c r="K6" s="8"/>
      <c r="L6" s="8"/>
      <c r="M6" s="8"/>
      <c r="N6" s="8"/>
      <c r="O6" s="63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595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57">
        <v>5307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58">
        <f>SUM(B4:B9)</f>
        <v>6168</v>
      </c>
      <c r="C10" s="63">
        <v>0</v>
      </c>
      <c r="D10" s="8">
        <v>0</v>
      </c>
      <c r="E10" s="8">
        <v>0</v>
      </c>
      <c r="F10" s="63">
        <v>0</v>
      </c>
      <c r="G10" s="63">
        <v>0</v>
      </c>
      <c r="H10" s="8">
        <v>0</v>
      </c>
      <c r="I10" s="8"/>
      <c r="J10" s="8"/>
      <c r="K10" s="8"/>
      <c r="L10" s="8"/>
      <c r="M10" s="8"/>
      <c r="N10" s="8"/>
      <c r="O10" s="63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63">
        <f>80678+21521</f>
        <v>102199</v>
      </c>
      <c r="C18" s="8">
        <v>259</v>
      </c>
      <c r="D18" s="8">
        <v>0</v>
      </c>
      <c r="E18" s="8">
        <v>0</v>
      </c>
      <c r="F18" s="8">
        <v>0</v>
      </c>
      <c r="G18" s="8">
        <v>95947</v>
      </c>
      <c r="H18" s="8">
        <v>0</v>
      </c>
      <c r="I18" s="8"/>
      <c r="J18" s="8"/>
      <c r="K18" s="8"/>
      <c r="L18" s="8"/>
      <c r="M18" s="8"/>
      <c r="N18" s="55">
        <v>4370</v>
      </c>
      <c r="O18" s="8">
        <f>SUM(C18:N18)</f>
        <v>100576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2092.0950400000002</v>
      </c>
      <c r="U21" s="3"/>
    </row>
    <row r="22" spans="1:25" ht="16" x14ac:dyDescent="0.2">
      <c r="A22" s="4" t="s">
        <v>24</v>
      </c>
      <c r="B22" s="63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8">
        <f>SUM(B17:B22)</f>
        <v>102199</v>
      </c>
      <c r="C23" s="8">
        <f>SUM(C17:C22)</f>
        <v>259</v>
      </c>
      <c r="D23" s="8">
        <v>0</v>
      </c>
      <c r="E23" s="8">
        <v>0</v>
      </c>
      <c r="F23" s="8">
        <v>0</v>
      </c>
      <c r="G23" s="8">
        <f>SUM(G17:G22)</f>
        <v>95947</v>
      </c>
      <c r="H23" s="8">
        <v>0</v>
      </c>
      <c r="I23" s="8"/>
      <c r="J23" s="8"/>
      <c r="K23" s="8"/>
      <c r="L23" s="8"/>
      <c r="M23" s="8"/>
      <c r="N23" s="55">
        <f>SUM(N18:N22)</f>
        <v>4370</v>
      </c>
      <c r="O23" s="8">
        <f>SUM(O17:O22)</f>
        <v>100576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411.40904</v>
      </c>
      <c r="U24" s="13">
        <f>N43</f>
        <v>0.19664930709840026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331.06599999999997</v>
      </c>
      <c r="U25" s="14">
        <f>G43</f>
        <v>0.15824615692411373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83.263000000000005</v>
      </c>
      <c r="U27" s="13">
        <f>F43</f>
        <v>3.9798861145428653E-2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56.807000000000002</v>
      </c>
      <c r="U28" s="13">
        <f>E43</f>
        <v>2.7153164131587443E-2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>
        <f>B39-B37-B36-B35-B33-B32</f>
        <v>-0.48941205900700879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7389</v>
      </c>
      <c r="D31" s="8">
        <v>0</v>
      </c>
      <c r="E31" s="8">
        <v>0</v>
      </c>
      <c r="F31" s="8">
        <v>725</v>
      </c>
      <c r="G31" s="8">
        <v>0</v>
      </c>
      <c r="H31" s="8">
        <v>0</v>
      </c>
      <c r="I31" s="8"/>
      <c r="J31" s="8"/>
      <c r="K31" s="8"/>
      <c r="L31" s="8"/>
      <c r="M31" s="8"/>
      <c r="N31" s="72">
        <v>9477</v>
      </c>
      <c r="O31" s="72">
        <f>SUM(C31:N31)</f>
        <v>17591</v>
      </c>
      <c r="P31" s="17">
        <f>O31/O$39</f>
        <v>8.5796175633859346E-3</v>
      </c>
      <c r="Q31" s="18" t="s">
        <v>34</v>
      </c>
      <c r="R31" s="3"/>
      <c r="S31" s="3" t="s">
        <v>4</v>
      </c>
      <c r="T31" s="12">
        <f>I42/1000</f>
        <v>870.52700000000004</v>
      </c>
      <c r="U31" s="13">
        <f>I43</f>
        <v>0.41610298927911038</v>
      </c>
      <c r="W31" s="8"/>
      <c r="X31" s="8"/>
      <c r="Y31" s="8"/>
    </row>
    <row r="32" spans="1:25" ht="16" x14ac:dyDescent="0.2">
      <c r="A32" s="4" t="s">
        <v>36</v>
      </c>
      <c r="B32" s="58">
        <f>13635*88956/103939-2355+658</f>
        <v>9972.4894120589961</v>
      </c>
      <c r="C32" s="58">
        <v>40000</v>
      </c>
      <c r="D32" s="8">
        <v>0</v>
      </c>
      <c r="E32" s="84">
        <v>56807</v>
      </c>
      <c r="F32" s="83">
        <v>58918</v>
      </c>
      <c r="G32" s="83">
        <v>198613</v>
      </c>
      <c r="H32" s="8">
        <v>0</v>
      </c>
      <c r="I32" s="77">
        <v>870527</v>
      </c>
      <c r="J32" s="8"/>
      <c r="K32" s="8"/>
      <c r="L32" s="8"/>
      <c r="M32" s="8"/>
      <c r="N32" s="85">
        <f>302974-125661</f>
        <v>177313</v>
      </c>
      <c r="O32" s="63">
        <f>SUM(B32:N32)</f>
        <v>1412150.4894120591</v>
      </c>
      <c r="P32" s="17">
        <f>O32/O$39</f>
        <v>0.68874487755691804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58">
        <f>17140*88956/103939</f>
        <v>14669.237148712225</v>
      </c>
      <c r="C33" s="8">
        <v>169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8"/>
      <c r="N33" s="58">
        <f>O33-C33-B33</f>
        <v>20699.762851287775</v>
      </c>
      <c r="O33" s="8">
        <v>35538</v>
      </c>
      <c r="P33" s="17">
        <f>O33/O$39</f>
        <v>1.73328661797288E-2</v>
      </c>
      <c r="Q33" s="18" t="s">
        <v>39</v>
      </c>
      <c r="R33" s="3"/>
      <c r="S33" s="3" t="s">
        <v>35</v>
      </c>
      <c r="T33" s="12">
        <f>C42/1000</f>
        <v>339.02300000000002</v>
      </c>
      <c r="U33" s="14">
        <f>C43</f>
        <v>0.1620495214213595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272509</v>
      </c>
      <c r="D34" s="8">
        <v>0</v>
      </c>
      <c r="E34" s="8">
        <v>0</v>
      </c>
      <c r="F34" s="58">
        <f>O34-N34-C34</f>
        <v>23620</v>
      </c>
      <c r="G34" s="8">
        <v>0</v>
      </c>
      <c r="H34" s="8">
        <v>0</v>
      </c>
      <c r="I34" s="8"/>
      <c r="J34" s="8"/>
      <c r="K34" s="8"/>
      <c r="L34" s="8"/>
      <c r="M34" s="8"/>
      <c r="N34" s="58">
        <v>20962</v>
      </c>
      <c r="O34" s="8">
        <v>317091</v>
      </c>
      <c r="P34" s="17">
        <f>O34/O$39</f>
        <v>0.15465405677855773</v>
      </c>
      <c r="Q34" s="18" t="s">
        <v>41</v>
      </c>
      <c r="R34" s="3"/>
      <c r="S34" s="3"/>
      <c r="T34" s="12">
        <f>SUM(T24:T33)</f>
        <v>2092.0950400000002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58">
        <f>O35-N35-C35</f>
        <v>15814.762851287785</v>
      </c>
      <c r="C35" s="8">
        <v>16042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8"/>
      <c r="N35" s="58">
        <f>N39-N38-N37-N36-N34-N33-N32-N31</f>
        <v>58258.237148712215</v>
      </c>
      <c r="O35" s="8">
        <v>90115</v>
      </c>
      <c r="P35" s="17">
        <f>O35/O$39</f>
        <v>4.3951579598915554E-2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54">
        <v>4500</v>
      </c>
      <c r="C36" s="58">
        <f>O36-N36-G36-B36</f>
        <v>1435</v>
      </c>
      <c r="D36" s="8">
        <v>0</v>
      </c>
      <c r="E36" s="8">
        <v>0</v>
      </c>
      <c r="F36" s="8">
        <v>0</v>
      </c>
      <c r="G36" s="8">
        <v>36506</v>
      </c>
      <c r="H36" s="8">
        <v>0</v>
      </c>
      <c r="I36" s="8"/>
      <c r="J36" s="8"/>
      <c r="K36" s="8"/>
      <c r="L36" s="8"/>
      <c r="M36" s="8"/>
      <c r="N36" s="58">
        <v>73751</v>
      </c>
      <c r="O36" s="8">
        <v>116192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54">
        <v>44000</v>
      </c>
      <c r="C37" s="8">
        <v>1220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8"/>
      <c r="N37" s="58">
        <v>10795</v>
      </c>
      <c r="O37" s="58">
        <f>SUM(B37:N37)</f>
        <v>56015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8"/>
      <c r="N38" s="58">
        <v>5632</v>
      </c>
      <c r="O38" s="58">
        <v>5632</v>
      </c>
      <c r="P38" s="18">
        <f>SUM(P31:P36)</f>
        <v>0.91326299767750618</v>
      </c>
      <c r="Q38" s="18"/>
      <c r="R38" s="3"/>
      <c r="S38" s="7" t="s">
        <v>47</v>
      </c>
      <c r="T38" s="19">
        <f>O45/1000</f>
        <v>43.394040000000004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88956</v>
      </c>
      <c r="C39" s="63">
        <f>SUM(C31:C38)</f>
        <v>338764</v>
      </c>
      <c r="D39" s="8">
        <v>0</v>
      </c>
      <c r="E39" s="84">
        <f>SUM(E30:E38)</f>
        <v>56807</v>
      </c>
      <c r="F39" s="84">
        <f>SUM(F31:F38)</f>
        <v>83263</v>
      </c>
      <c r="G39" s="83">
        <f>SUM(G31:G38)</f>
        <v>235119</v>
      </c>
      <c r="H39" s="8">
        <v>0</v>
      </c>
      <c r="I39" s="77">
        <f>SUM(I30:I38)</f>
        <v>870527</v>
      </c>
      <c r="J39" s="8"/>
      <c r="K39" s="8"/>
      <c r="L39" s="8"/>
      <c r="M39" s="8"/>
      <c r="N39" s="63">
        <f>502549-125661</f>
        <v>376888</v>
      </c>
      <c r="O39" s="63">
        <f>SUM(O31:O38)</f>
        <v>2050324.4894120591</v>
      </c>
      <c r="P39" s="3"/>
      <c r="Q39" s="3"/>
      <c r="R39" s="3"/>
      <c r="S39" s="7" t="s">
        <v>48</v>
      </c>
      <c r="T39" s="20">
        <f>O41/1000</f>
        <v>177.839</v>
      </c>
      <c r="U39" s="13">
        <f>P41</f>
        <v>8.6737002322493956E-2</v>
      </c>
      <c r="W39" s="8"/>
      <c r="X39" s="8"/>
      <c r="Y39" s="8"/>
    </row>
    <row r="40" spans="1:48" ht="16" x14ac:dyDescent="0.2">
      <c r="B40" s="9"/>
      <c r="G40" s="9"/>
      <c r="O40" s="9"/>
      <c r="S40" s="7" t="s">
        <v>49</v>
      </c>
      <c r="T40" s="20">
        <f>O35/1000</f>
        <v>90.114999999999995</v>
      </c>
      <c r="U40" s="14">
        <f>P35</f>
        <v>4.3951579598915554E-2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48500</v>
      </c>
      <c r="C41" s="22">
        <f t="shared" ref="C41:O41" si="0">C38+C37+C36</f>
        <v>2655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36506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90178</v>
      </c>
      <c r="O41" s="22">
        <f t="shared" si="0"/>
        <v>177839</v>
      </c>
      <c r="P41" s="17">
        <f>O41/O$39</f>
        <v>8.6737002322493956E-2</v>
      </c>
      <c r="Q41" s="17" t="s">
        <v>51</v>
      </c>
      <c r="R41" s="7"/>
      <c r="S41" s="7" t="s">
        <v>52</v>
      </c>
      <c r="T41" s="20">
        <f>O33/1000</f>
        <v>35.537999999999997</v>
      </c>
      <c r="U41" s="13">
        <f>P33</f>
        <v>1.73328661797288E-2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339023</v>
      </c>
      <c r="D42" s="24">
        <f t="shared" ref="D42:M42" si="1">D39+D23+D10</f>
        <v>0</v>
      </c>
      <c r="E42" s="24">
        <f t="shared" si="1"/>
        <v>56807</v>
      </c>
      <c r="F42" s="24">
        <f t="shared" si="1"/>
        <v>83263</v>
      </c>
      <c r="G42" s="24">
        <f t="shared" si="1"/>
        <v>331066</v>
      </c>
      <c r="H42" s="24">
        <f t="shared" si="1"/>
        <v>0</v>
      </c>
      <c r="I42" s="24">
        <f t="shared" si="1"/>
        <v>870527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411409.04</v>
      </c>
      <c r="O42" s="25">
        <f>SUM(C42:N42)</f>
        <v>2092095.04</v>
      </c>
      <c r="P42" s="7"/>
      <c r="Q42" s="7"/>
      <c r="R42" s="7"/>
      <c r="S42" s="7" t="s">
        <v>34</v>
      </c>
      <c r="T42" s="20">
        <f>O31/1000</f>
        <v>17.591000000000001</v>
      </c>
      <c r="U42" s="13">
        <f>P31</f>
        <v>8.5796175633859346E-3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0.1620495214213595</v>
      </c>
      <c r="D43" s="17">
        <f t="shared" si="2"/>
        <v>0</v>
      </c>
      <c r="E43" s="17">
        <f t="shared" si="2"/>
        <v>2.7153164131587443E-2</v>
      </c>
      <c r="F43" s="17">
        <f t="shared" si="2"/>
        <v>3.9798861145428653E-2</v>
      </c>
      <c r="G43" s="17">
        <f t="shared" si="2"/>
        <v>0.15824615692411373</v>
      </c>
      <c r="H43" s="17">
        <f t="shared" si="2"/>
        <v>0</v>
      </c>
      <c r="I43" s="17">
        <f t="shared" si="2"/>
        <v>0.41610298927911038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0.19664930709840026</v>
      </c>
      <c r="O43" s="17">
        <f>SUM(C43:N43)</f>
        <v>0.99999999999999989</v>
      </c>
      <c r="P43" s="7"/>
      <c r="Q43" s="7"/>
      <c r="R43" s="7"/>
      <c r="S43" s="7" t="s">
        <v>55</v>
      </c>
      <c r="T43" s="20">
        <f>O32/1000</f>
        <v>1412.1504894120592</v>
      </c>
      <c r="U43" s="14">
        <f>P32</f>
        <v>0.68874487755691804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317.09100000000001</v>
      </c>
      <c r="U44" s="14">
        <f>P34</f>
        <v>0.15465405677855773</v>
      </c>
    </row>
    <row r="45" spans="1:48" ht="16" x14ac:dyDescent="0.2">
      <c r="A45" s="6" t="s">
        <v>57</v>
      </c>
      <c r="B45" s="6">
        <f>B23-B39</f>
        <v>13243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30151.040000000001</v>
      </c>
      <c r="O45" s="25">
        <f>B45+N45</f>
        <v>43394.04</v>
      </c>
      <c r="P45" s="7"/>
      <c r="Q45" s="7"/>
      <c r="R45" s="7"/>
      <c r="S45" s="7" t="s">
        <v>58</v>
      </c>
      <c r="T45" s="20">
        <f>SUM(T39:T44)</f>
        <v>2050.3244894120594</v>
      </c>
      <c r="U45" s="13">
        <f>SUM(U39:U44)</f>
        <v>1</v>
      </c>
    </row>
    <row r="46" spans="1:48" ht="16" x14ac:dyDescent="0.2">
      <c r="A46" s="6"/>
      <c r="B46" s="52">
        <f>B45/B23</f>
        <v>0.12958052427127467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1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3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6" x14ac:dyDescent="0.2">
      <c r="A49" s="37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S49" s="70"/>
      <c r="T49" s="7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6" x14ac:dyDescent="0.2">
      <c r="A50" s="5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6" x14ac:dyDescent="0.2">
      <c r="A51" s="37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6" x14ac:dyDescent="0.2">
      <c r="A52" s="4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6" x14ac:dyDescent="0.2">
      <c r="A53" s="4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ht="16" x14ac:dyDescent="0.2">
      <c r="A54" s="4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6" x14ac:dyDescent="0.2">
      <c r="A55" s="4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1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8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87"/>
      <c r="B58" s="86"/>
      <c r="C58" s="6"/>
      <c r="D58" s="6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87"/>
      <c r="B59" s="81"/>
      <c r="C59" s="6"/>
      <c r="D59" s="6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87"/>
      <c r="B60" s="81"/>
      <c r="C60" s="6"/>
      <c r="D60" s="31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87"/>
      <c r="B61" s="81"/>
      <c r="C61" s="6"/>
      <c r="D61" s="86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87"/>
      <c r="B62" s="81"/>
      <c r="C62" s="6"/>
      <c r="D62" s="8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87"/>
      <c r="B63" s="81"/>
      <c r="C63" s="6"/>
      <c r="D63" s="9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87"/>
      <c r="B64" s="81"/>
      <c r="C64" s="6"/>
      <c r="D64" s="8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86"/>
      <c r="B65" s="86"/>
      <c r="C65" s="9"/>
      <c r="D65" s="8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4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0" width="8.83203125" style="2"/>
    <col min="11" max="11" width="13" style="2" customWidth="1"/>
    <col min="12" max="12" width="12.1640625" style="2" customWidth="1"/>
    <col min="13" max="13" width="8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74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0.95*103</f>
        <v>97.85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73384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51"/>
      <c r="U9" s="51"/>
      <c r="V9" s="8"/>
      <c r="W9" s="8"/>
      <c r="X9" s="8"/>
      <c r="Y9" s="51"/>
      <c r="Z9" s="8"/>
      <c r="AA9" s="8"/>
      <c r="AB9" s="8"/>
      <c r="AC9" s="8"/>
      <c r="AD9" s="8"/>
      <c r="AE9" s="8"/>
      <c r="AF9" s="8"/>
      <c r="AG9" s="51"/>
      <c r="AH9" s="27"/>
      <c r="AI9" s="27"/>
    </row>
    <row r="10" spans="1:35" ht="16" x14ac:dyDescent="0.2">
      <c r="A10" s="4" t="s">
        <v>15</v>
      </c>
      <c r="B10" s="63">
        <f>SUM(B4:B9)</f>
        <v>73481.850000000006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51"/>
      <c r="U10" s="51"/>
      <c r="V10" s="8"/>
      <c r="W10" s="8"/>
      <c r="X10" s="8"/>
      <c r="Y10" s="51"/>
      <c r="Z10" s="8"/>
      <c r="AA10" s="8"/>
      <c r="AB10" s="8"/>
      <c r="AC10" s="8"/>
      <c r="AD10" s="8"/>
      <c r="AE10" s="8"/>
      <c r="AF10" s="8"/>
      <c r="AG10" s="51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84</v>
      </c>
      <c r="J15" s="6" t="s">
        <v>82</v>
      </c>
      <c r="K15" s="6" t="s">
        <v>83</v>
      </c>
      <c r="L15" s="6" t="s">
        <v>80</v>
      </c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/>
      <c r="J17" s="15"/>
      <c r="K17" s="15"/>
      <c r="L17" s="15"/>
      <c r="M17" s="15"/>
      <c r="N17" s="15"/>
      <c r="O17" s="15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68">
        <f>O18*0.9</f>
        <v>43823.700000000004</v>
      </c>
      <c r="C18" s="73">
        <v>1799</v>
      </c>
      <c r="D18" s="15">
        <v>0</v>
      </c>
      <c r="E18" s="15">
        <v>0</v>
      </c>
      <c r="F18" s="15">
        <v>0</v>
      </c>
      <c r="G18" s="73">
        <v>46894</v>
      </c>
      <c r="H18" s="15">
        <v>0</v>
      </c>
      <c r="I18" s="73"/>
      <c r="J18" s="73"/>
      <c r="K18" s="73"/>
      <c r="L18" s="73"/>
      <c r="M18" s="15"/>
      <c r="N18" s="15"/>
      <c r="O18" s="73">
        <f>SUM(C18:N18)</f>
        <v>48693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15"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15"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15"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0</v>
      </c>
      <c r="P21" s="3"/>
      <c r="Q21" s="3"/>
      <c r="R21" s="3"/>
      <c r="S21" s="3" t="s">
        <v>25</v>
      </c>
      <c r="T21" s="11">
        <f>O42/1000</f>
        <v>486.74952000000002</v>
      </c>
      <c r="U21" s="3"/>
    </row>
    <row r="22" spans="1:25" ht="16" x14ac:dyDescent="0.2">
      <c r="A22" s="4" t="s">
        <v>24</v>
      </c>
      <c r="B22" s="15"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68">
        <f>SUM(B17:B22)</f>
        <v>43823.700000000004</v>
      </c>
      <c r="C23" s="73">
        <f>SUM(C17:C22)</f>
        <v>1799</v>
      </c>
      <c r="D23" s="94">
        <v>0</v>
      </c>
      <c r="E23" s="94">
        <v>0</v>
      </c>
      <c r="F23" s="94">
        <v>0</v>
      </c>
      <c r="G23" s="73">
        <f>SUM(G17:G22)</f>
        <v>46894</v>
      </c>
      <c r="H23" s="94">
        <v>0</v>
      </c>
      <c r="I23" s="73"/>
      <c r="J23" s="73"/>
      <c r="K23" s="73"/>
      <c r="L23" s="73"/>
      <c r="M23" s="73"/>
      <c r="N23" s="73"/>
      <c r="O23" s="73">
        <f>SUM(O17:O22)</f>
        <v>48693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249.55452</v>
      </c>
      <c r="U24" s="13">
        <f>N43</f>
        <v>0.51269597553994506</v>
      </c>
    </row>
    <row r="25" spans="1:25" ht="16" x14ac:dyDescent="0.2">
      <c r="B25" s="53">
        <f>B23/O23</f>
        <v>0.90000000000000013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78.691000000000003</v>
      </c>
      <c r="U25" s="14">
        <f>G43</f>
        <v>0.16166631248039032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8.234</v>
      </c>
      <c r="U27" s="13">
        <f>F43</f>
        <v>1.691629814036591E-2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41.212000000000003</v>
      </c>
      <c r="U28" s="13">
        <f>E43</f>
        <v>8.4667777381680825E-2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58">
        <v>1200</v>
      </c>
      <c r="D31" s="8">
        <v>0</v>
      </c>
      <c r="E31" s="8">
        <v>0</v>
      </c>
      <c r="F31" s="8">
        <v>125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1963</v>
      </c>
      <c r="O31" s="58">
        <f>SUM(C31:N31)</f>
        <v>3288</v>
      </c>
      <c r="P31" s="17">
        <f>O31/O$39</f>
        <v>7.1666931857564155E-3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58">
        <f>O32-N32-E32-C32</f>
        <v>654</v>
      </c>
      <c r="C32" s="58">
        <f>C39-C37-C36-C35-C34-C33-C31</f>
        <v>2582</v>
      </c>
      <c r="D32" s="8">
        <v>0</v>
      </c>
      <c r="E32" s="8">
        <v>41212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141379</v>
      </c>
      <c r="O32" s="8">
        <v>185827</v>
      </c>
      <c r="P32" s="17">
        <f>O32/O$39</f>
        <v>0.40503804581190916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58">
        <f>O33-N33-C33</f>
        <v>9087</v>
      </c>
      <c r="C33" s="8">
        <v>50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58">
        <v>14495</v>
      </c>
      <c r="O33" s="8">
        <v>23632</v>
      </c>
      <c r="P33" s="17">
        <f>O33/O$39</f>
        <v>5.1509517447018129E-2</v>
      </c>
      <c r="Q33" s="18" t="s">
        <v>39</v>
      </c>
      <c r="R33" s="3"/>
      <c r="S33" s="3" t="s">
        <v>35</v>
      </c>
      <c r="T33" s="12">
        <f>C42/1000</f>
        <v>109.05800000000001</v>
      </c>
      <c r="U33" s="14">
        <f>C43</f>
        <v>0.22405363645761786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101503</v>
      </c>
      <c r="D34" s="8">
        <v>0</v>
      </c>
      <c r="E34" s="8">
        <v>0</v>
      </c>
      <c r="F34" s="8">
        <v>8109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342</v>
      </c>
      <c r="O34" s="8">
        <v>109954</v>
      </c>
      <c r="P34" s="17">
        <f>O34/O$39</f>
        <v>0.23966136938767058</v>
      </c>
      <c r="Q34" s="18" t="s">
        <v>41</v>
      </c>
      <c r="R34" s="3"/>
      <c r="S34" s="3"/>
      <c r="T34" s="12">
        <f>SUM(T24:T33)</f>
        <v>486.74951999999996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58">
        <f>B39-B37-B36-B34-B33-B32</f>
        <v>5077</v>
      </c>
      <c r="C35" s="8">
        <v>842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58">
        <f>O35-C35-B35</f>
        <v>22444</v>
      </c>
      <c r="O35" s="8">
        <v>28363</v>
      </c>
      <c r="P35" s="17">
        <f>O35/O$39</f>
        <v>6.1821447331997931E-2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54">
        <v>800</v>
      </c>
      <c r="C36" s="58">
        <f>O36-N36-G36-B36</f>
        <v>991</v>
      </c>
      <c r="D36" s="8">
        <v>0</v>
      </c>
      <c r="E36" s="8">
        <v>0</v>
      </c>
      <c r="F36" s="8">
        <v>0</v>
      </c>
      <c r="G36" s="8">
        <v>31797</v>
      </c>
      <c r="H36" s="8">
        <v>0</v>
      </c>
      <c r="I36" s="8"/>
      <c r="J36" s="8"/>
      <c r="K36" s="8"/>
      <c r="L36" s="8"/>
      <c r="M36" s="27"/>
      <c r="N36" s="8">
        <v>41616</v>
      </c>
      <c r="O36" s="8">
        <v>75204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57">
        <v>23600</v>
      </c>
      <c r="C37" s="8">
        <v>91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58">
        <f>N39-N38-N36-N35-N34-N33-N32-N31</f>
        <v>6062</v>
      </c>
      <c r="O37" s="58">
        <f>O39-O38-O36-O35-O34-O33-O32-O31</f>
        <v>29753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2768</v>
      </c>
      <c r="O38" s="8">
        <v>2768</v>
      </c>
      <c r="P38" s="18">
        <f>SUM(P31:P35)</f>
        <v>0.76519707316435215</v>
      </c>
      <c r="Q38" s="18"/>
      <c r="R38" s="3"/>
      <c r="S38" s="7" t="s">
        <v>47</v>
      </c>
      <c r="T38" s="19">
        <f>O45/1000</f>
        <v>23.091220000000003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39218</v>
      </c>
      <c r="C39" s="8">
        <v>107259</v>
      </c>
      <c r="D39" s="8">
        <v>0</v>
      </c>
      <c r="E39" s="8">
        <v>41212</v>
      </c>
      <c r="F39" s="8">
        <v>8234</v>
      </c>
      <c r="G39" s="8">
        <v>31797</v>
      </c>
      <c r="H39" s="8">
        <v>0</v>
      </c>
      <c r="I39" s="8"/>
      <c r="J39" s="8"/>
      <c r="K39" s="8"/>
      <c r="L39" s="8"/>
      <c r="M39" s="27"/>
      <c r="N39" s="8">
        <v>231069</v>
      </c>
      <c r="O39" s="8">
        <v>458789</v>
      </c>
      <c r="P39" s="3"/>
      <c r="Q39" s="3"/>
      <c r="R39" s="3"/>
      <c r="S39" s="7" t="s">
        <v>48</v>
      </c>
      <c r="T39" s="20">
        <f>O41/1000</f>
        <v>107.72499999999999</v>
      </c>
      <c r="U39" s="13">
        <f>P41</f>
        <v>0.23480292683564777</v>
      </c>
      <c r="W39" s="8"/>
      <c r="X39" s="8"/>
      <c r="Y39" s="8"/>
    </row>
    <row r="40" spans="1:48" ht="16" x14ac:dyDescent="0.2">
      <c r="B40" s="9"/>
      <c r="N40" s="9"/>
      <c r="O40" s="9"/>
      <c r="S40" s="7" t="s">
        <v>49</v>
      </c>
      <c r="T40" s="20">
        <f>O35/1000</f>
        <v>28.363</v>
      </c>
      <c r="U40" s="14">
        <f>P35</f>
        <v>6.1821447331997931E-2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24400</v>
      </c>
      <c r="C41" s="22">
        <f t="shared" ref="C41:O41" si="0">C38+C37+C36</f>
        <v>1082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31797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50446</v>
      </c>
      <c r="O41" s="22">
        <f t="shared" si="0"/>
        <v>107725</v>
      </c>
      <c r="P41" s="17">
        <f>O41/O$39</f>
        <v>0.23480292683564777</v>
      </c>
      <c r="Q41" s="17" t="s">
        <v>51</v>
      </c>
      <c r="R41" s="7"/>
      <c r="S41" s="7" t="s">
        <v>52</v>
      </c>
      <c r="T41" s="20">
        <f>O33/1000</f>
        <v>23.632000000000001</v>
      </c>
      <c r="U41" s="13">
        <f>P33</f>
        <v>5.1509517447018129E-2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109058</v>
      </c>
      <c r="D42" s="24">
        <f t="shared" ref="D42:M42" si="1">D39+D23+D10</f>
        <v>0</v>
      </c>
      <c r="E42" s="24">
        <f t="shared" si="1"/>
        <v>41212</v>
      </c>
      <c r="F42" s="24">
        <f t="shared" si="1"/>
        <v>8234</v>
      </c>
      <c r="G42" s="24">
        <f t="shared" si="1"/>
        <v>78691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249554.52</v>
      </c>
      <c r="O42" s="25">
        <f>SUM(C42:N42)</f>
        <v>486749.52</v>
      </c>
      <c r="P42" s="7"/>
      <c r="Q42" s="7"/>
      <c r="R42" s="7"/>
      <c r="S42" s="7" t="s">
        <v>34</v>
      </c>
      <c r="T42" s="20">
        <f>O31/1000</f>
        <v>3.2879999999999998</v>
      </c>
      <c r="U42" s="13">
        <f>P31</f>
        <v>7.1666931857564155E-3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0.22405363645761786</v>
      </c>
      <c r="D43" s="17">
        <f t="shared" si="2"/>
        <v>0</v>
      </c>
      <c r="E43" s="17">
        <f t="shared" si="2"/>
        <v>8.4667777381680825E-2</v>
      </c>
      <c r="F43" s="17">
        <f t="shared" si="2"/>
        <v>1.691629814036591E-2</v>
      </c>
      <c r="G43" s="17">
        <f t="shared" si="2"/>
        <v>0.16166631248039032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0.51269597553994506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185.827</v>
      </c>
      <c r="U43" s="14">
        <f>P32</f>
        <v>0.40503804581190916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109.95399999999999</v>
      </c>
      <c r="U44" s="14">
        <f>P34</f>
        <v>0.23966136938767058</v>
      </c>
    </row>
    <row r="45" spans="1:48" ht="16" x14ac:dyDescent="0.2">
      <c r="A45" s="6" t="s">
        <v>57</v>
      </c>
      <c r="B45" s="6">
        <f>B23-B39</f>
        <v>4605.7000000000044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18485.52</v>
      </c>
      <c r="O45" s="25">
        <f>B45+N45</f>
        <v>23091.220000000005</v>
      </c>
      <c r="P45" s="7"/>
      <c r="Q45" s="7"/>
      <c r="R45" s="7"/>
      <c r="S45" s="7" t="s">
        <v>58</v>
      </c>
      <c r="T45" s="20">
        <f>SUM(T39:T44)</f>
        <v>458.78900000000004</v>
      </c>
      <c r="U45" s="13">
        <f>SUM(U39:U44)</f>
        <v>1</v>
      </c>
    </row>
    <row r="46" spans="1:48" ht="16" x14ac:dyDescent="0.2">
      <c r="A46" s="6"/>
      <c r="B46" s="52">
        <f>B45/B23</f>
        <v>0.10509610096819766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1"/>
      <c r="H47" s="40"/>
      <c r="I47" s="40"/>
      <c r="J47" s="40"/>
      <c r="K47" s="40"/>
      <c r="L47" s="40"/>
      <c r="M47" s="40"/>
      <c r="N47" s="38"/>
      <c r="O47" s="40"/>
      <c r="P47" s="41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1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9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5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5.33203125" style="2" customWidth="1"/>
    <col min="13" max="13" width="7.83203125" style="2" customWidth="1"/>
    <col min="14" max="14" width="8.83203125" style="2"/>
    <col min="15" max="15" width="8.832031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75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0.95*77</f>
        <v>73.149999999999991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702934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51"/>
      <c r="U9" s="51"/>
      <c r="V9" s="8"/>
      <c r="W9" s="8"/>
      <c r="X9" s="8"/>
      <c r="Y9" s="51"/>
      <c r="Z9" s="8"/>
      <c r="AA9" s="8"/>
      <c r="AB9" s="8"/>
      <c r="AC9" s="8"/>
      <c r="AD9" s="8"/>
      <c r="AE9" s="8"/>
      <c r="AF9" s="8"/>
      <c r="AG9" s="51"/>
      <c r="AH9" s="27"/>
      <c r="AI9" s="27"/>
    </row>
    <row r="10" spans="1:35" ht="16" x14ac:dyDescent="0.2">
      <c r="A10" s="4" t="s">
        <v>15</v>
      </c>
      <c r="B10" s="63">
        <f>SUM(B4:B9)</f>
        <v>703007.15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51"/>
      <c r="U10" s="51"/>
      <c r="V10" s="8"/>
      <c r="W10" s="8"/>
      <c r="X10" s="8"/>
      <c r="Y10" s="51"/>
      <c r="Z10" s="8"/>
      <c r="AA10" s="8"/>
      <c r="AB10" s="8"/>
      <c r="AC10" s="8"/>
      <c r="AD10" s="8"/>
      <c r="AE10" s="8"/>
      <c r="AF10" s="8"/>
      <c r="AG10" s="51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54">
        <f>3300+64100</f>
        <v>67400</v>
      </c>
      <c r="C18" s="54">
        <v>2800</v>
      </c>
      <c r="D18" s="8">
        <v>0</v>
      </c>
      <c r="E18" s="8">
        <v>0</v>
      </c>
      <c r="F18" s="8">
        <v>0</v>
      </c>
      <c r="G18" s="54">
        <v>68800</v>
      </c>
      <c r="H18" s="8">
        <v>0</v>
      </c>
      <c r="I18" s="8"/>
      <c r="J18" s="8"/>
      <c r="K18" s="8"/>
      <c r="L18" s="8"/>
      <c r="M18" s="8"/>
      <c r="N18" s="55">
        <f>1439+344</f>
        <v>1783</v>
      </c>
      <c r="O18" s="54">
        <f>SUM(C18:N18)</f>
        <v>73383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O19" s="70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54">
        <v>1000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765.65610291069095</v>
      </c>
      <c r="U21" s="3"/>
    </row>
    <row r="22" spans="1:25" ht="16" x14ac:dyDescent="0.2">
      <c r="A22" s="4" t="s">
        <v>24</v>
      </c>
      <c r="B22" s="60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54">
        <f>SUM(B17:B22)</f>
        <v>68400</v>
      </c>
      <c r="C23" s="54">
        <v>2800</v>
      </c>
      <c r="D23" s="8">
        <v>0</v>
      </c>
      <c r="E23" s="8">
        <v>0</v>
      </c>
      <c r="F23" s="8">
        <v>0</v>
      </c>
      <c r="G23" s="54">
        <f>SUM(G17:G22)</f>
        <v>68800</v>
      </c>
      <c r="H23" s="8">
        <v>0</v>
      </c>
      <c r="I23" s="8"/>
      <c r="J23" s="8"/>
      <c r="K23" s="8"/>
      <c r="L23" s="8"/>
      <c r="M23" s="8"/>
      <c r="N23" s="55">
        <f>SUM(N18:N22)</f>
        <v>1783</v>
      </c>
      <c r="O23" s="54">
        <f>SUM(O17:O22)</f>
        <v>73383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376.89538929432786</v>
      </c>
      <c r="U24" s="13">
        <f>N43</f>
        <v>0.49225153154469192</v>
      </c>
    </row>
    <row r="25" spans="1:25" ht="16" x14ac:dyDescent="0.2">
      <c r="B25" s="53">
        <f>B23/O23</f>
        <v>0.93209598953436079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103.8</v>
      </c>
      <c r="U25" s="14">
        <f>G43</f>
        <v>0.135570002779835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7.7169999999999996</v>
      </c>
      <c r="U27" s="13">
        <f>F43</f>
        <v>1.0078937489903532E-2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172.76971361636308</v>
      </c>
      <c r="U28" s="13">
        <f>E43</f>
        <v>0.22564923463623926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>O39-SUM(O31:O38)</f>
        <v>-1</v>
      </c>
      <c r="P30" s="3"/>
      <c r="Q30" s="3"/>
      <c r="R30" s="3" t="s">
        <v>60</v>
      </c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3726</v>
      </c>
      <c r="D31" s="8">
        <v>0</v>
      </c>
      <c r="E31" s="8">
        <v>0</v>
      </c>
      <c r="F31" s="8">
        <v>187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6012</v>
      </c>
      <c r="O31" s="8">
        <v>9926</v>
      </c>
      <c r="P31" s="17">
        <f>O31/O$39</f>
        <v>1.3717769943351664E-2</v>
      </c>
      <c r="Q31" s="18" t="s">
        <v>34</v>
      </c>
      <c r="R31" s="59">
        <f>O31-N31-H31-G31-F31-E31-D31-C31-B31</f>
        <v>1</v>
      </c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58">
        <f>17994*B39/66589</f>
        <v>15970.286383636938</v>
      </c>
      <c r="C32" s="58">
        <f>C39-C36-C35-C34-C33-C31</f>
        <v>1370</v>
      </c>
      <c r="D32" s="8">
        <v>0</v>
      </c>
      <c r="E32" s="63">
        <f>O32-N32-C32-B32</f>
        <v>172769.71361636306</v>
      </c>
      <c r="F32" s="8">
        <v>0</v>
      </c>
      <c r="G32" s="58">
        <v>0</v>
      </c>
      <c r="H32" s="8">
        <v>0</v>
      </c>
      <c r="I32" s="8"/>
      <c r="J32" s="8"/>
      <c r="K32" s="8"/>
      <c r="L32" s="8"/>
      <c r="M32" s="27"/>
      <c r="N32" s="8">
        <v>252021</v>
      </c>
      <c r="O32" s="8">
        <v>442131</v>
      </c>
      <c r="P32" s="17">
        <f>O32/O$39</f>
        <v>0.61102673209994096</v>
      </c>
      <c r="Q32" s="18" t="s">
        <v>37</v>
      </c>
      <c r="R32" s="59">
        <f t="shared" ref="R32:R39" si="0">O32-N32-H32-G32-F32-E32-D32-C32-B32</f>
        <v>0</v>
      </c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58">
        <f>B39-B37-B36-B35-B32</f>
        <v>12922.999999999998</v>
      </c>
      <c r="C33" s="8">
        <v>109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9427</v>
      </c>
      <c r="O33" s="58">
        <f>SUM(B33:N33)</f>
        <v>22459</v>
      </c>
      <c r="P33" s="17">
        <f>O33/O$39</f>
        <v>3.1038423852280374E-2</v>
      </c>
      <c r="Q33" s="18" t="s">
        <v>39</v>
      </c>
      <c r="R33" s="59">
        <f t="shared" si="0"/>
        <v>0</v>
      </c>
      <c r="S33" s="3" t="s">
        <v>35</v>
      </c>
      <c r="T33" s="12">
        <f>C42/1000</f>
        <v>104.474</v>
      </c>
      <c r="U33" s="14">
        <f>C43</f>
        <v>0.13645029354933028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92685</v>
      </c>
      <c r="D34" s="8">
        <v>0</v>
      </c>
      <c r="E34" s="8">
        <v>0</v>
      </c>
      <c r="F34" s="8">
        <v>7530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355</v>
      </c>
      <c r="O34" s="8">
        <v>100570</v>
      </c>
      <c r="P34" s="17">
        <f>O34/O$39</f>
        <v>0.13898812444115222</v>
      </c>
      <c r="Q34" s="18" t="s">
        <v>41</v>
      </c>
      <c r="R34" s="59">
        <f t="shared" si="0"/>
        <v>0</v>
      </c>
      <c r="S34" s="3"/>
      <c r="T34" s="12">
        <f>SUM(T24:T33)</f>
        <v>765.65610291069095</v>
      </c>
      <c r="U34" s="13">
        <f>SUM(U24:U33)</f>
        <v>0.99999999999999989</v>
      </c>
      <c r="W34" s="8"/>
      <c r="X34" s="8"/>
      <c r="Y34" s="8"/>
    </row>
    <row r="35" spans="1:48" ht="16" x14ac:dyDescent="0.2">
      <c r="A35" s="4" t="s">
        <v>42</v>
      </c>
      <c r="B35" s="58">
        <f>O35-N35-C35</f>
        <v>5706.7136163630639</v>
      </c>
      <c r="C35" s="8">
        <v>2334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8"/>
      <c r="N35" s="58">
        <f>N39-N38-N37-N36-N34-N33-N32-N31</f>
        <v>22027.286383636936</v>
      </c>
      <c r="O35" s="8">
        <v>30068</v>
      </c>
      <c r="P35" s="17">
        <f>O35/O$39</f>
        <v>4.1554090938615534E-2</v>
      </c>
      <c r="Q35" s="18" t="s">
        <v>43</v>
      </c>
      <c r="R35" s="59">
        <f t="shared" si="0"/>
        <v>0</v>
      </c>
      <c r="W35" s="8"/>
      <c r="X35" s="8"/>
      <c r="Y35" s="8"/>
    </row>
    <row r="36" spans="1:48" ht="16" x14ac:dyDescent="0.2">
      <c r="A36" s="4" t="s">
        <v>44</v>
      </c>
      <c r="B36" s="54">
        <v>6700</v>
      </c>
      <c r="C36" s="58">
        <v>1450</v>
      </c>
      <c r="D36" s="8">
        <v>0</v>
      </c>
      <c r="E36" s="8">
        <v>0</v>
      </c>
      <c r="F36" s="8">
        <v>0</v>
      </c>
      <c r="G36" s="58">
        <v>35000</v>
      </c>
      <c r="H36" s="8">
        <v>0</v>
      </c>
      <c r="I36" s="8"/>
      <c r="J36" s="8"/>
      <c r="K36" s="8"/>
      <c r="L36" s="8"/>
      <c r="M36" s="8"/>
      <c r="N36" s="8">
        <v>49141</v>
      </c>
      <c r="O36" s="58">
        <f>SUM(B36:N36)</f>
        <v>92291</v>
      </c>
      <c r="P36" s="18"/>
      <c r="Q36" s="18"/>
      <c r="R36" s="59">
        <f t="shared" si="0"/>
        <v>0</v>
      </c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54">
        <v>17800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5213</v>
      </c>
      <c r="O37" s="58">
        <f>SUM(B37:N37)</f>
        <v>23013</v>
      </c>
      <c r="P37" s="18"/>
      <c r="Q37" s="18"/>
      <c r="R37" s="59">
        <f t="shared" si="0"/>
        <v>0</v>
      </c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3130</v>
      </c>
      <c r="O38" s="8">
        <v>3130</v>
      </c>
      <c r="P38" s="18">
        <f>SUM(P31:P35)</f>
        <v>0.83632514127534063</v>
      </c>
      <c r="Q38" s="18"/>
      <c r="R38" s="59">
        <f t="shared" si="0"/>
        <v>0</v>
      </c>
      <c r="S38" s="7" t="s">
        <v>47</v>
      </c>
      <c r="T38" s="19">
        <f>O45/1000</f>
        <v>37.086102910690954</v>
      </c>
      <c r="U38" s="7"/>
      <c r="W38" s="8"/>
      <c r="X38" s="8"/>
      <c r="Y38" s="8"/>
    </row>
    <row r="39" spans="1:48" ht="16" x14ac:dyDescent="0.2">
      <c r="A39" s="4" t="s">
        <v>15</v>
      </c>
      <c r="B39" s="54">
        <v>59100</v>
      </c>
      <c r="C39" s="8">
        <v>101674</v>
      </c>
      <c r="D39" s="8">
        <v>0</v>
      </c>
      <c r="E39" s="63">
        <f>SUM(E31:E38)</f>
        <v>172769.71361636306</v>
      </c>
      <c r="F39" s="8">
        <v>7717</v>
      </c>
      <c r="G39" s="63">
        <f>SUM(G31:G38)</f>
        <v>35000</v>
      </c>
      <c r="H39" s="8">
        <v>0</v>
      </c>
      <c r="I39" s="8"/>
      <c r="J39" s="8"/>
      <c r="K39" s="8"/>
      <c r="L39" s="8"/>
      <c r="M39" s="27"/>
      <c r="N39" s="58">
        <f>O39-G39-F39-E39-C39-B39</f>
        <v>347326.28638363694</v>
      </c>
      <c r="O39" s="8">
        <v>723587</v>
      </c>
      <c r="P39" s="3"/>
      <c r="Q39" s="3"/>
      <c r="R39" s="59">
        <f t="shared" si="0"/>
        <v>0</v>
      </c>
      <c r="S39" s="7" t="s">
        <v>48</v>
      </c>
      <c r="T39" s="20">
        <f>O41/1000</f>
        <v>118.434</v>
      </c>
      <c r="U39" s="13">
        <f>P41</f>
        <v>0.16367624072848186</v>
      </c>
      <c r="W39" s="8"/>
      <c r="X39" s="8"/>
      <c r="Y39" s="8"/>
    </row>
    <row r="40" spans="1:48" ht="16" x14ac:dyDescent="0.2">
      <c r="O40" s="9"/>
      <c r="S40" s="7" t="s">
        <v>49</v>
      </c>
      <c r="T40" s="20">
        <f>O35/1000</f>
        <v>30.068000000000001</v>
      </c>
      <c r="U40" s="14">
        <f>P35</f>
        <v>4.1554090938615534E-2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24500</v>
      </c>
      <c r="C41" s="22">
        <f t="shared" ref="C41:O41" si="1">C38+C37+C36</f>
        <v>1450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35000</v>
      </c>
      <c r="H41" s="22">
        <f t="shared" si="1"/>
        <v>0</v>
      </c>
      <c r="I41" s="22">
        <f>I38+I37+I36</f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57484</v>
      </c>
      <c r="O41" s="22">
        <f t="shared" si="1"/>
        <v>118434</v>
      </c>
      <c r="P41" s="17">
        <f>O41/O$39</f>
        <v>0.16367624072848186</v>
      </c>
      <c r="Q41" s="17" t="s">
        <v>51</v>
      </c>
      <c r="R41" s="7"/>
      <c r="S41" s="7" t="s">
        <v>52</v>
      </c>
      <c r="T41" s="20">
        <f>O33/1000</f>
        <v>22.459</v>
      </c>
      <c r="U41" s="13">
        <f>P33</f>
        <v>3.1038423852280374E-2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104474</v>
      </c>
      <c r="D42" s="24">
        <f t="shared" ref="D42:M42" si="2">D39+D23+D10</f>
        <v>0</v>
      </c>
      <c r="E42" s="24">
        <f t="shared" si="2"/>
        <v>172769.71361636306</v>
      </c>
      <c r="F42" s="24">
        <f t="shared" si="2"/>
        <v>7717</v>
      </c>
      <c r="G42" s="24">
        <f t="shared" si="2"/>
        <v>103800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376895.38929432788</v>
      </c>
      <c r="O42" s="25">
        <f>SUM(C42:N42)</f>
        <v>765656.10291069094</v>
      </c>
      <c r="P42" s="7"/>
      <c r="Q42" s="7"/>
      <c r="R42" s="7"/>
      <c r="S42" s="7" t="s">
        <v>34</v>
      </c>
      <c r="T42" s="20">
        <f>O31/1000</f>
        <v>9.9260000000000002</v>
      </c>
      <c r="U42" s="13">
        <f>P31</f>
        <v>1.3717769943351664E-2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3">C42/$O42</f>
        <v>0.13645029354933028</v>
      </c>
      <c r="D43" s="17">
        <f t="shared" si="3"/>
        <v>0</v>
      </c>
      <c r="E43" s="17">
        <f t="shared" si="3"/>
        <v>0.22564923463623926</v>
      </c>
      <c r="F43" s="17">
        <f t="shared" si="3"/>
        <v>1.0078937489903532E-2</v>
      </c>
      <c r="G43" s="17">
        <f t="shared" si="3"/>
        <v>0.135570002779835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0.49225153154469192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442.13099999999997</v>
      </c>
      <c r="U43" s="14">
        <f>P32</f>
        <v>0.61102673209994096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100.57</v>
      </c>
      <c r="U44" s="14">
        <f>P34</f>
        <v>0.13898812444115222</v>
      </c>
    </row>
    <row r="45" spans="1:48" ht="16" x14ac:dyDescent="0.2">
      <c r="A45" s="6" t="s">
        <v>57</v>
      </c>
      <c r="B45" s="6">
        <f>B23-B39</f>
        <v>9300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27786.102910690955</v>
      </c>
      <c r="O45" s="25">
        <f>B45+N45</f>
        <v>37086.102910690955</v>
      </c>
      <c r="P45" s="7"/>
      <c r="Q45" s="7"/>
      <c r="R45" s="7"/>
      <c r="S45" s="7" t="s">
        <v>58</v>
      </c>
      <c r="T45" s="20">
        <f>SUM(T39:T44)</f>
        <v>723.58799999999997</v>
      </c>
      <c r="U45" s="13">
        <f>SUM(U39:U44)</f>
        <v>1.0000013820038225</v>
      </c>
    </row>
    <row r="46" spans="1:48" ht="16" x14ac:dyDescent="0.2">
      <c r="A46" s="6"/>
      <c r="B46" s="52">
        <f>B45/B23</f>
        <v>0.13596491228070176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76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0.95*287</f>
        <v>272.64999999999998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57">
        <v>138000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58">
        <f>SUM(B4:B9)</f>
        <v>138272.65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63">
        <f>84214+20829</f>
        <v>105043</v>
      </c>
      <c r="C18" s="8">
        <v>2710</v>
      </c>
      <c r="D18" s="8">
        <v>0</v>
      </c>
      <c r="E18" s="8">
        <v>0</v>
      </c>
      <c r="F18" s="8">
        <v>0</v>
      </c>
      <c r="G18" s="8">
        <v>96667</v>
      </c>
      <c r="H18" s="55">
        <v>1500</v>
      </c>
      <c r="I18" s="8"/>
      <c r="J18" s="8"/>
      <c r="K18" s="8"/>
      <c r="L18" s="8"/>
      <c r="M18" s="8"/>
      <c r="N18" s="55">
        <v>3200</v>
      </c>
      <c r="O18" s="8">
        <f>SUM(C18:N18)</f>
        <v>104077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70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6652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882.94832000000008</v>
      </c>
      <c r="U21" s="3"/>
    </row>
    <row r="22" spans="1:25" ht="16" x14ac:dyDescent="0.2">
      <c r="A22" s="4" t="s">
        <v>24</v>
      </c>
      <c r="B22" s="63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8">
        <f>SUM(B17:B22)</f>
        <v>111695</v>
      </c>
      <c r="C23" s="8">
        <v>2710</v>
      </c>
      <c r="D23" s="8">
        <v>0</v>
      </c>
      <c r="E23" s="8">
        <v>0</v>
      </c>
      <c r="F23" s="8">
        <v>0</v>
      </c>
      <c r="G23" s="8">
        <f>SUM(G17:G22)</f>
        <v>96667</v>
      </c>
      <c r="H23" s="55">
        <f>SUM(H17:H22)</f>
        <v>1500</v>
      </c>
      <c r="I23" s="8"/>
      <c r="J23" s="8"/>
      <c r="K23" s="8"/>
      <c r="L23" s="8"/>
      <c r="M23" s="8"/>
      <c r="N23" s="55">
        <f>SUM(N18:N22)</f>
        <v>3200</v>
      </c>
      <c r="O23" s="8">
        <f>SUM(O17:O22)</f>
        <v>104077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354.04232000000002</v>
      </c>
      <c r="U24" s="13">
        <f>N43</f>
        <v>0.40097739808825955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221.6198875784537</v>
      </c>
      <c r="U25" s="14">
        <f>G43</f>
        <v>0.25099984060047104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20.616</v>
      </c>
      <c r="U27" s="13">
        <f>F43</f>
        <v>2.3349044936174745E-2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1.7290000000000001</v>
      </c>
      <c r="U28" s="13">
        <f>E43</f>
        <v>1.9582120049789547E-3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5789</v>
      </c>
      <c r="D31" s="8">
        <v>0</v>
      </c>
      <c r="E31" s="8">
        <v>0</v>
      </c>
      <c r="F31" s="8">
        <v>594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11164</v>
      </c>
      <c r="O31" s="8">
        <v>17547</v>
      </c>
      <c r="P31" s="17">
        <f>O31/O$39</f>
        <v>2.0599978633406787E-2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8">
        <v>25246</v>
      </c>
      <c r="C32" s="58">
        <f>24298-((32176-24298)/(324916-237922)*(237922-222585))</f>
        <v>22909.112421546313</v>
      </c>
      <c r="D32" s="8">
        <v>0</v>
      </c>
      <c r="E32" s="8">
        <v>1729</v>
      </c>
      <c r="F32" s="8">
        <v>0</v>
      </c>
      <c r="G32" s="58">
        <f>O32-N32-E32-C32-B32</f>
        <v>59006.887578453694</v>
      </c>
      <c r="H32" s="8">
        <v>0</v>
      </c>
      <c r="I32" s="8"/>
      <c r="J32" s="8"/>
      <c r="K32" s="8"/>
      <c r="L32" s="8"/>
      <c r="M32" s="27"/>
      <c r="N32" s="8">
        <v>113694</v>
      </c>
      <c r="O32" s="8">
        <v>222585</v>
      </c>
      <c r="P32" s="17">
        <f>O32/O$39</f>
        <v>0.26131226101993787</v>
      </c>
      <c r="Q32" s="18" t="s">
        <v>37</v>
      </c>
      <c r="R32" s="3"/>
      <c r="S32" s="3" t="s">
        <v>5</v>
      </c>
      <c r="T32" s="12">
        <f>H42/1000</f>
        <v>1.5</v>
      </c>
      <c r="U32" s="13">
        <f>H43</f>
        <v>1.698853676962656E-3</v>
      </c>
      <c r="W32" s="8"/>
      <c r="X32" s="8"/>
      <c r="Y32" s="8"/>
    </row>
    <row r="33" spans="1:48" ht="16" x14ac:dyDescent="0.2">
      <c r="A33" s="4" t="s">
        <v>38</v>
      </c>
      <c r="B33" s="8">
        <v>8473</v>
      </c>
      <c r="C33" s="8">
        <v>79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22621</v>
      </c>
      <c r="O33" s="8">
        <v>31173</v>
      </c>
      <c r="P33" s="17">
        <f>O33/O$39</f>
        <v>3.659674781667463E-2</v>
      </c>
      <c r="Q33" s="18" t="s">
        <v>39</v>
      </c>
      <c r="R33" s="3"/>
      <c r="S33" s="3" t="s">
        <v>35</v>
      </c>
      <c r="T33" s="12">
        <f>C42/1000</f>
        <v>283.44111242154628</v>
      </c>
      <c r="U33" s="14">
        <f>C43</f>
        <v>0.32101665069315299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249003</v>
      </c>
      <c r="D34" s="8">
        <v>0</v>
      </c>
      <c r="E34" s="8">
        <v>0</v>
      </c>
      <c r="F34" s="8">
        <v>20022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19417</v>
      </c>
      <c r="O34" s="8">
        <v>288442</v>
      </c>
      <c r="P34" s="17">
        <f>O34/O$39</f>
        <v>0.33862763076178948</v>
      </c>
      <c r="Q34" s="18" t="s">
        <v>41</v>
      </c>
      <c r="R34" s="3"/>
      <c r="S34" s="3"/>
      <c r="T34" s="12">
        <f>SUM(T24:T33)</f>
        <v>882.94831999999997</v>
      </c>
      <c r="U34" s="13">
        <f>SUM(U24:U33)</f>
        <v>0.99999999999999989</v>
      </c>
      <c r="W34" s="8"/>
      <c r="X34" s="8"/>
      <c r="Y34" s="8"/>
    </row>
    <row r="35" spans="1:48" ht="16" x14ac:dyDescent="0.2">
      <c r="A35" s="4" t="s">
        <v>42</v>
      </c>
      <c r="B35" s="8">
        <v>19746</v>
      </c>
      <c r="C35" s="8">
        <v>2489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50770</v>
      </c>
      <c r="O35" s="8">
        <v>73005</v>
      </c>
      <c r="P35" s="17">
        <f>O35/O$39</f>
        <v>8.5707040527261774E-2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8">
        <v>4777</v>
      </c>
      <c r="C36" s="8">
        <v>462</v>
      </c>
      <c r="D36" s="8">
        <v>0</v>
      </c>
      <c r="E36" s="8">
        <v>0</v>
      </c>
      <c r="F36" s="8">
        <v>0</v>
      </c>
      <c r="G36" s="8">
        <v>65946</v>
      </c>
      <c r="H36" s="8">
        <v>0</v>
      </c>
      <c r="I36" s="8"/>
      <c r="J36" s="8"/>
      <c r="K36" s="8"/>
      <c r="L36" s="8"/>
      <c r="M36" s="27"/>
      <c r="N36" s="8">
        <v>85329</v>
      </c>
      <c r="O36" s="8">
        <v>156514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8">
        <v>40673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14048</v>
      </c>
      <c r="O37" s="8">
        <v>54721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7811</v>
      </c>
      <c r="O38" s="8">
        <v>7811</v>
      </c>
      <c r="P38" s="18">
        <f>SUM(P31:P35)</f>
        <v>0.74284365875907055</v>
      </c>
      <c r="Q38" s="18"/>
      <c r="R38" s="3"/>
      <c r="S38" s="7" t="s">
        <v>47</v>
      </c>
      <c r="T38" s="19">
        <f>O45/1000</f>
        <v>38.768320000000003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98915</v>
      </c>
      <c r="C39" s="58">
        <f>SUM(C31:C38)</f>
        <v>280731.11242154631</v>
      </c>
      <c r="D39" s="8">
        <v>0</v>
      </c>
      <c r="E39" s="8">
        <v>1729</v>
      </c>
      <c r="F39" s="8">
        <v>20616</v>
      </c>
      <c r="G39" s="58">
        <f>SUM(G31:G38)</f>
        <v>124952.88757845369</v>
      </c>
      <c r="H39" s="8">
        <v>0</v>
      </c>
      <c r="I39" s="8"/>
      <c r="J39" s="8"/>
      <c r="K39" s="8"/>
      <c r="L39" s="8"/>
      <c r="M39" s="27"/>
      <c r="N39" s="8">
        <v>324854</v>
      </c>
      <c r="O39" s="8">
        <v>851797</v>
      </c>
      <c r="P39" s="3"/>
      <c r="Q39" s="3"/>
      <c r="R39" s="3"/>
      <c r="S39" s="7" t="s">
        <v>48</v>
      </c>
      <c r="T39" s="20">
        <f>O41/1000</f>
        <v>219.04599999999999</v>
      </c>
      <c r="U39" s="13">
        <f>P41</f>
        <v>0.25715751522956759</v>
      </c>
      <c r="W39" s="8"/>
      <c r="X39" s="8"/>
      <c r="Y39" s="8"/>
    </row>
    <row r="40" spans="1:48" ht="16" x14ac:dyDescent="0.2">
      <c r="C40" s="9"/>
      <c r="D40" s="9"/>
      <c r="F40" s="9"/>
      <c r="G40" s="9"/>
      <c r="S40" s="7" t="s">
        <v>49</v>
      </c>
      <c r="T40" s="20">
        <f>O35/1000</f>
        <v>73.004999999999995</v>
      </c>
      <c r="U40" s="14">
        <f>P35</f>
        <v>8.5707040527261774E-2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45450</v>
      </c>
      <c r="C41" s="22">
        <f t="shared" ref="C41:O41" si="0">C38+C37+C36</f>
        <v>462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65946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107188</v>
      </c>
      <c r="O41" s="22">
        <f t="shared" si="0"/>
        <v>219046</v>
      </c>
      <c r="P41" s="17">
        <f>O41/O$39</f>
        <v>0.25715751522956759</v>
      </c>
      <c r="Q41" s="17" t="s">
        <v>51</v>
      </c>
      <c r="R41" s="7"/>
      <c r="S41" s="7" t="s">
        <v>52</v>
      </c>
      <c r="T41" s="20">
        <f>O33/1000</f>
        <v>31.172999999999998</v>
      </c>
      <c r="U41" s="13">
        <f>P33</f>
        <v>3.659674781667463E-2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283441.11242154631</v>
      </c>
      <c r="D42" s="24">
        <f t="shared" ref="D42:M42" si="1">D39+D23+D10</f>
        <v>0</v>
      </c>
      <c r="E42" s="24">
        <f t="shared" si="1"/>
        <v>1729</v>
      </c>
      <c r="F42" s="24">
        <f t="shared" si="1"/>
        <v>20616</v>
      </c>
      <c r="G42" s="24">
        <f t="shared" si="1"/>
        <v>221619.88757845369</v>
      </c>
      <c r="H42" s="24">
        <f t="shared" si="1"/>
        <v>1500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354042.32</v>
      </c>
      <c r="O42" s="25">
        <f>SUM(C42:N42)</f>
        <v>882948.32000000007</v>
      </c>
      <c r="P42" s="7"/>
      <c r="Q42" s="7"/>
      <c r="R42" s="7"/>
      <c r="S42" s="7" t="s">
        <v>34</v>
      </c>
      <c r="T42" s="20">
        <f>O31/1000</f>
        <v>17.547000000000001</v>
      </c>
      <c r="U42" s="13">
        <f>P31</f>
        <v>2.0599978633406787E-2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0.32101665069315299</v>
      </c>
      <c r="D43" s="17">
        <f t="shared" si="2"/>
        <v>0</v>
      </c>
      <c r="E43" s="17">
        <f t="shared" si="2"/>
        <v>1.9582120049789547E-3</v>
      </c>
      <c r="F43" s="17">
        <f t="shared" si="2"/>
        <v>2.3349044936174745E-2</v>
      </c>
      <c r="G43" s="17">
        <f t="shared" si="2"/>
        <v>0.25099984060047104</v>
      </c>
      <c r="H43" s="17">
        <f t="shared" si="2"/>
        <v>1.698853676962656E-3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0.40097739808825955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222.58500000000001</v>
      </c>
      <c r="U43" s="14">
        <f>P32</f>
        <v>0.26131226101993787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288.44200000000001</v>
      </c>
      <c r="U44" s="14">
        <f>P34</f>
        <v>0.33862763076178948</v>
      </c>
    </row>
    <row r="45" spans="1:48" ht="16" x14ac:dyDescent="0.2">
      <c r="A45" s="6" t="s">
        <v>57</v>
      </c>
      <c r="B45" s="6">
        <f>B23-B39</f>
        <v>12780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25988.32</v>
      </c>
      <c r="O45" s="25">
        <f>B45+N45</f>
        <v>38768.32</v>
      </c>
      <c r="P45" s="7"/>
      <c r="Q45" s="7"/>
      <c r="R45" s="7"/>
      <c r="S45" s="7" t="s">
        <v>58</v>
      </c>
      <c r="T45" s="20">
        <f>SUM(T39:T44)</f>
        <v>851.798</v>
      </c>
      <c r="U45" s="13">
        <f>SUM(U39:U44)</f>
        <v>1.0000011739886383</v>
      </c>
    </row>
    <row r="46" spans="1:48" ht="16" x14ac:dyDescent="0.2">
      <c r="A46" s="6"/>
      <c r="B46" s="52">
        <f>B45/B23</f>
        <v>0.11441872957607771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0"/>
      <c r="H48" s="41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87"/>
      <c r="B53" s="7"/>
      <c r="C53" s="28"/>
      <c r="D53" s="2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87"/>
      <c r="B54" s="86"/>
      <c r="C54" s="6"/>
      <c r="D54" s="6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87"/>
      <c r="B55" s="81"/>
      <c r="C55" s="6"/>
      <c r="D55" s="6"/>
      <c r="E55" s="40"/>
      <c r="F55" s="40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ht="16" x14ac:dyDescent="0.2">
      <c r="A56" s="87"/>
      <c r="B56" s="81"/>
      <c r="C56" s="6"/>
      <c r="D56" s="31"/>
      <c r="E56" s="40"/>
      <c r="F56" s="40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87"/>
      <c r="B57" s="81"/>
      <c r="C57" s="6"/>
      <c r="D57" s="86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87"/>
      <c r="B58" s="81"/>
      <c r="C58" s="6"/>
      <c r="D58" s="86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87"/>
      <c r="B59" s="81"/>
      <c r="C59" s="6"/>
      <c r="D59" s="9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87"/>
      <c r="B60" s="81"/>
      <c r="C60" s="6"/>
      <c r="D60" s="86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86"/>
      <c r="B61" s="86"/>
      <c r="C61" s="9"/>
      <c r="D61" s="86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9.1640625" style="2" customWidth="1"/>
    <col min="13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77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0.95*157</f>
        <v>149.15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22669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4929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63">
        <f>SUM(B4:B9)</f>
        <v>27747.15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63">
        <f>27622+2378</f>
        <v>30000</v>
      </c>
      <c r="C18" s="8">
        <v>1097</v>
      </c>
      <c r="D18" s="8">
        <v>0</v>
      </c>
      <c r="E18" s="8">
        <v>0</v>
      </c>
      <c r="F18" s="8">
        <v>0</v>
      </c>
      <c r="G18" s="55">
        <f>28267+2024</f>
        <v>30291</v>
      </c>
      <c r="H18" s="8">
        <v>0</v>
      </c>
      <c r="I18" s="8"/>
      <c r="J18" s="8"/>
      <c r="K18" s="8"/>
      <c r="L18" s="8"/>
      <c r="M18" s="8"/>
      <c r="N18" s="55">
        <v>2414</v>
      </c>
      <c r="O18" s="8">
        <f>SUM(C18:N18)</f>
        <v>33802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63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O19" s="8">
        <f>SUM(C19:N19)</f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25114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736.65260000000001</v>
      </c>
      <c r="U21" s="3"/>
    </row>
    <row r="22" spans="1:25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8">
        <f>SUM(B17:B22)</f>
        <v>55114</v>
      </c>
      <c r="C23" s="8">
        <v>1097</v>
      </c>
      <c r="D23" s="8">
        <v>0</v>
      </c>
      <c r="E23" s="8">
        <v>0</v>
      </c>
      <c r="F23" s="8">
        <v>0</v>
      </c>
      <c r="G23" s="55">
        <f>SUM(G17:G22)</f>
        <v>30291</v>
      </c>
      <c r="H23" s="8">
        <v>0</v>
      </c>
      <c r="I23" s="8"/>
      <c r="J23" s="8"/>
      <c r="K23" s="8"/>
      <c r="L23" s="8"/>
      <c r="M23" s="8"/>
      <c r="N23" s="55">
        <f>SUM(N18:N22)</f>
        <v>2414</v>
      </c>
      <c r="O23" s="8">
        <f>SUM(O18:O22)</f>
        <v>33802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225.48260000000002</v>
      </c>
      <c r="U24" s="13">
        <f>N43</f>
        <v>0.30609082218674044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256.29500000000002</v>
      </c>
      <c r="U25" s="14">
        <f>G43</f>
        <v>0.3479184082157587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8.6929999999999996</v>
      </c>
      <c r="U27" s="13">
        <f>F43</f>
        <v>1.1800677822897796E-2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0.7</v>
      </c>
      <c r="U28" s="13">
        <f>E43</f>
        <v>9.5024438928200349E-4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14871</v>
      </c>
      <c r="D31" s="8">
        <v>0</v>
      </c>
      <c r="E31" s="8">
        <v>0</v>
      </c>
      <c r="F31" s="8">
        <v>1500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17328</v>
      </c>
      <c r="O31" s="8">
        <v>33699</v>
      </c>
      <c r="P31" s="17">
        <f>O31/O$39</f>
        <v>4.5874631937042346E-2</v>
      </c>
      <c r="Q31" s="18" t="s">
        <v>34</v>
      </c>
      <c r="R31" s="3"/>
      <c r="S31" s="3" t="s">
        <v>4</v>
      </c>
      <c r="T31" s="12">
        <f>I42/1000</f>
        <v>109.26900000000001</v>
      </c>
      <c r="U31" s="13">
        <f>I43</f>
        <v>0.14833179167493607</v>
      </c>
      <c r="W31" s="8"/>
      <c r="X31" s="8"/>
      <c r="Y31" s="8"/>
    </row>
    <row r="32" spans="1:25" ht="16" x14ac:dyDescent="0.2">
      <c r="A32" s="4" t="s">
        <v>36</v>
      </c>
      <c r="B32" s="8">
        <v>6997</v>
      </c>
      <c r="C32" s="8">
        <v>16791</v>
      </c>
      <c r="D32" s="8">
        <v>0</v>
      </c>
      <c r="E32" s="84">
        <v>700</v>
      </c>
      <c r="F32" s="58">
        <v>0</v>
      </c>
      <c r="G32" s="84">
        <f>O32-N32-I32-E32-C32-B32</f>
        <v>184602</v>
      </c>
      <c r="H32" s="8">
        <v>0</v>
      </c>
      <c r="I32" s="77">
        <v>109269</v>
      </c>
      <c r="J32" s="8"/>
      <c r="K32" s="8"/>
      <c r="L32" s="8"/>
      <c r="M32" s="27"/>
      <c r="N32" s="58">
        <v>83071</v>
      </c>
      <c r="O32" s="8">
        <v>401430</v>
      </c>
      <c r="P32" s="17">
        <f>O32/O$39</f>
        <v>0.54646884176049459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8">
        <v>6466</v>
      </c>
      <c r="C33" s="8">
        <v>1718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7412</v>
      </c>
      <c r="O33" s="8">
        <v>15596</v>
      </c>
      <c r="P33" s="17">
        <f>O33/O$39</f>
        <v>2.1230919602662168E-2</v>
      </c>
      <c r="Q33" s="18" t="s">
        <v>39</v>
      </c>
      <c r="R33" s="3"/>
      <c r="S33" s="3" t="s">
        <v>35</v>
      </c>
      <c r="T33" s="12">
        <f>C42/1000</f>
        <v>136.21299999999999</v>
      </c>
      <c r="U33" s="14">
        <f>C43</f>
        <v>0.18490805571038507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99462</v>
      </c>
      <c r="D34" s="8">
        <v>0</v>
      </c>
      <c r="E34" s="8">
        <v>0</v>
      </c>
      <c r="F34" s="8">
        <v>7193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6</v>
      </c>
      <c r="O34" s="8">
        <v>106662</v>
      </c>
      <c r="P34" s="17">
        <f>O34/O$39</f>
        <v>0.14519956057060479</v>
      </c>
      <c r="Q34" s="18" t="s">
        <v>41</v>
      </c>
      <c r="R34" s="3"/>
      <c r="S34" s="3"/>
      <c r="T34" s="12">
        <f>SUM(T24:T33)</f>
        <v>736.65259999999989</v>
      </c>
      <c r="U34" s="13">
        <f>SUM(U24:U33)</f>
        <v>1.0000000000000002</v>
      </c>
      <c r="W34" s="8"/>
      <c r="X34" s="8"/>
      <c r="Y34" s="8"/>
    </row>
    <row r="35" spans="1:48" ht="16" x14ac:dyDescent="0.2">
      <c r="A35" s="4" t="s">
        <v>42</v>
      </c>
      <c r="B35" s="8">
        <v>12111</v>
      </c>
      <c r="C35" s="8">
        <v>1338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32733</v>
      </c>
      <c r="O35" s="8">
        <v>46182</v>
      </c>
      <c r="P35" s="17">
        <f>O35/O$39</f>
        <v>6.2867807712884347E-2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8">
        <v>1206</v>
      </c>
      <c r="C36" s="8">
        <v>936</v>
      </c>
      <c r="D36" s="8">
        <v>0</v>
      </c>
      <c r="E36" s="8">
        <v>0</v>
      </c>
      <c r="F36" s="8">
        <v>0</v>
      </c>
      <c r="G36" s="8">
        <v>41402</v>
      </c>
      <c r="H36" s="8">
        <v>0</v>
      </c>
      <c r="I36" s="8"/>
      <c r="J36" s="8"/>
      <c r="K36" s="8"/>
      <c r="L36" s="8"/>
      <c r="M36" s="27"/>
      <c r="N36" s="8">
        <v>54027</v>
      </c>
      <c r="O36" s="8">
        <v>97571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8">
        <v>21482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5364</v>
      </c>
      <c r="O37" s="8">
        <v>26846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6604</v>
      </c>
      <c r="O38" s="8">
        <v>6604</v>
      </c>
      <c r="P38" s="18">
        <f>SUM(P31:P35)</f>
        <v>0.82164176158368829</v>
      </c>
      <c r="Q38" s="18"/>
      <c r="R38" s="3"/>
      <c r="S38" s="7" t="s">
        <v>47</v>
      </c>
      <c r="T38" s="19">
        <f>O45/1000</f>
        <v>23.375599999999999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48262</v>
      </c>
      <c r="C39" s="8">
        <v>135116</v>
      </c>
      <c r="D39" s="8">
        <v>0</v>
      </c>
      <c r="E39" s="84">
        <f>SUM(E31:E38)</f>
        <v>700</v>
      </c>
      <c r="F39" s="58">
        <f>F34+F31</f>
        <v>8693</v>
      </c>
      <c r="G39" s="84">
        <f>SUM(G31:G38)</f>
        <v>226004</v>
      </c>
      <c r="H39" s="8">
        <v>0</v>
      </c>
      <c r="I39" s="77">
        <f>SUM(I31:I38)</f>
        <v>109269</v>
      </c>
      <c r="J39" s="8"/>
      <c r="K39" s="8"/>
      <c r="L39" s="8"/>
      <c r="M39" s="27"/>
      <c r="N39" s="58">
        <f>SUM(N31:N38)</f>
        <v>206545</v>
      </c>
      <c r="O39" s="8">
        <v>734589</v>
      </c>
      <c r="P39" s="3"/>
      <c r="Q39" s="3"/>
      <c r="R39" s="3"/>
      <c r="S39" s="7" t="s">
        <v>48</v>
      </c>
      <c r="T39" s="20">
        <f>O41/1000</f>
        <v>131.02099999999999</v>
      </c>
      <c r="U39" s="13">
        <f>P41</f>
        <v>0.17835959972174917</v>
      </c>
      <c r="W39" s="8"/>
      <c r="X39" s="8"/>
      <c r="Y39" s="8"/>
    </row>
    <row r="40" spans="1:48" ht="16" x14ac:dyDescent="0.2">
      <c r="G40" s="9"/>
      <c r="S40" s="7" t="s">
        <v>49</v>
      </c>
      <c r="T40" s="20">
        <f>O35/1000</f>
        <v>46.182000000000002</v>
      </c>
      <c r="U40" s="14">
        <f>P35</f>
        <v>6.2867807712884347E-2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22688</v>
      </c>
      <c r="C41" s="22">
        <f t="shared" ref="C41:O41" si="0">C38+C37+C36</f>
        <v>936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41402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65995</v>
      </c>
      <c r="O41" s="22">
        <f t="shared" si="0"/>
        <v>131021</v>
      </c>
      <c r="P41" s="17">
        <f>O41/O$39</f>
        <v>0.17835959972174917</v>
      </c>
      <c r="Q41" s="17" t="s">
        <v>51</v>
      </c>
      <c r="R41" s="7"/>
      <c r="S41" s="7" t="s">
        <v>52</v>
      </c>
      <c r="T41" s="20">
        <f>O33/1000</f>
        <v>15.596</v>
      </c>
      <c r="U41" s="13">
        <f>P33</f>
        <v>2.1230919602662168E-2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136213</v>
      </c>
      <c r="D42" s="24">
        <f t="shared" ref="D42:M42" si="1">D39+D23+D10</f>
        <v>0</v>
      </c>
      <c r="E42" s="24">
        <f t="shared" si="1"/>
        <v>700</v>
      </c>
      <c r="F42" s="24">
        <f t="shared" si="1"/>
        <v>8693</v>
      </c>
      <c r="G42" s="24">
        <f t="shared" si="1"/>
        <v>256295</v>
      </c>
      <c r="H42" s="24">
        <f t="shared" si="1"/>
        <v>0</v>
      </c>
      <c r="I42" s="24">
        <f t="shared" si="1"/>
        <v>109269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225482.6</v>
      </c>
      <c r="O42" s="25">
        <f>SUM(C42:N42)</f>
        <v>736652.6</v>
      </c>
      <c r="P42" s="7"/>
      <c r="Q42" s="7"/>
      <c r="R42" s="7"/>
      <c r="S42" s="7" t="s">
        <v>34</v>
      </c>
      <c r="T42" s="20">
        <f>O31/1000</f>
        <v>33.698999999999998</v>
      </c>
      <c r="U42" s="13">
        <f>P31</f>
        <v>4.5874631937042346E-2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0.18490805571038507</v>
      </c>
      <c r="D43" s="17">
        <f t="shared" si="2"/>
        <v>0</v>
      </c>
      <c r="E43" s="17">
        <f t="shared" si="2"/>
        <v>9.5024438928200349E-4</v>
      </c>
      <c r="F43" s="17">
        <f t="shared" si="2"/>
        <v>1.1800677822897796E-2</v>
      </c>
      <c r="G43" s="17">
        <f t="shared" si="2"/>
        <v>0.3479184082157587</v>
      </c>
      <c r="H43" s="17">
        <f t="shared" si="2"/>
        <v>0</v>
      </c>
      <c r="I43" s="17">
        <f t="shared" si="2"/>
        <v>0.14833179167493607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0.30609082218674044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401.43</v>
      </c>
      <c r="U43" s="14">
        <f>P32</f>
        <v>0.54646884176049459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106.66200000000001</v>
      </c>
      <c r="U44" s="14">
        <f>P34</f>
        <v>0.14519956057060479</v>
      </c>
    </row>
    <row r="45" spans="1:48" ht="16" x14ac:dyDescent="0.2">
      <c r="A45" s="6" t="s">
        <v>57</v>
      </c>
      <c r="B45" s="6">
        <f>B23-B39</f>
        <v>6852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16523.599999999999</v>
      </c>
      <c r="O45" s="25">
        <f>B45+N45</f>
        <v>23375.599999999999</v>
      </c>
      <c r="P45" s="7"/>
      <c r="Q45" s="7"/>
      <c r="R45" s="7"/>
      <c r="S45" s="7" t="s">
        <v>58</v>
      </c>
      <c r="T45" s="20">
        <f>SUM(T39:T44)</f>
        <v>734.59</v>
      </c>
      <c r="U45" s="13">
        <f>SUM(U39:U44)</f>
        <v>1.0000013613054373</v>
      </c>
    </row>
    <row r="46" spans="1:48" ht="16" x14ac:dyDescent="0.2">
      <c r="A46" s="6"/>
      <c r="B46" s="52">
        <f>B45/B23</f>
        <v>0.12432412817070072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3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6" x14ac:dyDescent="0.2">
      <c r="A49" s="37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6" x14ac:dyDescent="0.2">
      <c r="A50" s="37"/>
      <c r="B50" s="70"/>
      <c r="C50" s="63"/>
      <c r="D50" s="70"/>
      <c r="E50" s="70"/>
      <c r="F50" s="70"/>
      <c r="G50" s="63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6" x14ac:dyDescent="0.2">
      <c r="A53" s="37"/>
      <c r="B53" s="6"/>
      <c r="C53" s="70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ht="16" x14ac:dyDescent="0.2">
      <c r="A54" s="4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6" x14ac:dyDescent="0.2">
      <c r="A55" s="4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1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0.3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62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v>105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31268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63">
        <f>SUM(B4:B9)</f>
        <v>31373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8">
        <v>43161</v>
      </c>
      <c r="C18" s="8">
        <v>239</v>
      </c>
      <c r="D18" s="8">
        <v>0</v>
      </c>
      <c r="E18" s="8">
        <v>0</v>
      </c>
      <c r="F18" s="8">
        <v>0</v>
      </c>
      <c r="G18" s="55">
        <v>2200</v>
      </c>
      <c r="H18" s="55">
        <v>506</v>
      </c>
      <c r="I18" s="8"/>
      <c r="J18" s="8"/>
      <c r="K18" s="55">
        <v>40200</v>
      </c>
      <c r="L18" s="8"/>
      <c r="M18" s="8"/>
      <c r="N18" s="55">
        <v>1840</v>
      </c>
      <c r="O18" s="8">
        <f>SUM(C18:N18)</f>
        <v>44985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303.29867999999999</v>
      </c>
      <c r="U21" s="3"/>
    </row>
    <row r="22" spans="1:25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8">
        <f t="shared" ref="B23:H23" si="0">SUM(B17:B22)</f>
        <v>43161</v>
      </c>
      <c r="C23" s="70">
        <f t="shared" si="0"/>
        <v>239</v>
      </c>
      <c r="D23" s="8">
        <f t="shared" si="0"/>
        <v>0</v>
      </c>
      <c r="E23" s="8">
        <f t="shared" si="0"/>
        <v>0</v>
      </c>
      <c r="F23" s="8">
        <f t="shared" si="0"/>
        <v>0</v>
      </c>
      <c r="G23" s="55">
        <f t="shared" si="0"/>
        <v>2200</v>
      </c>
      <c r="H23" s="55">
        <f t="shared" si="0"/>
        <v>506</v>
      </c>
      <c r="I23" s="8"/>
      <c r="J23" s="8"/>
      <c r="K23" s="55">
        <f>SUM(K17:K22)</f>
        <v>40200</v>
      </c>
      <c r="L23" s="8"/>
      <c r="M23" s="8"/>
      <c r="N23" s="55">
        <f>SUM(N18:N22)</f>
        <v>1840</v>
      </c>
      <c r="O23" s="8">
        <f>SUM(O17:O22)</f>
        <v>44985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1">
        <f>B18/O18</f>
        <v>0.95945315105035012</v>
      </c>
      <c r="P24" s="3"/>
      <c r="Q24" s="3"/>
      <c r="R24" s="3"/>
      <c r="S24" s="3" t="s">
        <v>9</v>
      </c>
      <c r="T24" s="12">
        <f>N42/1000</f>
        <v>135.10767999999999</v>
      </c>
      <c r="U24" s="13">
        <f>N43</f>
        <v>0.44546082429372919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1">
        <v>0.8784166073064007</v>
      </c>
      <c r="P25" s="3"/>
      <c r="Q25" s="3"/>
      <c r="R25" s="3"/>
      <c r="S25" s="3" t="s">
        <v>59</v>
      </c>
      <c r="T25" s="12">
        <f>G42/1000</f>
        <v>33.68</v>
      </c>
      <c r="U25" s="14">
        <f>G43</f>
        <v>0.11104565308362041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6.8250000000000002</v>
      </c>
      <c r="U27" s="13">
        <f>F43</f>
        <v>2.2502570733245526E-2</v>
      </c>
    </row>
    <row r="28" spans="1:25" ht="15.75" x14ac:dyDescent="0.25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0</v>
      </c>
      <c r="U28" s="13">
        <f>E43</f>
        <v>0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40.200000000000003</v>
      </c>
      <c r="U30" s="46">
        <f>K43</f>
        <v>0.13254261442878684</v>
      </c>
    </row>
    <row r="31" spans="1:25" ht="16" x14ac:dyDescent="0.2">
      <c r="A31" s="4" t="s">
        <v>32</v>
      </c>
      <c r="B31" s="8">
        <v>0</v>
      </c>
      <c r="C31" s="8">
        <v>7247</v>
      </c>
      <c r="D31" s="8">
        <v>0</v>
      </c>
      <c r="E31" s="8">
        <v>0</v>
      </c>
      <c r="F31" s="8">
        <v>744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6660</v>
      </c>
      <c r="O31" s="8">
        <v>14651</v>
      </c>
      <c r="P31" s="17">
        <f>O31/O$39</f>
        <v>5.1936956737518254E-2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8">
        <v>3600</v>
      </c>
      <c r="C32" s="58">
        <f>O32-B32-N32-G32</f>
        <v>472</v>
      </c>
      <c r="D32" s="8">
        <v>0</v>
      </c>
      <c r="E32" s="8">
        <v>0</v>
      </c>
      <c r="F32" s="8">
        <v>0</v>
      </c>
      <c r="G32" s="58">
        <v>480</v>
      </c>
      <c r="H32" s="8">
        <v>0</v>
      </c>
      <c r="I32" s="8"/>
      <c r="J32" s="8"/>
      <c r="K32" s="8"/>
      <c r="L32" s="8"/>
      <c r="M32" s="27"/>
      <c r="N32" s="8">
        <v>7615</v>
      </c>
      <c r="O32" s="8">
        <v>12167</v>
      </c>
      <c r="P32" s="17">
        <f>O32/O$39</f>
        <v>4.3131318860513593E-2</v>
      </c>
      <c r="Q32" s="18" t="s">
        <v>37</v>
      </c>
      <c r="R32" s="3"/>
      <c r="S32" s="3" t="s">
        <v>5</v>
      </c>
      <c r="T32" s="12">
        <f>H42/1000</f>
        <v>0.50600000000000001</v>
      </c>
      <c r="U32" s="13">
        <f>H43</f>
        <v>1.6683224602230384E-3</v>
      </c>
      <c r="W32" s="8"/>
      <c r="X32" s="8"/>
      <c r="Y32" s="8"/>
    </row>
    <row r="33" spans="1:48" ht="16" x14ac:dyDescent="0.2">
      <c r="A33" s="4" t="s">
        <v>38</v>
      </c>
      <c r="B33" s="8">
        <v>4500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9173</v>
      </c>
      <c r="O33" s="8">
        <v>13673</v>
      </c>
      <c r="P33" s="17">
        <f>O33/O$39</f>
        <v>4.8470002694156515E-2</v>
      </c>
      <c r="Q33" s="18" t="s">
        <v>39</v>
      </c>
      <c r="R33" s="3"/>
      <c r="S33" s="3" t="s">
        <v>35</v>
      </c>
      <c r="T33" s="12">
        <f>C42/1000</f>
        <v>86.98</v>
      </c>
      <c r="U33" s="14">
        <f>C43</f>
        <v>0.28678001500039502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58">
        <f>O34-N34-F34</f>
        <v>77181</v>
      </c>
      <c r="D34" s="8">
        <v>0</v>
      </c>
      <c r="E34" s="8">
        <v>0</v>
      </c>
      <c r="F34" s="8">
        <v>6081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36508</v>
      </c>
      <c r="O34" s="58">
        <f>O39-O38-O37-O36-O35-O33-O32-O31</f>
        <v>119770</v>
      </c>
      <c r="P34" s="17">
        <f>O34/O$39</f>
        <v>0.42457779731435136</v>
      </c>
      <c r="Q34" s="18" t="s">
        <v>41</v>
      </c>
      <c r="R34" s="3"/>
      <c r="S34" s="3"/>
      <c r="T34" s="12">
        <f>SUM(T24:T33)</f>
        <v>303.29867999999999</v>
      </c>
      <c r="U34" s="13">
        <f>SUM(U24:U33)</f>
        <v>1.0000000000000002</v>
      </c>
      <c r="W34" s="8"/>
      <c r="X34" s="8"/>
      <c r="Y34" s="8"/>
    </row>
    <row r="35" spans="1:48" ht="16" x14ac:dyDescent="0.2">
      <c r="A35" s="4" t="s">
        <v>42</v>
      </c>
      <c r="B35" s="8">
        <v>1600</v>
      </c>
      <c r="C35" s="8">
        <v>1397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17325</v>
      </c>
      <c r="O35" s="8">
        <v>20322</v>
      </c>
      <c r="P35" s="17">
        <f>O35/O$39</f>
        <v>7.2040327269117882E-2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8">
        <v>9650</v>
      </c>
      <c r="C36" s="8">
        <v>444</v>
      </c>
      <c r="D36" s="8">
        <v>0</v>
      </c>
      <c r="E36" s="8">
        <v>0</v>
      </c>
      <c r="F36" s="8">
        <v>0</v>
      </c>
      <c r="G36" s="58">
        <v>31000</v>
      </c>
      <c r="H36" s="8">
        <v>0</v>
      </c>
      <c r="I36" s="8"/>
      <c r="J36" s="8"/>
      <c r="K36" s="8"/>
      <c r="L36" s="8"/>
      <c r="M36" s="27"/>
      <c r="N36" s="8">
        <v>39472</v>
      </c>
      <c r="O36" s="58">
        <f>SUM(B36:N36)</f>
        <v>80566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8">
        <v>14300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3292</v>
      </c>
      <c r="O37" s="8">
        <v>17592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3351</v>
      </c>
      <c r="O38" s="8">
        <v>3351</v>
      </c>
      <c r="P38" s="18">
        <f>SUM(P31:P35)</f>
        <v>0.64015640287565767</v>
      </c>
      <c r="Q38" s="18"/>
      <c r="R38" s="3"/>
      <c r="S38" s="7" t="s">
        <v>47</v>
      </c>
      <c r="T38" s="19">
        <f>O45/1000</f>
        <v>19.382680000000001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33650</v>
      </c>
      <c r="C39" s="58">
        <f>SUM(C31:C38)</f>
        <v>86741</v>
      </c>
      <c r="D39" s="8">
        <v>0</v>
      </c>
      <c r="E39" s="8">
        <v>0</v>
      </c>
      <c r="F39" s="8">
        <v>6825</v>
      </c>
      <c r="G39" s="58">
        <v>31480</v>
      </c>
      <c r="H39" s="8">
        <v>0</v>
      </c>
      <c r="I39" s="8"/>
      <c r="J39" s="8"/>
      <c r="K39" s="8"/>
      <c r="L39" s="8"/>
      <c r="M39" s="27"/>
      <c r="N39" s="8">
        <v>123396</v>
      </c>
      <c r="O39" s="8">
        <v>282092</v>
      </c>
      <c r="P39" s="59"/>
      <c r="Q39" s="3"/>
      <c r="R39" s="3"/>
      <c r="S39" s="7" t="s">
        <v>48</v>
      </c>
      <c r="T39" s="20">
        <f>O41/1000</f>
        <v>101.509</v>
      </c>
      <c r="U39" s="13">
        <f>P41</f>
        <v>0.35984359712434244</v>
      </c>
      <c r="W39" s="8"/>
      <c r="X39" s="8"/>
      <c r="Y39" s="8"/>
    </row>
    <row r="40" spans="1:48" ht="16" x14ac:dyDescent="0.2">
      <c r="B40" s="9"/>
      <c r="C40" s="9"/>
      <c r="E40" s="9"/>
      <c r="F40" s="9">
        <f>SUM(F31:F38)</f>
        <v>6825</v>
      </c>
      <c r="G40" s="9"/>
      <c r="O40" s="9"/>
      <c r="P40" s="9"/>
      <c r="S40" s="7" t="s">
        <v>49</v>
      </c>
      <c r="T40" s="20">
        <f>O35/1000</f>
        <v>20.321999999999999</v>
      </c>
      <c r="U40" s="14">
        <f>P35</f>
        <v>7.2040327269117882E-2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23950</v>
      </c>
      <c r="C41" s="22">
        <f t="shared" ref="C41:O41" si="1">C38+C37+C36</f>
        <v>444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31000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46115</v>
      </c>
      <c r="O41" s="22">
        <f t="shared" si="1"/>
        <v>101509</v>
      </c>
      <c r="P41" s="17">
        <f>O41/O$39</f>
        <v>0.35984359712434244</v>
      </c>
      <c r="Q41" s="17" t="s">
        <v>51</v>
      </c>
      <c r="R41" s="7"/>
      <c r="S41" s="7" t="s">
        <v>52</v>
      </c>
      <c r="T41" s="20">
        <f>O33/1000</f>
        <v>13.673</v>
      </c>
      <c r="U41" s="13">
        <f>P33</f>
        <v>4.8470002694156515E-2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86980</v>
      </c>
      <c r="D42" s="24">
        <f t="shared" ref="D42:M42" si="2">D39+D23+D10</f>
        <v>0</v>
      </c>
      <c r="E42" s="24">
        <f t="shared" si="2"/>
        <v>0</v>
      </c>
      <c r="F42" s="24">
        <f t="shared" si="2"/>
        <v>6825</v>
      </c>
      <c r="G42" s="24">
        <f t="shared" si="2"/>
        <v>33680</v>
      </c>
      <c r="H42" s="24">
        <f t="shared" si="2"/>
        <v>506</v>
      </c>
      <c r="I42" s="24">
        <f t="shared" si="2"/>
        <v>0</v>
      </c>
      <c r="J42" s="24">
        <f t="shared" si="2"/>
        <v>0</v>
      </c>
      <c r="K42" s="24">
        <f t="shared" si="2"/>
        <v>40200</v>
      </c>
      <c r="L42" s="24">
        <f t="shared" si="2"/>
        <v>0</v>
      </c>
      <c r="M42" s="24">
        <f t="shared" si="2"/>
        <v>0</v>
      </c>
      <c r="N42" s="24">
        <f>N39+N23-B6+N45</f>
        <v>135107.68</v>
      </c>
      <c r="O42" s="25">
        <f>SUM(C42:N42)</f>
        <v>303298.68</v>
      </c>
      <c r="P42" s="7"/>
      <c r="Q42" s="7"/>
      <c r="R42" s="7"/>
      <c r="S42" s="7" t="s">
        <v>34</v>
      </c>
      <c r="T42" s="20">
        <f>O31/1000</f>
        <v>14.651</v>
      </c>
      <c r="U42" s="13">
        <f>P31</f>
        <v>5.1936956737518254E-2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3">C42/$O42</f>
        <v>0.28678001500039502</v>
      </c>
      <c r="D43" s="17">
        <f t="shared" si="3"/>
        <v>0</v>
      </c>
      <c r="E43" s="17">
        <f t="shared" si="3"/>
        <v>0</v>
      </c>
      <c r="F43" s="17">
        <f t="shared" si="3"/>
        <v>2.2502570733245526E-2</v>
      </c>
      <c r="G43" s="17">
        <f t="shared" si="3"/>
        <v>0.11104565308362041</v>
      </c>
      <c r="H43" s="17">
        <f t="shared" si="3"/>
        <v>1.6683224602230384E-3</v>
      </c>
      <c r="I43" s="17">
        <f t="shared" si="3"/>
        <v>0</v>
      </c>
      <c r="J43" s="17">
        <f t="shared" si="3"/>
        <v>0</v>
      </c>
      <c r="K43" s="17">
        <f t="shared" si="3"/>
        <v>0.13254261442878684</v>
      </c>
      <c r="L43" s="17">
        <f t="shared" si="3"/>
        <v>0</v>
      </c>
      <c r="M43" s="17">
        <f t="shared" si="3"/>
        <v>0</v>
      </c>
      <c r="N43" s="17">
        <f t="shared" si="3"/>
        <v>0.44546082429372919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12.167</v>
      </c>
      <c r="U43" s="14">
        <f>P32</f>
        <v>4.3131318860513593E-2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119.77</v>
      </c>
      <c r="U44" s="14">
        <f>P34</f>
        <v>0.42457779731435136</v>
      </c>
    </row>
    <row r="45" spans="1:48" ht="16" x14ac:dyDescent="0.2">
      <c r="A45" s="6" t="s">
        <v>57</v>
      </c>
      <c r="B45" s="6">
        <f>B23-B39</f>
        <v>9511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9871.68</v>
      </c>
      <c r="O45" s="25">
        <f>B45+N45</f>
        <v>19382.68</v>
      </c>
      <c r="P45" s="7"/>
      <c r="Q45" s="7"/>
      <c r="R45" s="7"/>
      <c r="S45" s="7" t="s">
        <v>58</v>
      </c>
      <c r="T45" s="20">
        <f>SUM(T39:T44)</f>
        <v>282.09199999999998</v>
      </c>
      <c r="U45" s="13">
        <f>SUM(U39:U44)</f>
        <v>1</v>
      </c>
    </row>
    <row r="46" spans="1:48" ht="16" x14ac:dyDescent="0.2">
      <c r="A46" s="6"/>
      <c r="B46" s="52">
        <f>B45/B23</f>
        <v>0.22036097402747851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4"/>
      <c r="B47" s="4"/>
      <c r="C47" s="15"/>
      <c r="D47" s="16"/>
      <c r="E47" s="15"/>
      <c r="F47" s="15"/>
      <c r="G47" s="16"/>
      <c r="H47" s="15"/>
      <c r="I47" s="15"/>
      <c r="J47" s="15"/>
      <c r="K47" s="15"/>
      <c r="L47" s="15"/>
      <c r="M47" s="15"/>
      <c r="N47" s="27"/>
      <c r="O47" s="15"/>
      <c r="P47" s="15"/>
      <c r="Q47" s="27"/>
      <c r="R47" s="4"/>
      <c r="S47" s="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27"/>
      <c r="AH47" s="4"/>
      <c r="AI47" s="4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6" x14ac:dyDescent="0.2">
      <c r="A48" s="27"/>
      <c r="B48" s="4"/>
      <c r="C48" s="15"/>
      <c r="D48" s="16"/>
      <c r="E48" s="15"/>
      <c r="F48" s="16"/>
      <c r="G48" s="16"/>
      <c r="H48" s="15"/>
      <c r="I48" s="15"/>
      <c r="J48" s="15"/>
      <c r="K48" s="15"/>
      <c r="L48" s="15"/>
      <c r="M48" s="15"/>
      <c r="N48" s="27"/>
      <c r="O48" s="15"/>
      <c r="P48" s="15"/>
      <c r="Q48" s="27"/>
      <c r="R48" s="27"/>
      <c r="S48" s="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27"/>
      <c r="AH48" s="27"/>
      <c r="AI48" s="4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6" x14ac:dyDescent="0.2">
      <c r="A49" s="27"/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7"/>
      <c r="O49" s="15"/>
      <c r="P49" s="15"/>
      <c r="Q49" s="27"/>
      <c r="R49" s="27"/>
      <c r="S49" s="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7"/>
      <c r="AH49" s="27"/>
      <c r="AI49" s="4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6" x14ac:dyDescent="0.2">
      <c r="A50" s="27"/>
      <c r="B50" s="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7"/>
      <c r="O50" s="15"/>
      <c r="P50" s="15"/>
      <c r="Q50" s="27"/>
      <c r="R50" s="27"/>
      <c r="S50" s="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27"/>
      <c r="AH50" s="27"/>
      <c r="AI50" s="4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6" x14ac:dyDescent="0.2">
      <c r="A51" s="27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7"/>
      <c r="O51" s="15"/>
      <c r="P51" s="15"/>
      <c r="Q51" s="27"/>
      <c r="R51" s="27"/>
      <c r="S51" s="4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27"/>
      <c r="AH51" s="27"/>
      <c r="AI51" s="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6" x14ac:dyDescent="0.2">
      <c r="A52" s="27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7"/>
      <c r="O52" s="15"/>
      <c r="P52" s="15"/>
      <c r="Q52" s="27"/>
      <c r="R52" s="27"/>
      <c r="S52" s="4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27"/>
      <c r="AH52" s="27"/>
      <c r="AI52" s="4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6" x14ac:dyDescent="0.2">
      <c r="A53" s="27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7"/>
      <c r="O53" s="15"/>
      <c r="P53" s="15"/>
      <c r="Q53" s="27"/>
      <c r="R53" s="27"/>
      <c r="S53" s="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27"/>
      <c r="AH53" s="27"/>
      <c r="AI53" s="4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6" x14ac:dyDescent="0.2">
      <c r="A54" s="27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7"/>
      <c r="O54" s="15"/>
      <c r="P54" s="15"/>
      <c r="Q54" s="27"/>
      <c r="R54" s="27"/>
      <c r="S54" s="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27"/>
      <c r="AH54" s="27"/>
      <c r="AI54" s="4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6" x14ac:dyDescent="0.2">
      <c r="A55" s="27"/>
      <c r="B55" s="4"/>
      <c r="C55" s="15"/>
      <c r="D55" s="16"/>
      <c r="E55" s="15"/>
      <c r="F55" s="16"/>
      <c r="G55" s="15"/>
      <c r="H55" s="15"/>
      <c r="I55" s="15"/>
      <c r="J55" s="15"/>
      <c r="K55" s="15"/>
      <c r="L55" s="15"/>
      <c r="M55" s="15"/>
      <c r="N55" s="27"/>
      <c r="O55" s="15"/>
      <c r="P55" s="15"/>
      <c r="Q55" s="27"/>
      <c r="R55" s="27"/>
      <c r="S55" s="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27"/>
      <c r="AH55" s="27"/>
      <c r="AI55" s="4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6" x14ac:dyDescent="0.2">
      <c r="A56" s="27"/>
      <c r="B56" s="4"/>
      <c r="C56" s="15"/>
      <c r="D56" s="16"/>
      <c r="E56" s="15"/>
      <c r="F56" s="16"/>
      <c r="G56" s="15"/>
      <c r="H56" s="15"/>
      <c r="I56" s="15"/>
      <c r="J56" s="15"/>
      <c r="K56" s="15"/>
      <c r="L56" s="15"/>
      <c r="M56" s="15"/>
      <c r="N56" s="27"/>
      <c r="O56" s="15"/>
      <c r="P56" s="15"/>
      <c r="Q56" s="27"/>
      <c r="R56" s="27"/>
      <c r="S56" s="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27"/>
      <c r="AH56" s="27"/>
      <c r="AI56" s="4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8.5" style="2" bestFit="1" customWidth="1"/>
    <col min="13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63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v>48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18805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58">
        <v>43000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51"/>
      <c r="U9" s="51"/>
      <c r="V9" s="8"/>
      <c r="W9" s="8"/>
      <c r="X9" s="8"/>
      <c r="Y9" s="51"/>
      <c r="Z9" s="8"/>
      <c r="AA9" s="8"/>
      <c r="AB9" s="8"/>
      <c r="AC9" s="8"/>
      <c r="AD9" s="8"/>
      <c r="AE9" s="8"/>
      <c r="AF9" s="8"/>
      <c r="AG9" s="51"/>
      <c r="AH9" s="27"/>
      <c r="AI9" s="27"/>
    </row>
    <row r="10" spans="1:35" ht="16" x14ac:dyDescent="0.2">
      <c r="A10" s="4" t="s">
        <v>15</v>
      </c>
      <c r="B10" s="58">
        <f>SUM(B4:B9)</f>
        <v>61853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51"/>
      <c r="U10" s="51"/>
      <c r="V10" s="8"/>
      <c r="W10" s="8"/>
      <c r="X10" s="8"/>
      <c r="Y10" s="51"/>
      <c r="Z10" s="8"/>
      <c r="AA10" s="8"/>
      <c r="AB10" s="8"/>
      <c r="AC10" s="8"/>
      <c r="AD10" s="8"/>
      <c r="AE10" s="8"/>
      <c r="AF10" s="8"/>
      <c r="AG10" s="51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54">
        <f>148500-112000</f>
        <v>36500</v>
      </c>
      <c r="C17" s="55">
        <v>1160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55">
        <v>206151</v>
      </c>
      <c r="L17" s="8"/>
      <c r="M17" s="8"/>
      <c r="N17" s="8"/>
      <c r="O17" s="55">
        <f>SUM(C17:N17)</f>
        <v>207311</v>
      </c>
      <c r="P17" s="3"/>
      <c r="Q17" s="59"/>
      <c r="R17" s="3"/>
      <c r="S17" s="3"/>
      <c r="T17" s="3"/>
      <c r="U17" s="3"/>
    </row>
    <row r="18" spans="1:25" ht="16" x14ac:dyDescent="0.2">
      <c r="A18" s="4" t="s">
        <v>20</v>
      </c>
      <c r="B18" s="54">
        <v>17400</v>
      </c>
      <c r="C18" s="54">
        <v>0</v>
      </c>
      <c r="D18" s="8">
        <v>0</v>
      </c>
      <c r="E18" s="8">
        <v>0</v>
      </c>
      <c r="F18" s="8">
        <v>0</v>
      </c>
      <c r="G18" s="54">
        <v>19100</v>
      </c>
      <c r="H18" s="8">
        <v>0</v>
      </c>
      <c r="I18" s="8"/>
      <c r="J18" s="8"/>
      <c r="K18" s="55"/>
      <c r="L18" s="8"/>
      <c r="M18" s="8"/>
      <c r="N18" s="8"/>
      <c r="O18" s="55">
        <f>SUM(C18:N18)</f>
        <v>19100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51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51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51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650.74851999999998</v>
      </c>
      <c r="U21" s="3"/>
    </row>
    <row r="22" spans="1:25" ht="16" x14ac:dyDescent="0.2">
      <c r="A22" s="4" t="s">
        <v>24</v>
      </c>
      <c r="B22" s="51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54">
        <f>SUM(B17:B22)</f>
        <v>53900</v>
      </c>
      <c r="C23" s="54">
        <f>SUM(C17:C22)</f>
        <v>1160</v>
      </c>
      <c r="D23" s="8">
        <v>0</v>
      </c>
      <c r="E23" s="8">
        <v>0</v>
      </c>
      <c r="F23" s="8">
        <v>0</v>
      </c>
      <c r="G23" s="54">
        <f>SUM(G17:G22)</f>
        <v>19100</v>
      </c>
      <c r="H23" s="8">
        <v>0</v>
      </c>
      <c r="I23" s="8"/>
      <c r="J23" s="8"/>
      <c r="K23" s="55">
        <f>SUM(K17:K22)</f>
        <v>206151</v>
      </c>
      <c r="L23" s="8"/>
      <c r="M23" s="8"/>
      <c r="N23" s="8"/>
      <c r="O23" s="54">
        <f>SUM(O17:O22)</f>
        <v>226411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1"/>
      <c r="P24" s="3"/>
      <c r="Q24" s="3"/>
      <c r="R24" s="3"/>
      <c r="S24" s="3" t="s">
        <v>9</v>
      </c>
      <c r="T24" s="12">
        <f>N42/1000</f>
        <v>167.94752</v>
      </c>
      <c r="U24" s="13">
        <f>N43</f>
        <v>0.25808359886857674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51.823999999999998</v>
      </c>
      <c r="U25" s="14">
        <f>G43</f>
        <v>7.9637522648534034E-2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15.66</v>
      </c>
      <c r="U27" s="13">
        <f>F43</f>
        <v>2.4064595644412684E-2</v>
      </c>
    </row>
    <row r="28" spans="1:25" ht="15.75" x14ac:dyDescent="0.25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1.0999999999999999E-2</v>
      </c>
      <c r="U28" s="13">
        <f>E43</f>
        <v>1.6903611244478895E-5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91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206.15100000000001</v>
      </c>
      <c r="U30" s="46">
        <f>K43</f>
        <v>0.31679057833277902</v>
      </c>
    </row>
    <row r="31" spans="1:25" ht="16" x14ac:dyDescent="0.2">
      <c r="A31" s="4" t="s">
        <v>32</v>
      </c>
      <c r="B31" s="8">
        <v>0</v>
      </c>
      <c r="C31" s="8">
        <v>3779</v>
      </c>
      <c r="D31" s="8">
        <v>0</v>
      </c>
      <c r="E31" s="8">
        <v>0</v>
      </c>
      <c r="F31" s="8">
        <v>391</v>
      </c>
      <c r="G31" s="8">
        <v>0</v>
      </c>
      <c r="H31" s="8">
        <v>0</v>
      </c>
      <c r="I31" s="8"/>
      <c r="J31" s="8"/>
      <c r="K31" s="8"/>
      <c r="M31" s="27"/>
      <c r="N31" s="8">
        <v>6438</v>
      </c>
      <c r="O31" s="8">
        <v>10608</v>
      </c>
      <c r="P31" s="17">
        <f>O31/O$39</f>
        <v>1.811490876800519E-2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96">
        <v>24300</v>
      </c>
      <c r="C32" s="58">
        <f>C39-C37-C36-C35-C34-C31</f>
        <v>22467</v>
      </c>
      <c r="D32" s="51">
        <v>0</v>
      </c>
      <c r="E32" s="84">
        <v>11</v>
      </c>
      <c r="F32" s="51">
        <v>0</v>
      </c>
      <c r="G32" s="58">
        <v>4924</v>
      </c>
      <c r="H32" s="8">
        <v>0</v>
      </c>
      <c r="I32" s="8"/>
      <c r="J32" s="8"/>
      <c r="K32" s="8"/>
      <c r="L32" s="77">
        <v>112000</v>
      </c>
      <c r="M32" s="27"/>
      <c r="N32" s="8">
        <v>85661</v>
      </c>
      <c r="O32" s="58">
        <f>SUM(B32:N32)</f>
        <v>249363</v>
      </c>
      <c r="P32" s="17">
        <f>O32/O$39</f>
        <v>0.42582843091214917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95">
        <v>4176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6601</v>
      </c>
      <c r="O33" s="58">
        <f>SUM(B33:N33)</f>
        <v>10777</v>
      </c>
      <c r="P33" s="17">
        <f>O33/O$39</f>
        <v>1.8403504128279784E-2</v>
      </c>
      <c r="Q33" s="18" t="s">
        <v>39</v>
      </c>
      <c r="R33" s="3"/>
      <c r="S33" s="3" t="s">
        <v>35</v>
      </c>
      <c r="T33" s="12">
        <f>C42/1000</f>
        <v>209.155</v>
      </c>
      <c r="U33" s="14">
        <f>C43</f>
        <v>0.32140680089445306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180339</v>
      </c>
      <c r="D34" s="8">
        <v>0</v>
      </c>
      <c r="E34" s="8">
        <v>0</v>
      </c>
      <c r="F34" s="8">
        <v>15269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373</v>
      </c>
      <c r="O34" s="8">
        <v>195981</v>
      </c>
      <c r="P34" s="17">
        <f>O34/O$39</f>
        <v>0.33466986569215923</v>
      </c>
      <c r="Q34" s="18" t="s">
        <v>41</v>
      </c>
      <c r="R34" s="3"/>
      <c r="S34" s="3"/>
      <c r="T34" s="12">
        <f>SUM(T24:T33)</f>
        <v>650.74851999999998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95">
        <f>O35-N35-C35</f>
        <v>4096</v>
      </c>
      <c r="C35" s="58">
        <v>1000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32567</v>
      </c>
      <c r="O35" s="8">
        <v>37663</v>
      </c>
      <c r="P35" s="17">
        <f>O35/O$39</f>
        <v>6.4315781384745432E-2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95">
        <f>O36-N36-G36-C36</f>
        <v>2217</v>
      </c>
      <c r="C36" s="8">
        <v>382</v>
      </c>
      <c r="D36" s="8">
        <v>0</v>
      </c>
      <c r="E36" s="8">
        <v>0</v>
      </c>
      <c r="F36" s="8">
        <v>0</v>
      </c>
      <c r="G36" s="58">
        <v>27800</v>
      </c>
      <c r="H36" s="8">
        <v>0</v>
      </c>
      <c r="I36" s="8"/>
      <c r="J36" s="8"/>
      <c r="K36" s="8"/>
      <c r="L36" s="8"/>
      <c r="M36" s="27"/>
      <c r="N36" s="8">
        <v>34854</v>
      </c>
      <c r="O36" s="8">
        <v>65253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95">
        <f>11714-B36</f>
        <v>9497</v>
      </c>
      <c r="C37" s="8">
        <v>28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3294</v>
      </c>
      <c r="O37" s="58">
        <f>SUM(B37:N37)</f>
        <v>12819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3131</v>
      </c>
      <c r="O38" s="8">
        <v>3131</v>
      </c>
      <c r="P38" s="18">
        <f>SUM(P31:P35)</f>
        <v>0.86133249088533881</v>
      </c>
      <c r="Q38" s="18"/>
      <c r="R38" s="3"/>
      <c r="S38" s="7" t="s">
        <v>47</v>
      </c>
      <c r="T38" s="19">
        <f>O45/1000</f>
        <v>23.447520000000001</v>
      </c>
      <c r="U38" s="7"/>
      <c r="W38" s="8"/>
      <c r="X38" s="8"/>
      <c r="Y38" s="8"/>
    </row>
    <row r="39" spans="1:48" ht="16" x14ac:dyDescent="0.2">
      <c r="A39" s="4" t="s">
        <v>15</v>
      </c>
      <c r="B39" s="95">
        <f>SUM(B31:B38)</f>
        <v>44286</v>
      </c>
      <c r="C39" s="54">
        <v>207995</v>
      </c>
      <c r="D39" s="51">
        <v>0</v>
      </c>
      <c r="E39" s="84">
        <f>SUM(E31:E38)</f>
        <v>11</v>
      </c>
      <c r="F39" s="51">
        <f>SUM(F31:F38)</f>
        <v>15660</v>
      </c>
      <c r="G39" s="58">
        <f>SUM(G31:G38)</f>
        <v>32724</v>
      </c>
      <c r="H39" s="8">
        <v>0</v>
      </c>
      <c r="I39" s="8"/>
      <c r="J39" s="8"/>
      <c r="K39" s="8"/>
      <c r="L39" s="77">
        <f>SUM(L32:L38)</f>
        <v>112000</v>
      </c>
      <c r="M39" s="27"/>
      <c r="N39" s="8">
        <v>172919</v>
      </c>
      <c r="O39" s="63">
        <f>SUM(O31:O38)</f>
        <v>585595</v>
      </c>
      <c r="P39" s="3"/>
      <c r="Q39" s="3"/>
      <c r="R39" s="3"/>
      <c r="S39" s="7" t="s">
        <v>48</v>
      </c>
      <c r="T39" s="20">
        <f>O41/1000</f>
        <v>81.203000000000003</v>
      </c>
      <c r="U39" s="13">
        <f>P41</f>
        <v>0.13866750911466116</v>
      </c>
      <c r="W39" s="8"/>
      <c r="X39" s="8"/>
      <c r="Y39" s="8"/>
    </row>
    <row r="40" spans="1:48" ht="16" x14ac:dyDescent="0.2">
      <c r="B40" s="9"/>
      <c r="S40" s="7" t="s">
        <v>49</v>
      </c>
      <c r="T40" s="20">
        <f>O35/1000</f>
        <v>37.662999999999997</v>
      </c>
      <c r="U40" s="14">
        <f>P35</f>
        <v>6.4315781384745432E-2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11714</v>
      </c>
      <c r="C41" s="22">
        <f t="shared" ref="C41:O41" si="0">C38+C37+C36</f>
        <v>410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27800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41279</v>
      </c>
      <c r="O41" s="22">
        <f t="shared" si="0"/>
        <v>81203</v>
      </c>
      <c r="P41" s="17">
        <f>O41/O$39</f>
        <v>0.13866750911466116</v>
      </c>
      <c r="Q41" s="17" t="s">
        <v>51</v>
      </c>
      <c r="R41" s="7"/>
      <c r="S41" s="7" t="s">
        <v>52</v>
      </c>
      <c r="T41" s="20">
        <f>O33/1000</f>
        <v>10.776999999999999</v>
      </c>
      <c r="U41" s="13">
        <f>P33</f>
        <v>1.8403504128279784E-2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209155</v>
      </c>
      <c r="D42" s="24">
        <f t="shared" ref="D42:M42" si="1">D39+D23+D10</f>
        <v>0</v>
      </c>
      <c r="E42" s="24">
        <f t="shared" si="1"/>
        <v>11</v>
      </c>
      <c r="F42" s="24">
        <f t="shared" si="1"/>
        <v>15660</v>
      </c>
      <c r="G42" s="24">
        <f t="shared" si="1"/>
        <v>51824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206151</v>
      </c>
      <c r="L42" s="22">
        <v>0</v>
      </c>
      <c r="M42" s="24">
        <f t="shared" si="1"/>
        <v>0</v>
      </c>
      <c r="N42" s="24">
        <f>N39+N23-B6+N45</f>
        <v>167947.51999999999</v>
      </c>
      <c r="O42" s="25">
        <f>SUM(C42:N42)</f>
        <v>650748.52</v>
      </c>
      <c r="P42" s="7"/>
      <c r="Q42" s="7"/>
      <c r="R42" s="7"/>
      <c r="S42" s="7" t="s">
        <v>34</v>
      </c>
      <c r="T42" s="20">
        <f>O31/1000</f>
        <v>10.608000000000001</v>
      </c>
      <c r="U42" s="13">
        <f>P31</f>
        <v>1.811490876800519E-2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0.32140680089445306</v>
      </c>
      <c r="D43" s="17">
        <f t="shared" si="2"/>
        <v>0</v>
      </c>
      <c r="E43" s="17">
        <f t="shared" si="2"/>
        <v>1.6903611244478895E-5</v>
      </c>
      <c r="F43" s="17">
        <f t="shared" si="2"/>
        <v>2.4064595644412684E-2</v>
      </c>
      <c r="G43" s="17">
        <f t="shared" si="2"/>
        <v>7.9637522648534034E-2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0.31679057833277902</v>
      </c>
      <c r="L43" s="17">
        <f t="shared" si="2"/>
        <v>0</v>
      </c>
      <c r="M43" s="17">
        <f t="shared" si="2"/>
        <v>0</v>
      </c>
      <c r="N43" s="17">
        <f t="shared" si="2"/>
        <v>0.25808359886857674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249.363</v>
      </c>
      <c r="U43" s="14">
        <f>P32</f>
        <v>0.42582843091214917</v>
      </c>
      <c r="W43" s="8"/>
      <c r="X43" s="8"/>
      <c r="Y43" s="8"/>
    </row>
    <row r="44" spans="1:48" x14ac:dyDescent="0.2">
      <c r="A44" s="6"/>
      <c r="B44" s="6">
        <f>SUM(B32:B38)</f>
        <v>44286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195.98099999999999</v>
      </c>
      <c r="U44" s="14">
        <f>P34</f>
        <v>0.33466986569215923</v>
      </c>
    </row>
    <row r="45" spans="1:48" ht="16" x14ac:dyDescent="0.2">
      <c r="A45" s="6" t="s">
        <v>57</v>
      </c>
      <c r="B45" s="6">
        <f>B23-B39</f>
        <v>9614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13833.52</v>
      </c>
      <c r="O45" s="25">
        <f>B45+N45</f>
        <v>23447.52</v>
      </c>
      <c r="P45" s="7"/>
      <c r="Q45" s="7"/>
      <c r="R45" s="7"/>
      <c r="S45" s="7" t="s">
        <v>58</v>
      </c>
      <c r="T45" s="20">
        <f>SUM(T39:T44)</f>
        <v>585.59500000000003</v>
      </c>
      <c r="U45" s="13">
        <f>SUM(U39:U44)</f>
        <v>1</v>
      </c>
    </row>
    <row r="46" spans="1:48" ht="16" x14ac:dyDescent="0.2">
      <c r="A46" s="6"/>
      <c r="B46" s="52">
        <f>B45/B23</f>
        <v>0.17836734693877551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4"/>
      <c r="B47" s="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7"/>
      <c r="O47" s="15"/>
      <c r="P47" s="15"/>
      <c r="Q47" s="27"/>
      <c r="R47" s="4"/>
      <c r="S47" s="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27"/>
      <c r="AH47" s="4"/>
      <c r="AI47" s="4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6" x14ac:dyDescent="0.2">
      <c r="A48" s="27"/>
      <c r="B48" s="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7"/>
      <c r="O48" s="15"/>
      <c r="P48" s="15"/>
      <c r="Q48" s="27"/>
      <c r="R48" s="27"/>
      <c r="S48" s="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27"/>
      <c r="AH48" s="27"/>
      <c r="AI48" s="4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6" x14ac:dyDescent="0.2">
      <c r="A49" s="61"/>
      <c r="B49" s="6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7"/>
      <c r="O49" s="15"/>
      <c r="P49" s="15"/>
      <c r="Q49" s="27"/>
      <c r="R49" s="27"/>
      <c r="S49" s="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7"/>
      <c r="AH49" s="27"/>
      <c r="AI49" s="4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6" x14ac:dyDescent="0.2">
      <c r="A50" s="27"/>
      <c r="B50" s="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7"/>
      <c r="O50" s="15"/>
      <c r="P50" s="15"/>
      <c r="Q50" s="27"/>
      <c r="R50" s="27"/>
      <c r="S50" s="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27"/>
      <c r="AH50" s="27"/>
      <c r="AI50" s="4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6" x14ac:dyDescent="0.2">
      <c r="A51" s="3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5"/>
      <c r="Q51" s="27"/>
      <c r="R51" s="27"/>
      <c r="S51" s="4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27"/>
      <c r="AH51" s="27"/>
      <c r="AI51" s="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6" x14ac:dyDescent="0.2">
      <c r="A52" s="37"/>
      <c r="B52" s="8"/>
      <c r="C52" s="8"/>
      <c r="D52" s="8"/>
      <c r="E52" s="63"/>
      <c r="F52" s="8"/>
      <c r="G52" s="8"/>
      <c r="H52" s="70"/>
      <c r="I52" s="8"/>
      <c r="J52" s="8"/>
      <c r="K52" s="8"/>
      <c r="L52" s="8"/>
      <c r="M52" s="8"/>
      <c r="N52" s="8"/>
      <c r="O52" s="8"/>
      <c r="P52" s="15"/>
      <c r="Q52" s="27"/>
      <c r="R52" s="27"/>
      <c r="S52" s="4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27"/>
      <c r="AH52" s="27"/>
      <c r="AI52" s="4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6" x14ac:dyDescent="0.2">
      <c r="A53" s="27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7"/>
      <c r="O53" s="15"/>
      <c r="P53" s="15"/>
      <c r="Q53" s="27"/>
      <c r="R53" s="27"/>
      <c r="S53" s="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27"/>
      <c r="AH53" s="27"/>
      <c r="AI53" s="4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6" x14ac:dyDescent="0.2">
      <c r="A54" s="27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7"/>
      <c r="O54" s="15"/>
      <c r="P54" s="15"/>
      <c r="Q54" s="27"/>
      <c r="R54" s="27"/>
      <c r="S54" s="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27"/>
      <c r="AH54" s="27"/>
      <c r="AI54" s="4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6" x14ac:dyDescent="0.2">
      <c r="A55" s="27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7"/>
      <c r="O55" s="15"/>
      <c r="P55" s="15"/>
      <c r="Q55" s="27"/>
      <c r="R55" s="27"/>
      <c r="S55" s="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27"/>
      <c r="AH55" s="27"/>
      <c r="AI55" s="4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6" x14ac:dyDescent="0.2">
      <c r="A56" s="27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7"/>
      <c r="O56" s="15"/>
      <c r="P56" s="15"/>
      <c r="Q56" s="27"/>
      <c r="R56" s="27"/>
      <c r="S56" s="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27"/>
      <c r="AH56" s="27"/>
      <c r="AI56" s="4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6" x14ac:dyDescent="0.2">
      <c r="A57" s="80"/>
      <c r="B57" s="80"/>
      <c r="C57" s="79"/>
      <c r="D57" s="6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4"/>
      <c r="B58" s="80"/>
      <c r="C58" s="81"/>
      <c r="D58" s="6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9"/>
      <c r="B59" s="80"/>
      <c r="C59" s="81"/>
      <c r="D59" s="6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79"/>
      <c r="B60" s="80"/>
      <c r="C60" s="81"/>
      <c r="D60" s="6"/>
      <c r="E60" s="6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9"/>
      <c r="B61" s="80"/>
      <c r="C61" s="81"/>
      <c r="D61" s="6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9"/>
      <c r="B62" s="80"/>
      <c r="C62" s="81"/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9"/>
      <c r="B63" s="80"/>
      <c r="C63" s="81"/>
      <c r="D63" s="6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20.6640625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64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v>117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966578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63">
        <f>SUM(B4:B9)</f>
        <v>966695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55">
        <f>B39+6000</f>
        <v>96300</v>
      </c>
      <c r="C18" s="55">
        <v>1600</v>
      </c>
      <c r="D18" s="8">
        <v>0</v>
      </c>
      <c r="E18" s="8">
        <v>0</v>
      </c>
      <c r="F18" s="8">
        <v>0</v>
      </c>
      <c r="G18" s="55">
        <f>O18-C18</f>
        <v>94700</v>
      </c>
      <c r="H18" s="8">
        <v>0</v>
      </c>
      <c r="I18" s="8"/>
      <c r="J18" s="8"/>
      <c r="K18" s="8"/>
      <c r="L18" s="8"/>
      <c r="M18" s="8"/>
      <c r="N18" s="8"/>
      <c r="O18" s="55">
        <f>B18</f>
        <v>96300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545.93276000000003</v>
      </c>
      <c r="U21" s="3"/>
    </row>
    <row r="22" spans="1:25" ht="16" x14ac:dyDescent="0.2">
      <c r="A22" s="4" t="s">
        <v>24</v>
      </c>
      <c r="B22" s="70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55">
        <f>SUM(B17:B22)</f>
        <v>96300</v>
      </c>
      <c r="C23" s="55">
        <f>SUM(C17:C22)</f>
        <v>1600</v>
      </c>
      <c r="D23" s="8">
        <v>0</v>
      </c>
      <c r="E23" s="8">
        <v>0</v>
      </c>
      <c r="F23" s="8">
        <v>0</v>
      </c>
      <c r="G23" s="55">
        <f>SUM(G17:G22)</f>
        <v>94700</v>
      </c>
      <c r="H23" s="8">
        <v>0</v>
      </c>
      <c r="I23" s="8"/>
      <c r="J23" s="8"/>
      <c r="K23" s="8"/>
      <c r="L23" s="8"/>
      <c r="M23" s="8"/>
      <c r="N23" s="8"/>
      <c r="O23" s="55">
        <f>SUM(O17:O21)</f>
        <v>96300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177.08976000000001</v>
      </c>
      <c r="U24" s="13">
        <f>N43</f>
        <v>0.32438016725722779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151.15299999999999</v>
      </c>
      <c r="U25" s="14">
        <f>G43</f>
        <v>0.27687109306281599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15.952999999999999</v>
      </c>
      <c r="U27" s="13">
        <f>F43</f>
        <v>2.9221547356857645E-2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0</v>
      </c>
      <c r="U28" s="13">
        <f>E43</f>
        <v>0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4757</v>
      </c>
      <c r="D31" s="8">
        <v>0</v>
      </c>
      <c r="E31" s="8">
        <v>0</v>
      </c>
      <c r="F31" s="8">
        <v>470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11677</v>
      </c>
      <c r="O31" s="8">
        <v>16904</v>
      </c>
      <c r="P31" s="17">
        <f>O31/O$39</f>
        <v>3.2087165323690478E-2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8">
        <v>57071</v>
      </c>
      <c r="C32" s="58">
        <v>14925</v>
      </c>
      <c r="D32" s="8">
        <v>0</v>
      </c>
      <c r="E32" s="8">
        <v>0</v>
      </c>
      <c r="F32" s="8">
        <v>0</v>
      </c>
      <c r="G32" s="58">
        <f>O32-N32-C32-B32</f>
        <v>12657</v>
      </c>
      <c r="H32" s="8">
        <v>0</v>
      </c>
      <c r="I32" s="8"/>
      <c r="J32" s="8"/>
      <c r="K32" s="8"/>
      <c r="L32" s="8"/>
      <c r="M32" s="27"/>
      <c r="N32" s="8">
        <v>31702</v>
      </c>
      <c r="O32" s="8">
        <v>116355</v>
      </c>
      <c r="P32" s="17">
        <f>O32/O$39</f>
        <v>0.22086500953845278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95">
        <v>8200</v>
      </c>
      <c r="C33" s="8">
        <v>94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20389</v>
      </c>
      <c r="O33" s="63">
        <f>SUM(B33:N33)</f>
        <v>28683</v>
      </c>
      <c r="P33" s="17">
        <f>O33/O$39</f>
        <v>5.4446057914068507E-2</v>
      </c>
      <c r="Q33" s="18" t="s">
        <v>39</v>
      </c>
      <c r="R33" s="3"/>
      <c r="S33" s="3" t="s">
        <v>35</v>
      </c>
      <c r="T33" s="12">
        <f>C42/1000</f>
        <v>201.73699999999999</v>
      </c>
      <c r="U33" s="14">
        <f>C43</f>
        <v>0.36952719232309855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175090</v>
      </c>
      <c r="D34" s="8">
        <v>0</v>
      </c>
      <c r="E34" s="8">
        <v>0</v>
      </c>
      <c r="F34" s="8">
        <v>15483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310</v>
      </c>
      <c r="O34" s="8">
        <v>190883</v>
      </c>
      <c r="P34" s="17">
        <f>O34/O$39</f>
        <v>0.36233402617617189</v>
      </c>
      <c r="Q34" s="18" t="s">
        <v>41</v>
      </c>
      <c r="R34" s="3"/>
      <c r="S34" s="3"/>
      <c r="T34" s="12">
        <f>SUM(T24:T33)</f>
        <v>545.93275999999992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95">
        <f>B39-B37-B36-B33-B32</f>
        <v>3429</v>
      </c>
      <c r="C35" s="8">
        <v>3678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28146</v>
      </c>
      <c r="O35" s="63">
        <f>SUM(B35:N35)</f>
        <v>35253</v>
      </c>
      <c r="P35" s="17">
        <f>O35/O$39</f>
        <v>6.6917229008285645E-2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55">
        <v>3800</v>
      </c>
      <c r="C36" s="8">
        <v>1536</v>
      </c>
      <c r="D36" s="8">
        <v>0</v>
      </c>
      <c r="E36" s="8">
        <v>0</v>
      </c>
      <c r="F36" s="8">
        <v>0</v>
      </c>
      <c r="G36" s="8">
        <v>43796</v>
      </c>
      <c r="H36" s="8">
        <v>0</v>
      </c>
      <c r="I36" s="8"/>
      <c r="J36" s="8"/>
      <c r="K36" s="8"/>
      <c r="L36" s="8"/>
      <c r="M36" s="27"/>
      <c r="N36" s="8">
        <v>50540</v>
      </c>
      <c r="O36" s="63">
        <f>SUM(B36:N36)</f>
        <v>99672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55">
        <v>17800</v>
      </c>
      <c r="C37" s="8">
        <v>57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5243</v>
      </c>
      <c r="O37" s="63">
        <f>SUM(B37:N37)</f>
        <v>23100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15965</v>
      </c>
      <c r="O38" s="8">
        <v>15965</v>
      </c>
      <c r="P38" s="18">
        <f>SUM(P31:P35)</f>
        <v>0.73664948796066942</v>
      </c>
      <c r="Q38" s="18"/>
      <c r="R38" s="3"/>
      <c r="S38" s="7" t="s">
        <v>47</v>
      </c>
      <c r="T38" s="19">
        <f>O45/1000</f>
        <v>19.117760000000001</v>
      </c>
      <c r="U38" s="7"/>
      <c r="W38" s="8"/>
      <c r="X38" s="8"/>
      <c r="Y38" s="8"/>
    </row>
    <row r="39" spans="1:48" ht="16" x14ac:dyDescent="0.2">
      <c r="A39" s="4" t="s">
        <v>15</v>
      </c>
      <c r="B39" s="55">
        <v>90300</v>
      </c>
      <c r="C39" s="58">
        <f>SUM(C31:C38)</f>
        <v>200137</v>
      </c>
      <c r="D39" s="8">
        <v>0</v>
      </c>
      <c r="E39" s="8">
        <v>0</v>
      </c>
      <c r="F39" s="8">
        <f>SUM(F31:F38)</f>
        <v>15953</v>
      </c>
      <c r="G39" s="58">
        <f>SUM(G31:G38)</f>
        <v>56453</v>
      </c>
      <c r="H39" s="8">
        <v>0</v>
      </c>
      <c r="I39" s="8"/>
      <c r="J39" s="8"/>
      <c r="K39" s="8"/>
      <c r="L39" s="8"/>
      <c r="M39" s="27"/>
      <c r="N39" s="8">
        <v>163972</v>
      </c>
      <c r="O39" s="8">
        <f>SUM(O31:O38)</f>
        <v>526815</v>
      </c>
      <c r="P39" s="3"/>
      <c r="Q39" s="3"/>
      <c r="R39" s="3"/>
      <c r="S39" s="7" t="s">
        <v>48</v>
      </c>
      <c r="T39" s="20">
        <f>O41/1000</f>
        <v>138.73699999999999</v>
      </c>
      <c r="U39" s="13">
        <f>P41</f>
        <v>0.26335051203933069</v>
      </c>
      <c r="W39" s="8"/>
      <c r="X39" s="8"/>
      <c r="Y39" s="8"/>
    </row>
    <row r="40" spans="1:48" ht="16" x14ac:dyDescent="0.2">
      <c r="B40" s="9"/>
      <c r="E40" s="9">
        <f>O39-N39-F39-B39</f>
        <v>256590</v>
      </c>
      <c r="S40" s="7" t="s">
        <v>49</v>
      </c>
      <c r="T40" s="20">
        <f>O35/1000</f>
        <v>35.253</v>
      </c>
      <c r="U40" s="14">
        <f>P35</f>
        <v>6.6917229008285645E-2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21600</v>
      </c>
      <c r="C41" s="22">
        <f t="shared" ref="C41:O41" si="0">C38+C37+C36</f>
        <v>1593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43796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71748</v>
      </c>
      <c r="O41" s="22">
        <f t="shared" si="0"/>
        <v>138737</v>
      </c>
      <c r="P41" s="17">
        <f>O41/O$39</f>
        <v>0.26335051203933069</v>
      </c>
      <c r="Q41" s="17" t="s">
        <v>51</v>
      </c>
      <c r="R41" s="7"/>
      <c r="S41" s="7" t="s">
        <v>52</v>
      </c>
      <c r="T41" s="20">
        <f>O33/1000</f>
        <v>28.683</v>
      </c>
      <c r="U41" s="13">
        <f>P33</f>
        <v>5.4446057914068507E-2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201737</v>
      </c>
      <c r="D42" s="24">
        <f t="shared" ref="D42:M42" si="1">D39+D23+D10</f>
        <v>0</v>
      </c>
      <c r="E42" s="24">
        <f t="shared" si="1"/>
        <v>0</v>
      </c>
      <c r="F42" s="24">
        <f t="shared" si="1"/>
        <v>15953</v>
      </c>
      <c r="G42" s="24">
        <f t="shared" si="1"/>
        <v>151153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177089.76</v>
      </c>
      <c r="O42" s="25">
        <f>SUM(C42:N42)</f>
        <v>545932.76</v>
      </c>
      <c r="P42" s="7"/>
      <c r="Q42" s="7"/>
      <c r="R42" s="7"/>
      <c r="S42" s="7" t="s">
        <v>34</v>
      </c>
      <c r="T42" s="20">
        <f>O31/1000</f>
        <v>16.904</v>
      </c>
      <c r="U42" s="13">
        <f>P31</f>
        <v>3.2087165323690478E-2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0.36952719232309855</v>
      </c>
      <c r="D43" s="17">
        <f t="shared" si="2"/>
        <v>0</v>
      </c>
      <c r="E43" s="17">
        <f t="shared" si="2"/>
        <v>0</v>
      </c>
      <c r="F43" s="17">
        <f t="shared" si="2"/>
        <v>2.9221547356857645E-2</v>
      </c>
      <c r="G43" s="17">
        <f t="shared" si="2"/>
        <v>0.27687109306281599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0.32438016725722779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116.355</v>
      </c>
      <c r="U43" s="14">
        <f>P32</f>
        <v>0.22086500953845278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190.88300000000001</v>
      </c>
      <c r="U44" s="14">
        <f>P34</f>
        <v>0.36233402617617189</v>
      </c>
    </row>
    <row r="45" spans="1:48" ht="16" x14ac:dyDescent="0.2">
      <c r="A45" s="6" t="s">
        <v>57</v>
      </c>
      <c r="B45" s="6">
        <f>B23-B39</f>
        <v>6000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13117.76</v>
      </c>
      <c r="O45" s="25">
        <f>B45+N45</f>
        <v>19117.760000000002</v>
      </c>
      <c r="P45" s="7"/>
      <c r="Q45" s="7"/>
      <c r="R45" s="7"/>
      <c r="S45" s="7" t="s">
        <v>58</v>
      </c>
      <c r="T45" s="20">
        <f>SUM(T39:T44)</f>
        <v>526.81500000000005</v>
      </c>
      <c r="U45" s="13">
        <f>SUM(U39:U44)</f>
        <v>1</v>
      </c>
    </row>
    <row r="46" spans="1:48" ht="16" x14ac:dyDescent="0.2">
      <c r="A46" s="6"/>
      <c r="B46" s="52">
        <f>B45/B23</f>
        <v>6.2305295950155763E-2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1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80"/>
      <c r="B49" s="80"/>
      <c r="C49" s="79"/>
      <c r="D49" s="6"/>
      <c r="E49" s="28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"/>
      <c r="B50" s="80"/>
      <c r="C50" s="81"/>
      <c r="D50" s="6"/>
      <c r="E50" s="28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1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79"/>
      <c r="B51" s="80"/>
      <c r="C51" s="81"/>
      <c r="D51" s="6"/>
      <c r="E51" s="2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1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79"/>
      <c r="B52" s="80"/>
      <c r="C52" s="81"/>
      <c r="D52" s="6"/>
      <c r="E52" s="6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1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79"/>
      <c r="B53" s="80"/>
      <c r="C53" s="81"/>
      <c r="D53" s="6"/>
      <c r="E53" s="7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1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79"/>
      <c r="B54" s="80"/>
      <c r="C54" s="81"/>
      <c r="D54" s="6"/>
      <c r="E54" s="6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1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79"/>
      <c r="B55" s="80"/>
      <c r="C55" s="81"/>
      <c r="D55" s="6"/>
      <c r="E55" s="33"/>
      <c r="F55" s="41"/>
      <c r="G55" s="41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1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38"/>
      <c r="E56" s="40"/>
      <c r="F56" s="41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1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6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6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11.33203125" style="2" customWidth="1"/>
    <col min="13" max="13" width="11.6640625" style="2" customWidth="1"/>
    <col min="14" max="14" width="8.83203125" style="2"/>
    <col min="15" max="15" width="10.83203125" style="2" bestFit="1" customWidth="1"/>
    <col min="16" max="16" width="8.6640625" style="2" customWidth="1"/>
    <col min="17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65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270*0.95</f>
        <v>256.5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5662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51"/>
      <c r="U9" s="51"/>
      <c r="V9" s="8"/>
      <c r="W9" s="8"/>
      <c r="X9" s="8"/>
      <c r="Y9" s="51"/>
      <c r="Z9" s="8"/>
      <c r="AA9" s="8"/>
      <c r="AB9" s="8"/>
      <c r="AC9" s="8"/>
      <c r="AD9" s="8"/>
      <c r="AE9" s="8"/>
      <c r="AF9" s="8"/>
      <c r="AG9" s="51"/>
      <c r="AH9" s="27"/>
      <c r="AI9" s="27"/>
    </row>
    <row r="10" spans="1:35" ht="16" x14ac:dyDescent="0.2">
      <c r="A10" s="4" t="s">
        <v>15</v>
      </c>
      <c r="B10" s="63">
        <f>SUM(B4:B9)</f>
        <v>5918.5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51"/>
      <c r="U10" s="51"/>
      <c r="V10" s="8"/>
      <c r="W10" s="8"/>
      <c r="X10" s="8"/>
      <c r="Y10" s="51"/>
      <c r="Z10" s="8"/>
      <c r="AA10" s="8"/>
      <c r="AB10" s="8"/>
      <c r="AC10" s="8"/>
      <c r="AD10" s="8"/>
      <c r="AE10" s="8"/>
      <c r="AF10" s="8"/>
      <c r="AG10" s="51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 t="s">
        <v>79</v>
      </c>
      <c r="M15" s="6" t="s">
        <v>80</v>
      </c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57">
        <f>63300*(13972/(13972+39218))+308</f>
        <v>16935.704455724761</v>
      </c>
      <c r="C18" s="54">
        <v>601</v>
      </c>
      <c r="D18" s="8">
        <v>0</v>
      </c>
      <c r="E18" s="8">
        <v>0</v>
      </c>
      <c r="F18" s="8">
        <v>0</v>
      </c>
      <c r="G18" s="54">
        <v>17130</v>
      </c>
      <c r="H18" s="8">
        <v>0</v>
      </c>
      <c r="I18" s="8"/>
      <c r="J18" s="8"/>
      <c r="K18" s="8"/>
      <c r="L18" s="55"/>
      <c r="M18" s="55"/>
      <c r="N18" s="55">
        <f>308*1.015</f>
        <v>312.61999999999995</v>
      </c>
      <c r="O18" s="54">
        <f>SUM(C18:N18)</f>
        <v>18043.62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70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O19" s="70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106.39386</v>
      </c>
      <c r="U21" s="3"/>
    </row>
    <row r="22" spans="1:25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54">
        <f>SUM(B17:B22)</f>
        <v>16935.704455724761</v>
      </c>
      <c r="C23" s="54">
        <f>SUM(C17:C22)</f>
        <v>601</v>
      </c>
      <c r="D23" s="8">
        <v>0</v>
      </c>
      <c r="E23" s="8">
        <v>0</v>
      </c>
      <c r="F23" s="8">
        <v>0</v>
      </c>
      <c r="G23" s="54">
        <f>SUM(G17:G22)</f>
        <v>17130</v>
      </c>
      <c r="H23" s="8">
        <v>0</v>
      </c>
      <c r="I23" s="8"/>
      <c r="J23" s="8"/>
      <c r="K23" s="8"/>
      <c r="L23" s="55"/>
      <c r="M23" s="55"/>
      <c r="N23" s="55">
        <f>SUM(N18:N22)</f>
        <v>312.61999999999995</v>
      </c>
      <c r="O23" s="54">
        <f>SUM(C23:N23)</f>
        <v>18043.62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45.67586</v>
      </c>
      <c r="U24" s="13">
        <f>N43</f>
        <v>0.42930917254059586</v>
      </c>
    </row>
    <row r="25" spans="1:25" ht="16" x14ac:dyDescent="0.2">
      <c r="B25" s="53">
        <f>B23/O23</f>
        <v>0.93859793410217918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32.887999999999998</v>
      </c>
      <c r="U25" s="14">
        <f>G43</f>
        <v>0.30911558242176757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1.95</v>
      </c>
      <c r="U27" s="13">
        <f>F43</f>
        <v>1.8328125326029152E-2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0</v>
      </c>
      <c r="U28" s="13">
        <f>E43</f>
        <v>0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>N39-SUM(N31:N38)</f>
        <v>0</v>
      </c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2183</v>
      </c>
      <c r="D31" s="8">
        <v>0</v>
      </c>
      <c r="E31" s="8">
        <v>0</v>
      </c>
      <c r="F31" s="8">
        <v>218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2353</v>
      </c>
      <c r="O31" s="65">
        <v>4754</v>
      </c>
      <c r="P31" s="17">
        <f>O31/O$39</f>
        <v>4.8038155674342935E-2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67">
        <f>B39-SUM(B33:B37)</f>
        <v>4091.8552359466066</v>
      </c>
      <c r="C32" s="8">
        <v>258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7913</v>
      </c>
      <c r="O32" s="90">
        <f>SUM(B32:N32)</f>
        <v>12262.855235946607</v>
      </c>
      <c r="P32" s="17">
        <f>O32/O$39</f>
        <v>0.12391353572493363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66">
        <v>2940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4195</v>
      </c>
      <c r="O33" s="90">
        <f>SUM(B33:N33)</f>
        <v>7135</v>
      </c>
      <c r="P33" s="17">
        <f>O33/O$39</f>
        <v>7.2097652658064129E-2</v>
      </c>
      <c r="Q33" s="18" t="s">
        <v>39</v>
      </c>
      <c r="R33" s="3"/>
      <c r="S33" s="3" t="s">
        <v>35</v>
      </c>
      <c r="T33" s="12">
        <f>C42/1000</f>
        <v>25.88</v>
      </c>
      <c r="U33" s="14">
        <f>C43</f>
        <v>0.24324711971160742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22223</v>
      </c>
      <c r="D34" s="8">
        <v>0</v>
      </c>
      <c r="E34" s="8">
        <v>0</v>
      </c>
      <c r="F34" s="8">
        <v>1732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52</v>
      </c>
      <c r="O34" s="8">
        <v>24008</v>
      </c>
      <c r="P34" s="17">
        <f>O34/O$39</f>
        <v>0.24259571759142307</v>
      </c>
      <c r="Q34" s="18" t="s">
        <v>41</v>
      </c>
      <c r="R34" s="3"/>
      <c r="S34" s="3"/>
      <c r="T34" s="12">
        <f>SUM(T24:T33)</f>
        <v>106.39386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66">
        <v>2430</v>
      </c>
      <c r="C35" s="8">
        <v>159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4939</v>
      </c>
      <c r="O35" s="90">
        <f>SUM(B35:N35)</f>
        <v>7528</v>
      </c>
      <c r="P35" s="17">
        <f>O35/O$39</f>
        <v>7.6068833806574171E-2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66">
        <f>800*(13972/(13972+39218))</f>
        <v>210.14476405339352</v>
      </c>
      <c r="C36" s="8">
        <v>419</v>
      </c>
      <c r="D36" s="8">
        <v>0</v>
      </c>
      <c r="E36" s="8">
        <v>0</v>
      </c>
      <c r="F36" s="8">
        <v>0</v>
      </c>
      <c r="G36" s="8">
        <v>15758</v>
      </c>
      <c r="H36" s="8">
        <v>0</v>
      </c>
      <c r="I36" s="8"/>
      <c r="J36" s="8"/>
      <c r="K36" s="8"/>
      <c r="L36" s="8"/>
      <c r="M36" s="27"/>
      <c r="N36" s="58">
        <f>O36-G36-C36-B36</f>
        <v>18441.855235946605</v>
      </c>
      <c r="O36" s="8">
        <v>34829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64" t="s">
        <v>45</v>
      </c>
      <c r="B37" s="67">
        <f>27900-23600</f>
        <v>4300</v>
      </c>
      <c r="C37" s="8">
        <v>38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837</v>
      </c>
      <c r="O37" s="68">
        <f>SUM(B37:N37)</f>
        <v>5175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58">
        <f>N39-N37-N36-N35-N34-N33-N32-N31</f>
        <v>3272.1447640533952</v>
      </c>
      <c r="O38" s="58">
        <f>SUM(N38)</f>
        <v>3272.1447640533952</v>
      </c>
      <c r="P38" s="18">
        <f>SUM(P31:P35)</f>
        <v>0.5627138954553379</v>
      </c>
      <c r="Q38" s="18"/>
      <c r="R38" s="3"/>
      <c r="S38" s="7" t="s">
        <v>47</v>
      </c>
      <c r="T38" s="19">
        <f>O45/1000</f>
        <v>6.323944455724761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13972</v>
      </c>
      <c r="C39" s="8">
        <v>25279</v>
      </c>
      <c r="D39" s="8">
        <v>0</v>
      </c>
      <c r="E39" s="8">
        <v>0</v>
      </c>
      <c r="F39" s="8">
        <f>SUM(F31:F38)</f>
        <v>1950</v>
      </c>
      <c r="G39" s="8">
        <v>15758</v>
      </c>
      <c r="H39" s="8">
        <v>0</v>
      </c>
      <c r="I39" s="8"/>
      <c r="J39" s="8"/>
      <c r="K39" s="8"/>
      <c r="L39" s="8"/>
      <c r="M39" s="27"/>
      <c r="N39" s="8">
        <v>42003</v>
      </c>
      <c r="O39" s="8">
        <v>98963</v>
      </c>
      <c r="P39" s="3"/>
      <c r="Q39" s="3"/>
      <c r="R39" s="3"/>
      <c r="S39" s="7" t="s">
        <v>48</v>
      </c>
      <c r="T39" s="20">
        <f>O41/1000</f>
        <v>43.276144764053399</v>
      </c>
      <c r="U39" s="13">
        <f>P41</f>
        <v>0.43729620933129953</v>
      </c>
      <c r="W39" s="8"/>
      <c r="X39" s="8"/>
      <c r="Y39" s="8"/>
    </row>
    <row r="40" spans="1:48" ht="16" x14ac:dyDescent="0.2">
      <c r="B40" s="9"/>
      <c r="S40" s="7" t="s">
        <v>49</v>
      </c>
      <c r="T40" s="20">
        <f>O35/1000</f>
        <v>7.5279999999999996</v>
      </c>
      <c r="U40" s="14">
        <f>P35</f>
        <v>7.6068833806574171E-2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4510.1447640533934</v>
      </c>
      <c r="C41" s="22">
        <f t="shared" ref="C41:O41" si="0">C38+C37+C36</f>
        <v>457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15758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22551</v>
      </c>
      <c r="O41" s="22">
        <f t="shared" si="0"/>
        <v>43276.144764053395</v>
      </c>
      <c r="P41" s="17">
        <f>O41/O$39</f>
        <v>0.43729620933129953</v>
      </c>
      <c r="Q41" s="17" t="s">
        <v>51</v>
      </c>
      <c r="R41" s="7"/>
      <c r="S41" s="7" t="s">
        <v>52</v>
      </c>
      <c r="T41" s="20">
        <f>O33/1000</f>
        <v>7.1349999999999998</v>
      </c>
      <c r="U41" s="13">
        <f>P33</f>
        <v>7.2097652658064129E-2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25880</v>
      </c>
      <c r="D42" s="24">
        <f t="shared" ref="D42:M42" si="1">D39+D23+D10</f>
        <v>0</v>
      </c>
      <c r="E42" s="24">
        <f t="shared" si="1"/>
        <v>0</v>
      </c>
      <c r="F42" s="24">
        <f t="shared" si="1"/>
        <v>1950</v>
      </c>
      <c r="G42" s="24">
        <f t="shared" si="1"/>
        <v>32888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45675.86</v>
      </c>
      <c r="O42" s="25">
        <f>SUM(C42:N42)</f>
        <v>106393.86</v>
      </c>
      <c r="P42" s="7"/>
      <c r="Q42" s="7"/>
      <c r="R42" s="7"/>
      <c r="S42" s="7" t="s">
        <v>34</v>
      </c>
      <c r="T42" s="20">
        <f>O31/1000</f>
        <v>4.7539999999999996</v>
      </c>
      <c r="U42" s="13">
        <f>P31</f>
        <v>4.8038155674342935E-2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0.24324711971160742</v>
      </c>
      <c r="D43" s="17">
        <f t="shared" si="2"/>
        <v>0</v>
      </c>
      <c r="E43" s="17">
        <f t="shared" si="2"/>
        <v>0</v>
      </c>
      <c r="F43" s="17">
        <f t="shared" si="2"/>
        <v>1.8328125326029152E-2</v>
      </c>
      <c r="G43" s="17">
        <f t="shared" si="2"/>
        <v>0.30911558242176757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0.42930917254059586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12.262855235946606</v>
      </c>
      <c r="U43" s="14">
        <f>P32</f>
        <v>0.12391353572493363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24.007999999999999</v>
      </c>
      <c r="U44" s="14">
        <f>P34</f>
        <v>0.24259571759142307</v>
      </c>
    </row>
    <row r="45" spans="1:48" ht="16" x14ac:dyDescent="0.2">
      <c r="A45" s="6" t="s">
        <v>57</v>
      </c>
      <c r="B45" s="6">
        <f>B23-B39</f>
        <v>2963.7044557247609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3360.2400000000002</v>
      </c>
      <c r="O45" s="25">
        <f>B45+N45</f>
        <v>6323.9444557247607</v>
      </c>
      <c r="P45" s="7"/>
      <c r="Q45" s="7"/>
      <c r="R45" s="7"/>
      <c r="S45" s="7" t="s">
        <v>58</v>
      </c>
      <c r="T45" s="20">
        <f>SUM(T39:T44)</f>
        <v>98.963999999999999</v>
      </c>
      <c r="U45" s="13">
        <f>SUM(U39:U44)</f>
        <v>1.0000101047866374</v>
      </c>
    </row>
    <row r="46" spans="1:48" ht="16" x14ac:dyDescent="0.2">
      <c r="A46" s="6"/>
      <c r="B46" s="52">
        <f>B45/B23</f>
        <v>0.17499741232924873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97"/>
      <c r="B48" s="97"/>
      <c r="C48" s="38"/>
      <c r="D48" s="40"/>
      <c r="E48" s="40"/>
      <c r="F48" s="41"/>
      <c r="G48" s="40"/>
      <c r="H48" s="41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97"/>
      <c r="B49" s="97"/>
      <c r="C49" s="38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97"/>
      <c r="B50" s="97"/>
      <c r="C50" s="38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97"/>
      <c r="B51" s="97"/>
      <c r="C51" s="38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97"/>
      <c r="B52" s="97"/>
      <c r="C52" s="38"/>
      <c r="D52" s="40"/>
      <c r="E52" s="40"/>
      <c r="F52" s="40"/>
      <c r="G52" s="40"/>
      <c r="H52" s="41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97"/>
      <c r="B53" s="97"/>
      <c r="C53" s="38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97"/>
      <c r="B54" s="97"/>
      <c r="C54" s="38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97"/>
      <c r="B55" s="97"/>
      <c r="C55" s="38"/>
      <c r="D55" s="40"/>
      <c r="E55" s="40"/>
      <c r="F55" s="41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97"/>
      <c r="B56" s="97"/>
      <c r="C56" s="38"/>
      <c r="D56" s="40"/>
      <c r="E56" s="40"/>
      <c r="F56" s="41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6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 enableFormatConditionsCalculation="0"/>
  <dimension ref="A1:AV71"/>
  <sheetViews>
    <sheetView zoomScale="90" zoomScaleNormal="90" zoomScalePageLayoutView="90" workbookViewId="0">
      <selection activeCell="U31" sqref="U31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5" width="8.83203125" style="2"/>
    <col min="6" max="6" width="10.5" style="2" customWidth="1"/>
    <col min="7" max="8" width="8.83203125" style="2"/>
    <col min="9" max="9" width="10.1640625" style="2" customWidth="1"/>
    <col min="10" max="11" width="8.83203125" style="2"/>
    <col min="12" max="12" width="9.1640625" style="2" customWidth="1"/>
    <col min="13" max="13" width="10" style="2" customWidth="1"/>
    <col min="14" max="14" width="9.6640625" style="2" customWidth="1"/>
    <col min="15" max="15" width="10.1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66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0.95*136</f>
        <v>129.19999999999999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58">
        <v>0</v>
      </c>
      <c r="C6" s="63">
        <v>0</v>
      </c>
      <c r="D6" s="8">
        <v>0</v>
      </c>
      <c r="E6" s="8">
        <v>0</v>
      </c>
      <c r="F6" s="63">
        <v>0</v>
      </c>
      <c r="G6" s="63">
        <v>0</v>
      </c>
      <c r="H6" s="8">
        <v>0</v>
      </c>
      <c r="I6" s="8"/>
      <c r="J6" s="8"/>
      <c r="K6" s="8"/>
      <c r="L6" s="8"/>
      <c r="M6" s="8"/>
      <c r="N6" s="8"/>
      <c r="O6" s="63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57">
        <v>28811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58">
        <f>SUM(B4:B9)</f>
        <v>28940.2</v>
      </c>
      <c r="C10" s="63">
        <v>0</v>
      </c>
      <c r="D10" s="8">
        <v>0</v>
      </c>
      <c r="E10" s="8">
        <v>0</v>
      </c>
      <c r="F10" s="63">
        <v>0</v>
      </c>
      <c r="G10" s="63">
        <v>0</v>
      </c>
      <c r="H10" s="8">
        <v>0</v>
      </c>
      <c r="I10" s="8"/>
      <c r="J10" s="8"/>
      <c r="K10" s="8"/>
      <c r="L10" s="8"/>
      <c r="M10" s="8"/>
      <c r="N10" s="8"/>
      <c r="O10" s="63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 t="s">
        <v>79</v>
      </c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55">
        <f>3757</f>
        <v>3757</v>
      </c>
      <c r="C18" s="55">
        <v>87</v>
      </c>
      <c r="D18" s="8">
        <v>0</v>
      </c>
      <c r="E18" s="8">
        <v>0</v>
      </c>
      <c r="F18" s="8">
        <v>0</v>
      </c>
      <c r="G18" s="55">
        <v>3670</v>
      </c>
      <c r="H18" s="8">
        <v>0</v>
      </c>
      <c r="I18" s="8"/>
      <c r="J18" s="8"/>
      <c r="K18" s="8"/>
      <c r="M18" s="8"/>
      <c r="N18" s="8"/>
      <c r="O18" s="55">
        <f>SUM(C18:N18)</f>
        <v>3757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70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55"/>
      <c r="O19" s="8">
        <f>SUM(C19:N19)</f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3582.3463333333334</v>
      </c>
      <c r="U21" s="3"/>
    </row>
    <row r="22" spans="1:25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55">
        <f>SUM(B17:B22)</f>
        <v>3757</v>
      </c>
      <c r="C23" s="55">
        <v>87</v>
      </c>
      <c r="D23" s="8">
        <v>0</v>
      </c>
      <c r="E23" s="8">
        <v>0</v>
      </c>
      <c r="F23" s="8">
        <v>0</v>
      </c>
      <c r="G23" s="55">
        <f>SUM(G17:G22)</f>
        <v>3670</v>
      </c>
      <c r="H23" s="8">
        <v>0</v>
      </c>
      <c r="I23" s="8"/>
      <c r="J23" s="8"/>
      <c r="K23" s="8"/>
      <c r="M23" s="8"/>
      <c r="N23" s="55"/>
      <c r="O23" s="55">
        <f>SUM(O17:O22)</f>
        <v>3757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A24" s="5" t="s">
        <v>81</v>
      </c>
      <c r="B24" s="69">
        <v>54300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810.40499999999997</v>
      </c>
      <c r="U24" s="13">
        <f>N43</f>
        <v>0.22622184584981964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562.55466666666666</v>
      </c>
      <c r="U25" s="14">
        <f>G43</f>
        <v>0.1570352540825431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>
        <v>709756</v>
      </c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>
        <f>J26/3.6</f>
        <v>197154.44444444444</v>
      </c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3.21</v>
      </c>
      <c r="U27" s="13">
        <f>F43</f>
        <v>8.960607661328855E-4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4</v>
      </c>
      <c r="U28" s="13">
        <f>E43</f>
        <v>1.1165866244646548E-3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86</v>
      </c>
      <c r="M29" s="6" t="s">
        <v>87</v>
      </c>
      <c r="N29" s="6" t="s">
        <v>9</v>
      </c>
      <c r="O29" s="6" t="s">
        <v>31</v>
      </c>
      <c r="P29" s="3"/>
      <c r="Q29" s="3"/>
      <c r="R29" s="3"/>
      <c r="S29" s="9" t="str">
        <f>L29</f>
        <v>Starkgas</v>
      </c>
      <c r="T29" s="11">
        <f>L42/1000</f>
        <v>45.767777777777773</v>
      </c>
      <c r="U29" s="13">
        <f>L43</f>
        <v>1.2775922124534331E-2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59"/>
      <c r="Q30" s="3"/>
      <c r="R30" s="3"/>
      <c r="S30" s="9" t="str">
        <f>M29</f>
        <v>Slam</v>
      </c>
      <c r="T30" s="11">
        <f>M42/1000</f>
        <v>52.482500000000002</v>
      </c>
      <c r="U30" s="13">
        <f>M43</f>
        <v>1.4650314379616561E-2</v>
      </c>
    </row>
    <row r="31" spans="1:25" ht="16" x14ac:dyDescent="0.2">
      <c r="A31" s="4" t="s">
        <v>32</v>
      </c>
      <c r="B31" s="8">
        <v>0</v>
      </c>
      <c r="C31" s="8">
        <v>828</v>
      </c>
      <c r="D31" s="8">
        <v>0</v>
      </c>
      <c r="E31" s="8">
        <v>0</v>
      </c>
      <c r="F31" s="8">
        <v>86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901</v>
      </c>
      <c r="O31" s="8">
        <v>1814</v>
      </c>
      <c r="P31" s="17">
        <f>O31/O$39</f>
        <v>5.0925940656025678E-4</v>
      </c>
      <c r="Q31" s="18" t="s">
        <v>34</v>
      </c>
      <c r="R31" s="3"/>
      <c r="S31" s="3" t="s">
        <v>4</v>
      </c>
      <c r="T31" s="12">
        <f>I42/1000</f>
        <v>1864.6169444444445</v>
      </c>
      <c r="U31" s="13">
        <f>I43</f>
        <v>0.52050158497920529</v>
      </c>
      <c r="W31" s="8"/>
      <c r="X31" s="8"/>
      <c r="Y31" s="8"/>
    </row>
    <row r="32" spans="1:25" ht="16" x14ac:dyDescent="0.2">
      <c r="A32" s="4" t="s">
        <v>36</v>
      </c>
      <c r="B32" s="8">
        <v>0</v>
      </c>
      <c r="C32" s="77">
        <f>709756/3.6</f>
        <v>197154.44444444444</v>
      </c>
      <c r="D32" s="8">
        <v>0</v>
      </c>
      <c r="E32" s="58">
        <v>4000</v>
      </c>
      <c r="F32" s="58">
        <v>0</v>
      </c>
      <c r="G32" s="77">
        <f>1969548/3.6</f>
        <v>547096.66666666663</v>
      </c>
      <c r="H32" s="8">
        <v>0</v>
      </c>
      <c r="I32" s="77">
        <f>6712621/3.6</f>
        <v>1864616.9444444445</v>
      </c>
      <c r="J32" s="8"/>
      <c r="K32" s="8"/>
      <c r="L32" s="77">
        <f>151552/3.6</f>
        <v>42097.777777777774</v>
      </c>
      <c r="M32" s="77">
        <f>188937/3.6</f>
        <v>52482.5</v>
      </c>
      <c r="N32" s="85">
        <f>955928-295694</f>
        <v>660234</v>
      </c>
      <c r="O32" s="63">
        <f>SUM(B32:N32)</f>
        <v>3367682.3333333335</v>
      </c>
      <c r="P32" s="17">
        <f>O32/O$39</f>
        <v>0.94543765521322731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8">
        <v>8432</v>
      </c>
      <c r="C33" s="8">
        <v>10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11765</v>
      </c>
      <c r="O33" s="8">
        <v>20207</v>
      </c>
      <c r="P33" s="17">
        <f>O33/O$39</f>
        <v>5.6728802802442722E-3</v>
      </c>
      <c r="Q33" s="18" t="s">
        <v>39</v>
      </c>
      <c r="R33" s="3"/>
      <c r="S33" s="3" t="s">
        <v>35</v>
      </c>
      <c r="T33" s="12">
        <f>C42/1000</f>
        <v>239.30944444444444</v>
      </c>
      <c r="U33" s="14">
        <f>C43</f>
        <v>6.6802431193683509E-2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40898</v>
      </c>
      <c r="D34" s="8">
        <v>0</v>
      </c>
      <c r="E34" s="8">
        <v>0</v>
      </c>
      <c r="F34" s="8">
        <v>3124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68</v>
      </c>
      <c r="O34" s="8">
        <v>44090</v>
      </c>
      <c r="P34" s="17">
        <f>O34/O$39</f>
        <v>1.2377754815458502E-2</v>
      </c>
      <c r="Q34" s="18" t="s">
        <v>41</v>
      </c>
      <c r="R34" s="3"/>
      <c r="S34" s="3"/>
      <c r="T34" s="12">
        <f>SUM(T24:T33)</f>
        <v>3582.3463333333334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8">
        <v>4176</v>
      </c>
      <c r="C35" s="8">
        <v>70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17535</v>
      </c>
      <c r="O35" s="8">
        <v>21781</v>
      </c>
      <c r="P35" s="17">
        <f>O35/O$39</f>
        <v>6.1147624775573063E-3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8">
        <v>18628</v>
      </c>
      <c r="C36" s="8">
        <v>262</v>
      </c>
      <c r="D36" s="8">
        <v>0</v>
      </c>
      <c r="E36" s="8">
        <v>0</v>
      </c>
      <c r="F36" s="8">
        <v>0</v>
      </c>
      <c r="G36" s="8">
        <v>11788</v>
      </c>
      <c r="H36" s="8">
        <v>0</v>
      </c>
      <c r="I36" s="8"/>
      <c r="J36" s="8"/>
      <c r="K36" s="8"/>
      <c r="L36" s="8"/>
      <c r="M36" s="27"/>
      <c r="N36" s="8">
        <v>52408</v>
      </c>
      <c r="O36" s="8">
        <v>83086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8">
        <v>15911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4411</v>
      </c>
      <c r="O37" s="8">
        <v>20322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3053</v>
      </c>
      <c r="O38" s="8">
        <v>3053</v>
      </c>
      <c r="P38" s="18">
        <f>SUM(P31:P35)</f>
        <v>0.97011231219304761</v>
      </c>
      <c r="Q38" s="18"/>
      <c r="R38" s="3"/>
      <c r="S38" s="7" t="s">
        <v>47</v>
      </c>
      <c r="T38" s="19">
        <f>O45/1000</f>
        <v>70.94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47147</v>
      </c>
      <c r="C39" s="83">
        <f>SUM(C31:C38)</f>
        <v>239222.44444444444</v>
      </c>
      <c r="D39" s="51">
        <v>0</v>
      </c>
      <c r="E39" s="58">
        <f>SUM(E31:E38)</f>
        <v>4000</v>
      </c>
      <c r="F39" s="58">
        <f>SUM(F31:F38)</f>
        <v>3210</v>
      </c>
      <c r="G39" s="83">
        <f>SUM(G31:G38)</f>
        <v>558884.66666666663</v>
      </c>
      <c r="H39" s="8">
        <v>0</v>
      </c>
      <c r="I39" s="77">
        <f>SUM(I32:I38)</f>
        <v>1864616.9444444445</v>
      </c>
      <c r="J39" s="8"/>
      <c r="K39" s="8"/>
      <c r="L39" s="77">
        <f>SUM(L32:L38)</f>
        <v>42097.777777777774</v>
      </c>
      <c r="M39" s="77">
        <f>SUM(M32:M38)</f>
        <v>52482.5</v>
      </c>
      <c r="N39" s="63">
        <f>SUM(N31:N38)</f>
        <v>750375</v>
      </c>
      <c r="O39" s="63">
        <f>SUM(O31:O38)</f>
        <v>3562035.3333333335</v>
      </c>
      <c r="P39" s="3"/>
      <c r="Q39" s="3"/>
      <c r="R39" s="3"/>
      <c r="S39" s="7" t="s">
        <v>48</v>
      </c>
      <c r="T39" s="20">
        <f>O41/1000</f>
        <v>106.461</v>
      </c>
      <c r="U39" s="13">
        <f>P41</f>
        <v>2.9887687806952317E-2</v>
      </c>
      <c r="W39" s="8"/>
      <c r="X39" s="8"/>
      <c r="Y39" s="8"/>
    </row>
    <row r="40" spans="1:48" ht="16" x14ac:dyDescent="0.2">
      <c r="S40" s="7" t="s">
        <v>49</v>
      </c>
      <c r="T40" s="20">
        <f>O35/1000</f>
        <v>21.780999999999999</v>
      </c>
      <c r="U40" s="14">
        <f>P35</f>
        <v>6.1147624775573063E-3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34539</v>
      </c>
      <c r="C41" s="22">
        <f t="shared" ref="C41:O41" si="0">C38+C37+C36</f>
        <v>262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11788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59872</v>
      </c>
      <c r="O41" s="22">
        <f t="shared" si="0"/>
        <v>106461</v>
      </c>
      <c r="P41" s="17">
        <f>O41/O$39</f>
        <v>2.9887687806952317E-2</v>
      </c>
      <c r="Q41" s="17" t="s">
        <v>51</v>
      </c>
      <c r="R41" s="7"/>
      <c r="S41" s="7" t="s">
        <v>52</v>
      </c>
      <c r="T41" s="20">
        <f>O33/1000</f>
        <v>20.207000000000001</v>
      </c>
      <c r="U41" s="13">
        <f>P33</f>
        <v>5.6728802802442722E-3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239309.44444444444</v>
      </c>
      <c r="D42" s="24">
        <f t="shared" ref="D42:M42" si="1">D39+D23+D10</f>
        <v>0</v>
      </c>
      <c r="E42" s="24">
        <f t="shared" si="1"/>
        <v>4000</v>
      </c>
      <c r="F42" s="24">
        <f t="shared" si="1"/>
        <v>3210</v>
      </c>
      <c r="G42" s="24">
        <f t="shared" si="1"/>
        <v>562554.66666666663</v>
      </c>
      <c r="H42" s="24">
        <f t="shared" si="1"/>
        <v>0</v>
      </c>
      <c r="I42" s="24">
        <f t="shared" si="1"/>
        <v>1864616.9444444445</v>
      </c>
      <c r="J42" s="24">
        <f t="shared" si="1"/>
        <v>0</v>
      </c>
      <c r="K42" s="24">
        <f t="shared" si="1"/>
        <v>0</v>
      </c>
      <c r="L42" s="24">
        <f>L39+G23+L10</f>
        <v>45767.777777777774</v>
      </c>
      <c r="M42" s="24">
        <f t="shared" si="1"/>
        <v>52482.5</v>
      </c>
      <c r="N42" s="24">
        <f>N39+N23-B6+N45</f>
        <v>810405</v>
      </c>
      <c r="O42" s="25">
        <f>SUM(C42:N42)</f>
        <v>3582346.3333333335</v>
      </c>
      <c r="P42" s="7"/>
      <c r="Q42" s="7"/>
      <c r="R42" s="7"/>
      <c r="S42" s="7" t="s">
        <v>34</v>
      </c>
      <c r="T42" s="20">
        <f>O31/1000</f>
        <v>1.8140000000000001</v>
      </c>
      <c r="U42" s="13">
        <f>P31</f>
        <v>5.0925940656025678E-4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6.6802431193683509E-2</v>
      </c>
      <c r="D43" s="17">
        <f t="shared" si="2"/>
        <v>0</v>
      </c>
      <c r="E43" s="17">
        <f t="shared" si="2"/>
        <v>1.1165866244646548E-3</v>
      </c>
      <c r="F43" s="17">
        <f t="shared" si="2"/>
        <v>8.960607661328855E-4</v>
      </c>
      <c r="G43" s="17">
        <f t="shared" si="2"/>
        <v>0.1570352540825431</v>
      </c>
      <c r="H43" s="17">
        <f t="shared" si="2"/>
        <v>0</v>
      </c>
      <c r="I43" s="17">
        <f t="shared" si="2"/>
        <v>0.52050158497920529</v>
      </c>
      <c r="J43" s="17">
        <f t="shared" si="2"/>
        <v>0</v>
      </c>
      <c r="K43" s="17">
        <f t="shared" si="2"/>
        <v>0</v>
      </c>
      <c r="L43" s="17">
        <f t="shared" si="2"/>
        <v>1.2775922124534331E-2</v>
      </c>
      <c r="M43" s="17">
        <f t="shared" si="2"/>
        <v>1.4650314379616561E-2</v>
      </c>
      <c r="N43" s="17">
        <f t="shared" si="2"/>
        <v>0.22622184584981964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3367.6823333333336</v>
      </c>
      <c r="U43" s="14">
        <f>P32</f>
        <v>0.94543765521322731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44.09</v>
      </c>
      <c r="U44" s="14">
        <f>P34</f>
        <v>1.2377754815458502E-2</v>
      </c>
    </row>
    <row r="45" spans="1:48" ht="16" x14ac:dyDescent="0.2">
      <c r="A45" s="6" t="s">
        <v>57</v>
      </c>
      <c r="B45" s="6">
        <f>(B23+B24)-B39</f>
        <v>10910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60030</v>
      </c>
      <c r="O45" s="25">
        <f>B45+N45</f>
        <v>70940</v>
      </c>
      <c r="P45" s="7"/>
      <c r="Q45" s="7"/>
      <c r="R45" s="7"/>
      <c r="S45" s="7" t="s">
        <v>58</v>
      </c>
      <c r="T45" s="20">
        <f>SUM(T39:T44)</f>
        <v>3562.0353333333337</v>
      </c>
      <c r="U45" s="13">
        <f>SUM(U39:U44)</f>
        <v>1</v>
      </c>
    </row>
    <row r="46" spans="1:48" ht="16" x14ac:dyDescent="0.2">
      <c r="A46" s="6"/>
      <c r="B46" s="52">
        <f>B45/(B23+B24)</f>
        <v>0.18791876948516115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6"/>
      <c r="B47" s="5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/>
      <c r="O47" s="6"/>
      <c r="P47" s="7"/>
      <c r="Q47" s="7"/>
      <c r="R47" s="7"/>
    </row>
    <row r="48" spans="1:48" x14ac:dyDescent="0.2">
      <c r="A48" s="3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37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6" x14ac:dyDescent="0.2">
      <c r="A49" s="37"/>
      <c r="B49" s="8"/>
      <c r="C49" s="8"/>
      <c r="D49" s="8"/>
      <c r="E49" s="63"/>
      <c r="F49" s="8"/>
      <c r="G49" s="8"/>
      <c r="I49" s="8"/>
      <c r="J49" s="8"/>
      <c r="K49" s="8"/>
      <c r="L49" s="70"/>
      <c r="M49" s="8"/>
      <c r="N49" s="8"/>
      <c r="O49" s="8"/>
      <c r="P49" s="8"/>
      <c r="Q49" s="8"/>
      <c r="R49" s="8"/>
      <c r="S49" s="8"/>
      <c r="T49" s="8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6" x14ac:dyDescent="0.2">
      <c r="A50" s="4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6" x14ac:dyDescent="0.2">
      <c r="A51" s="4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6" x14ac:dyDescent="0.2">
      <c r="A52" s="4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6" x14ac:dyDescent="0.2">
      <c r="A53" s="7"/>
      <c r="B53" s="7"/>
      <c r="C53" s="7"/>
      <c r="D53" s="7"/>
      <c r="E53" s="6"/>
      <c r="F53" s="8"/>
      <c r="G53" s="8"/>
      <c r="H53" s="8"/>
      <c r="I53" s="8"/>
      <c r="J53" s="8"/>
      <c r="K53" s="8"/>
      <c r="L53" s="8"/>
      <c r="M53" s="8"/>
      <c r="N53" s="8"/>
      <c r="O53" s="8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ht="16" x14ac:dyDescent="0.2">
      <c r="A54" s="7"/>
      <c r="B54" s="7"/>
      <c r="C54" s="7"/>
      <c r="D54" s="7"/>
      <c r="E54" s="6"/>
      <c r="F54" s="8"/>
      <c r="G54" s="8"/>
      <c r="H54" s="8"/>
      <c r="I54" s="8"/>
      <c r="J54" s="8"/>
      <c r="K54" s="8"/>
      <c r="L54" s="8"/>
      <c r="M54" s="8"/>
      <c r="N54" s="8"/>
      <c r="O54" s="8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6" x14ac:dyDescent="0.2">
      <c r="A55" s="7"/>
      <c r="B55" s="33"/>
      <c r="C55" s="7"/>
      <c r="D55" s="7"/>
      <c r="E55" s="6"/>
      <c r="F55" s="8"/>
      <c r="G55" s="8"/>
      <c r="H55" s="8"/>
      <c r="I55" s="8"/>
      <c r="J55" s="8"/>
      <c r="K55" s="8"/>
      <c r="L55" s="8"/>
      <c r="M55" s="8"/>
      <c r="N55" s="8"/>
      <c r="O55" s="8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ht="16" x14ac:dyDescent="0.2">
      <c r="A56" s="80"/>
      <c r="B56" s="80"/>
      <c r="C56" s="79"/>
      <c r="D56" s="6"/>
      <c r="E56" s="6"/>
      <c r="F56" s="7"/>
      <c r="G56" s="7"/>
      <c r="H56" s="7"/>
      <c r="I56" s="6"/>
      <c r="J56" s="8"/>
      <c r="K56" s="8"/>
      <c r="L56" s="8"/>
      <c r="M56" s="8"/>
      <c r="N56" s="8"/>
      <c r="O56" s="8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80"/>
      <c r="B57" s="80"/>
      <c r="C57" s="81"/>
      <c r="D57" s="6"/>
      <c r="E57" s="6"/>
      <c r="F57" s="7"/>
      <c r="G57" s="7"/>
      <c r="H57" s="7"/>
      <c r="I57" s="6"/>
      <c r="J57" s="8"/>
      <c r="K57" s="8"/>
      <c r="L57" s="8"/>
      <c r="M57" s="8"/>
      <c r="N57" s="8"/>
      <c r="O57" s="8"/>
      <c r="P57" s="40"/>
      <c r="Q57" s="40"/>
      <c r="R57" s="40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37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</row>
    <row r="58" spans="1:48" ht="16" x14ac:dyDescent="0.2">
      <c r="A58" s="79"/>
      <c r="B58" s="80"/>
      <c r="C58" s="81"/>
      <c r="D58" s="6"/>
      <c r="E58" s="31"/>
      <c r="F58" s="33"/>
      <c r="G58" s="7"/>
      <c r="H58" s="7"/>
      <c r="I58" s="6"/>
      <c r="J58" s="8"/>
      <c r="K58" s="8"/>
      <c r="L58" s="8"/>
      <c r="M58" s="8"/>
      <c r="N58" s="8"/>
      <c r="O58" s="8"/>
      <c r="P58" s="6"/>
      <c r="Q58" s="13"/>
      <c r="R58" s="7"/>
      <c r="S58" s="7"/>
      <c r="T58" s="6"/>
      <c r="U58" s="30"/>
    </row>
    <row r="59" spans="1:48" ht="16" x14ac:dyDescent="0.2">
      <c r="A59" s="79"/>
      <c r="B59" s="80"/>
      <c r="C59" s="81"/>
      <c r="D59" s="6"/>
      <c r="E59" s="79"/>
      <c r="F59" s="80"/>
      <c r="G59" s="79"/>
      <c r="H59" s="6"/>
      <c r="I59" s="6"/>
      <c r="J59" s="8"/>
      <c r="K59" s="8"/>
      <c r="L59" s="8"/>
      <c r="M59" s="8"/>
      <c r="N59" s="8"/>
      <c r="O59" s="8"/>
      <c r="P59" s="6"/>
      <c r="Q59" s="13"/>
      <c r="R59" s="7"/>
      <c r="S59" s="7"/>
      <c r="T59" s="6"/>
      <c r="U59" s="30"/>
    </row>
    <row r="60" spans="1:48" ht="16" x14ac:dyDescent="0.2">
      <c r="A60" s="79"/>
      <c r="B60" s="80"/>
      <c r="C60" s="81"/>
      <c r="D60" s="6"/>
      <c r="E60" s="79"/>
      <c r="F60" s="80"/>
      <c r="G60" s="81"/>
      <c r="H60" s="6"/>
      <c r="I60" s="6"/>
      <c r="J60" s="8"/>
      <c r="K60" s="8"/>
      <c r="L60" s="8"/>
      <c r="M60" s="8"/>
      <c r="N60" s="8"/>
      <c r="O60" s="8"/>
      <c r="P60" s="6"/>
      <c r="Q60" s="13"/>
      <c r="R60" s="7"/>
      <c r="S60" s="7"/>
      <c r="T60" s="6"/>
      <c r="U60" s="30"/>
    </row>
    <row r="61" spans="1:48" ht="16" x14ac:dyDescent="0.2">
      <c r="A61" s="79"/>
      <c r="B61" s="80"/>
      <c r="C61" s="81"/>
      <c r="D61" s="6"/>
      <c r="E61" s="79"/>
      <c r="F61" s="80"/>
      <c r="G61" s="81"/>
      <c r="H61" s="6"/>
      <c r="I61" s="31"/>
      <c r="J61" s="8"/>
      <c r="K61" s="8"/>
      <c r="L61" s="8"/>
      <c r="M61" s="8"/>
      <c r="N61" s="8"/>
      <c r="O61" s="8"/>
      <c r="P61" s="6"/>
      <c r="Q61" s="13"/>
      <c r="R61" s="7"/>
      <c r="S61" s="7"/>
      <c r="T61" s="6"/>
      <c r="U61" s="30"/>
    </row>
    <row r="62" spans="1:48" ht="16" x14ac:dyDescent="0.2">
      <c r="A62" s="79"/>
      <c r="B62" s="80"/>
      <c r="C62" s="81"/>
      <c r="D62" s="6"/>
      <c r="E62" s="79"/>
      <c r="F62" s="80"/>
      <c r="G62" s="81"/>
      <c r="H62" s="6"/>
      <c r="I62" s="79"/>
      <c r="J62" s="7"/>
      <c r="K62" s="7"/>
      <c r="L62" s="6"/>
      <c r="M62" s="6"/>
      <c r="N62" s="29"/>
      <c r="O62" s="7"/>
      <c r="P62" s="6"/>
      <c r="Q62" s="13"/>
      <c r="R62" s="7"/>
      <c r="S62" s="7"/>
      <c r="T62" s="31"/>
      <c r="U62" s="32"/>
    </row>
    <row r="63" spans="1:48" x14ac:dyDescent="0.2">
      <c r="A63" s="79"/>
      <c r="B63" s="79"/>
      <c r="C63" s="79"/>
      <c r="D63" s="9"/>
      <c r="E63" s="79"/>
      <c r="F63" s="80"/>
      <c r="G63" s="81"/>
      <c r="H63" s="6"/>
      <c r="I63" s="7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6"/>
    </row>
    <row r="64" spans="1:48" x14ac:dyDescent="0.2">
      <c r="A64" s="7"/>
      <c r="B64" s="33"/>
      <c r="C64" s="33"/>
      <c r="D64" s="33"/>
      <c r="E64" s="79"/>
      <c r="F64" s="80"/>
      <c r="G64" s="81"/>
      <c r="H64" s="6"/>
      <c r="I64" s="79"/>
      <c r="J64" s="7"/>
      <c r="K64" s="7"/>
      <c r="L64" s="7"/>
      <c r="M64" s="7"/>
      <c r="N64" s="7"/>
      <c r="O64" s="7"/>
      <c r="P64" s="7"/>
      <c r="Q64" s="7"/>
      <c r="R64" s="7"/>
      <c r="S64" s="7"/>
      <c r="T64" s="33"/>
      <c r="U64" s="34"/>
    </row>
    <row r="65" spans="1:21" ht="16" x14ac:dyDescent="0.2">
      <c r="A65" s="7"/>
      <c r="B65" s="6"/>
      <c r="C65" s="6"/>
      <c r="D65" s="6"/>
      <c r="E65" s="79"/>
      <c r="F65" s="80"/>
      <c r="G65" s="81"/>
      <c r="H65" s="6"/>
      <c r="I65" s="79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79"/>
      <c r="F66" s="79"/>
      <c r="G66" s="79"/>
      <c r="H66" s="9"/>
      <c r="I66" s="79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7"/>
      <c r="N70" s="7"/>
      <c r="O70" s="7"/>
      <c r="P70" s="6"/>
      <c r="Q70" s="29"/>
      <c r="R70" s="7"/>
      <c r="S70" s="7"/>
      <c r="T70" s="6"/>
      <c r="U70" s="30"/>
    </row>
    <row r="71" spans="1:21" ht="16" x14ac:dyDescent="0.2">
      <c r="A71" s="7"/>
      <c r="B71" s="31"/>
      <c r="C71" s="31"/>
      <c r="D71" s="31"/>
      <c r="E71" s="31"/>
      <c r="F71" s="31"/>
      <c r="G71" s="31"/>
      <c r="H71" s="31"/>
      <c r="I71" s="31"/>
      <c r="J71" s="7"/>
      <c r="K71" s="7"/>
      <c r="L71" s="7"/>
      <c r="M71" s="7"/>
      <c r="N71" s="7"/>
      <c r="O71" s="7"/>
      <c r="P71" s="31"/>
      <c r="Q71" s="35"/>
      <c r="R71" s="7"/>
      <c r="S71" s="36"/>
      <c r="T71" s="31"/>
      <c r="U71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67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270*0.95</f>
        <v>256.5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58">
        <v>0</v>
      </c>
      <c r="C6" s="8">
        <v>0</v>
      </c>
      <c r="D6" s="8">
        <v>0</v>
      </c>
      <c r="E6" s="8">
        <v>0</v>
      </c>
      <c r="F6" s="8">
        <v>0</v>
      </c>
      <c r="G6" s="58">
        <v>0</v>
      </c>
      <c r="H6" s="8">
        <v>0</v>
      </c>
      <c r="I6" s="8"/>
      <c r="J6" s="8"/>
      <c r="K6" s="8"/>
      <c r="L6" s="8"/>
      <c r="M6" s="8"/>
      <c r="N6" s="8"/>
      <c r="O6" s="54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51"/>
      <c r="Q7" s="27"/>
      <c r="R7" s="27"/>
      <c r="AH7" s="27"/>
      <c r="AI7" s="27"/>
    </row>
    <row r="8" spans="1:35" ht="15.75" x14ac:dyDescent="0.25">
      <c r="A8" s="4" t="s">
        <v>13</v>
      </c>
      <c r="B8" s="58">
        <v>200000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51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51"/>
      <c r="Q9" s="27"/>
      <c r="R9" s="27"/>
      <c r="S9" s="4"/>
      <c r="T9" s="51"/>
      <c r="U9" s="8"/>
      <c r="V9" s="8"/>
      <c r="W9" s="8"/>
      <c r="X9" s="8"/>
      <c r="Y9" s="51"/>
      <c r="Z9" s="8"/>
      <c r="AA9" s="8"/>
      <c r="AB9" s="8"/>
      <c r="AC9" s="8"/>
      <c r="AD9" s="8"/>
      <c r="AE9" s="8"/>
      <c r="AF9" s="8"/>
      <c r="AG9" s="51"/>
      <c r="AH9" s="27"/>
      <c r="AI9" s="27"/>
    </row>
    <row r="10" spans="1:35" ht="16" x14ac:dyDescent="0.2">
      <c r="A10" s="4" t="s">
        <v>15</v>
      </c>
      <c r="B10" s="58">
        <f>SUM(B4:B9)</f>
        <v>200256.5</v>
      </c>
      <c r="C10" s="8">
        <v>0</v>
      </c>
      <c r="D10" s="8">
        <v>0</v>
      </c>
      <c r="E10" s="8">
        <v>0</v>
      </c>
      <c r="F10" s="8">
        <v>0</v>
      </c>
      <c r="G10" s="58">
        <v>0</v>
      </c>
      <c r="H10" s="8">
        <v>0</v>
      </c>
      <c r="I10" s="8"/>
      <c r="J10" s="8"/>
      <c r="K10" s="8"/>
      <c r="L10" s="8"/>
      <c r="M10" s="8"/>
      <c r="N10" s="8"/>
      <c r="O10" s="54">
        <v>0</v>
      </c>
      <c r="P10" s="51"/>
      <c r="Q10" s="27"/>
      <c r="R10" s="27"/>
      <c r="S10" s="4"/>
      <c r="T10" s="51"/>
      <c r="U10" s="8"/>
      <c r="V10" s="8"/>
      <c r="W10" s="8"/>
      <c r="X10" s="8"/>
      <c r="Y10" s="51"/>
      <c r="Z10" s="8"/>
      <c r="AA10" s="8"/>
      <c r="AB10" s="8"/>
      <c r="AC10" s="8"/>
      <c r="AD10" s="8"/>
      <c r="AE10" s="8"/>
      <c r="AF10" s="8"/>
      <c r="AG10" s="51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54">
        <v>37300</v>
      </c>
      <c r="C17" s="8">
        <v>0</v>
      </c>
      <c r="D17" s="8">
        <v>0</v>
      </c>
      <c r="E17" s="8">
        <v>0</v>
      </c>
      <c r="F17" s="8">
        <v>0</v>
      </c>
      <c r="G17" s="54">
        <v>45600</v>
      </c>
      <c r="H17" s="8">
        <v>0</v>
      </c>
      <c r="I17" s="8"/>
      <c r="J17" s="8"/>
      <c r="K17" s="8"/>
      <c r="L17" s="8"/>
      <c r="M17" s="8"/>
      <c r="N17" s="8"/>
      <c r="O17" s="54">
        <f>SUM(C17:N17)</f>
        <v>45600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55">
        <v>6500</v>
      </c>
      <c r="C18" s="8">
        <v>0</v>
      </c>
      <c r="D18" s="8">
        <v>0</v>
      </c>
      <c r="E18" s="8">
        <v>0</v>
      </c>
      <c r="F18" s="8">
        <v>0</v>
      </c>
      <c r="G18" s="55">
        <v>6400</v>
      </c>
      <c r="H18" s="8">
        <v>0</v>
      </c>
      <c r="I18" s="8"/>
      <c r="J18" s="8"/>
      <c r="K18" s="8"/>
      <c r="L18" s="8"/>
      <c r="M18" s="8"/>
      <c r="N18" s="8"/>
      <c r="O18" s="8">
        <f>SUM(C18:N18)</f>
        <v>6400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174.07652000000002</v>
      </c>
      <c r="U21" s="3"/>
    </row>
    <row r="22" spans="1:25" ht="16" x14ac:dyDescent="0.2">
      <c r="A22" s="4" t="s">
        <v>24</v>
      </c>
      <c r="B22" s="5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54">
        <f>SUM(B17:B22)</f>
        <v>43800</v>
      </c>
      <c r="C23" s="8">
        <v>0</v>
      </c>
      <c r="D23" s="8">
        <v>0</v>
      </c>
      <c r="E23" s="8">
        <v>0</v>
      </c>
      <c r="F23" s="8">
        <v>0</v>
      </c>
      <c r="G23" s="54">
        <f>SUM(G17:G22)</f>
        <v>52000</v>
      </c>
      <c r="H23" s="8">
        <v>0</v>
      </c>
      <c r="I23" s="8"/>
      <c r="J23" s="8"/>
      <c r="K23" s="8"/>
      <c r="L23" s="8"/>
      <c r="M23" s="8"/>
      <c r="N23" s="8"/>
      <c r="O23" s="54">
        <f>SUM(O17:O22)</f>
        <v>52000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68.357520000000008</v>
      </c>
      <c r="U24" s="13">
        <f>N43</f>
        <v>0.39268661850547104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59.572000000000003</v>
      </c>
      <c r="U25" s="14">
        <f>G43</f>
        <v>0.34221731914217951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3.379</v>
      </c>
      <c r="U27" s="13">
        <f>F43</f>
        <v>1.9411003850490577E-2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0</v>
      </c>
      <c r="U28" s="13">
        <f>E43</f>
        <v>0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348</v>
      </c>
      <c r="D31" s="8">
        <v>0</v>
      </c>
      <c r="E31" s="8">
        <v>0</v>
      </c>
      <c r="F31" s="8">
        <v>36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730</v>
      </c>
      <c r="O31" s="8">
        <v>1114</v>
      </c>
      <c r="P31" s="17">
        <f>O31/O$39</f>
        <v>7.5750363792142089E-3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58">
        <f>(B39-B37-B36)*10800/(10800+2697+1703)</f>
        <v>8774.28947368421</v>
      </c>
      <c r="C32" s="58">
        <v>200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40556</v>
      </c>
      <c r="O32" s="58">
        <f>SUM(B32:N32)</f>
        <v>49530.289473684214</v>
      </c>
      <c r="P32" s="17">
        <f>O32/O$39</f>
        <v>0.33679869356927156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58">
        <f>(B39-B37-B36)*2697/(10800+2697+1703)</f>
        <v>2191.1350657894736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3076</v>
      </c>
      <c r="O33" s="58">
        <f>SUM(B33:N33)</f>
        <v>5267.1350657894736</v>
      </c>
      <c r="P33" s="17">
        <f>O33/O$39</f>
        <v>3.5815744827280151E-2</v>
      </c>
      <c r="Q33" s="18" t="s">
        <v>39</v>
      </c>
      <c r="R33" s="3"/>
      <c r="S33" s="3" t="s">
        <v>35</v>
      </c>
      <c r="T33" s="12">
        <f>C42/1000</f>
        <v>42.768000000000001</v>
      </c>
      <c r="U33" s="14">
        <f>C43</f>
        <v>0.24568505850185882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42015</v>
      </c>
      <c r="D34" s="8">
        <v>0</v>
      </c>
      <c r="E34" s="8">
        <v>0</v>
      </c>
      <c r="F34" s="8">
        <v>3343</v>
      </c>
      <c r="G34" s="8">
        <v>0</v>
      </c>
      <c r="H34" s="8">
        <v>0</v>
      </c>
      <c r="I34" s="8"/>
      <c r="J34" s="56"/>
      <c r="K34" s="8"/>
      <c r="L34" s="8"/>
      <c r="M34" s="27"/>
      <c r="N34" s="8">
        <v>1</v>
      </c>
      <c r="O34" s="8">
        <v>45359</v>
      </c>
      <c r="P34" s="17">
        <f>O34/O$39</f>
        <v>0.30843453781398322</v>
      </c>
      <c r="Q34" s="18" t="s">
        <v>41</v>
      </c>
      <c r="R34" s="3"/>
      <c r="S34" s="3"/>
      <c r="T34" s="12">
        <f>SUM(T24:T33)</f>
        <v>174.07652000000002</v>
      </c>
      <c r="U34" s="13">
        <f>SUM(U24:U33)</f>
        <v>0.99999999999999989</v>
      </c>
      <c r="W34" s="8"/>
      <c r="X34" s="8"/>
      <c r="Y34" s="8"/>
    </row>
    <row r="35" spans="1:48" ht="16" x14ac:dyDescent="0.2">
      <c r="A35" s="4" t="s">
        <v>42</v>
      </c>
      <c r="B35" s="58">
        <f>(B39-B37-B36)*1703/(10800+2697+1703)</f>
        <v>1383.5754605263157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58">
        <v>5220</v>
      </c>
      <c r="O35" s="58">
        <f>SUM(B35:N35)</f>
        <v>6603.5754605263155</v>
      </c>
      <c r="P35" s="17">
        <f>O35/O$39</f>
        <v>4.4903343219365406E-2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54">
        <v>9900</v>
      </c>
      <c r="C36" s="58">
        <f>C39-C34-C32-C31</f>
        <v>205</v>
      </c>
      <c r="D36" s="8">
        <v>0</v>
      </c>
      <c r="E36" s="8">
        <v>0</v>
      </c>
      <c r="F36" s="8">
        <v>0</v>
      </c>
      <c r="G36" s="8">
        <v>7572</v>
      </c>
      <c r="H36" s="8">
        <v>0</v>
      </c>
      <c r="I36" s="8"/>
      <c r="J36" s="8"/>
      <c r="K36" s="8"/>
      <c r="L36" s="8"/>
      <c r="M36" s="27"/>
      <c r="N36" s="8">
        <v>11851</v>
      </c>
      <c r="O36" s="58">
        <f>SUM(B36:N36)</f>
        <v>29528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54">
        <v>7800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1478</v>
      </c>
      <c r="O37" s="58">
        <f>SUM(B37:N37)</f>
        <v>9278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382</v>
      </c>
      <c r="O38" s="8">
        <v>382</v>
      </c>
      <c r="P38" s="18">
        <f>SUM(P31:P35)</f>
        <v>0.73352735580911455</v>
      </c>
      <c r="Q38" s="18"/>
      <c r="R38" s="3"/>
      <c r="S38" s="7" t="s">
        <v>47</v>
      </c>
      <c r="T38" s="19">
        <f>O45/1000</f>
        <v>18.814520000000002</v>
      </c>
      <c r="U38" s="7"/>
      <c r="W38" s="8"/>
      <c r="X38" s="8"/>
      <c r="Y38" s="8"/>
    </row>
    <row r="39" spans="1:48" ht="16" x14ac:dyDescent="0.2">
      <c r="A39" s="4" t="s">
        <v>15</v>
      </c>
      <c r="B39" s="54">
        <v>30049</v>
      </c>
      <c r="C39" s="8">
        <v>42768</v>
      </c>
      <c r="D39" s="8">
        <v>0</v>
      </c>
      <c r="E39" s="8">
        <v>0</v>
      </c>
      <c r="F39" s="8">
        <f>SUM(F31:F38)</f>
        <v>3379</v>
      </c>
      <c r="G39" s="8">
        <v>7572</v>
      </c>
      <c r="H39" s="8">
        <v>0</v>
      </c>
      <c r="I39" s="8"/>
      <c r="J39" s="8"/>
      <c r="K39" s="8"/>
      <c r="L39" s="8"/>
      <c r="M39" s="27"/>
      <c r="N39" s="54">
        <f>SUM(N31:N38)</f>
        <v>63294</v>
      </c>
      <c r="O39" s="8">
        <v>147062</v>
      </c>
      <c r="P39" s="3"/>
      <c r="Q39" s="3"/>
      <c r="R39" s="3"/>
      <c r="S39" s="7" t="s">
        <v>48</v>
      </c>
      <c r="T39" s="20">
        <f>O41/1000</f>
        <v>39.188000000000002</v>
      </c>
      <c r="U39" s="13">
        <f>P41</f>
        <v>0.26647264419088545</v>
      </c>
      <c r="W39" s="8"/>
      <c r="X39" s="8"/>
      <c r="Y39" s="8"/>
    </row>
    <row r="40" spans="1:48" ht="16" x14ac:dyDescent="0.2">
      <c r="S40" s="7" t="s">
        <v>49</v>
      </c>
      <c r="T40" s="20">
        <f>O35/1000</f>
        <v>6.6035754605263159</v>
      </c>
      <c r="U40" s="14">
        <f>P35</f>
        <v>4.4903343219365406E-2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17700</v>
      </c>
      <c r="C41" s="22">
        <f t="shared" ref="C41:O41" si="0">C38+C37+C36</f>
        <v>205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7572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>N38+N37+N36</f>
        <v>13711</v>
      </c>
      <c r="O41" s="22">
        <f t="shared" si="0"/>
        <v>39188</v>
      </c>
      <c r="P41" s="17">
        <f>O41/O$39</f>
        <v>0.26647264419088545</v>
      </c>
      <c r="Q41" s="17" t="s">
        <v>51</v>
      </c>
      <c r="R41" s="7"/>
      <c r="S41" s="7" t="s">
        <v>52</v>
      </c>
      <c r="T41" s="20">
        <f>O33/1000</f>
        <v>5.267135065789474</v>
      </c>
      <c r="U41" s="13">
        <f>P33</f>
        <v>3.5815744827280151E-2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42768</v>
      </c>
      <c r="D42" s="24">
        <f t="shared" ref="D42:M42" si="1">D39+D23+D10</f>
        <v>0</v>
      </c>
      <c r="E42" s="24">
        <f t="shared" si="1"/>
        <v>0</v>
      </c>
      <c r="F42" s="24">
        <f t="shared" si="1"/>
        <v>3379</v>
      </c>
      <c r="G42" s="24">
        <f t="shared" si="1"/>
        <v>59572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68357.52</v>
      </c>
      <c r="O42" s="25">
        <f>SUM(C42:N42)</f>
        <v>174076.52000000002</v>
      </c>
      <c r="P42" s="7"/>
      <c r="Q42" s="7"/>
      <c r="R42" s="7"/>
      <c r="S42" s="7" t="s">
        <v>34</v>
      </c>
      <c r="T42" s="20">
        <f>O31/1000</f>
        <v>1.1140000000000001</v>
      </c>
      <c r="U42" s="13">
        <f>P31</f>
        <v>7.5750363792142089E-3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0.24568505850185882</v>
      </c>
      <c r="D43" s="17">
        <f t="shared" si="2"/>
        <v>0</v>
      </c>
      <c r="E43" s="17">
        <f t="shared" si="2"/>
        <v>0</v>
      </c>
      <c r="F43" s="17">
        <f t="shared" si="2"/>
        <v>1.9411003850490577E-2</v>
      </c>
      <c r="G43" s="17">
        <f t="shared" si="2"/>
        <v>0.34221731914217951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0.39268661850547104</v>
      </c>
      <c r="O43" s="17">
        <f>SUM(C43:N43)</f>
        <v>0.99999999999999989</v>
      </c>
      <c r="P43" s="7"/>
      <c r="Q43" s="7"/>
      <c r="R43" s="7"/>
      <c r="S43" s="7" t="s">
        <v>55</v>
      </c>
      <c r="T43" s="20">
        <f>O32/1000</f>
        <v>49.530289473684213</v>
      </c>
      <c r="U43" s="14">
        <f>P32</f>
        <v>0.33679869356927156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45.359000000000002</v>
      </c>
      <c r="U44" s="14">
        <f>P34</f>
        <v>0.30843453781398322</v>
      </c>
    </row>
    <row r="45" spans="1:48" ht="16" x14ac:dyDescent="0.2">
      <c r="A45" s="6" t="s">
        <v>57</v>
      </c>
      <c r="B45" s="6">
        <f>B23-B39</f>
        <v>13751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5063.5200000000004</v>
      </c>
      <c r="O45" s="25">
        <f>B45+N45</f>
        <v>18814.52</v>
      </c>
      <c r="P45" s="7"/>
      <c r="Q45" s="7"/>
      <c r="R45" s="7"/>
      <c r="S45" s="7" t="s">
        <v>58</v>
      </c>
      <c r="T45" s="20">
        <f>SUM(T39:T44)</f>
        <v>147.06200000000001</v>
      </c>
      <c r="U45" s="13">
        <f>SUM(U39:U44)</f>
        <v>1</v>
      </c>
    </row>
    <row r="46" spans="1:48" ht="16" x14ac:dyDescent="0.2">
      <c r="A46" s="6"/>
      <c r="B46" s="52">
        <f>B45/B23</f>
        <v>0.31394977168949773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1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 enableFormatConditionsCalculation="0"/>
  <dimension ref="A1:AV70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68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0.95*49</f>
        <v>46.55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159664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63">
        <f>SUM(B4:B8)</f>
        <v>159710.54999999999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8">
        <v>18500</v>
      </c>
      <c r="C18" s="8">
        <v>1861</v>
      </c>
      <c r="D18" s="8">
        <v>0</v>
      </c>
      <c r="E18" s="8">
        <v>0</v>
      </c>
      <c r="F18" s="8">
        <v>0</v>
      </c>
      <c r="G18" s="8">
        <v>20232</v>
      </c>
      <c r="H18" s="8">
        <v>0</v>
      </c>
      <c r="I18" s="8"/>
      <c r="J18" s="8"/>
      <c r="K18" s="8"/>
      <c r="L18" s="8"/>
      <c r="M18" s="8"/>
      <c r="N18" s="8"/>
      <c r="O18" s="8">
        <v>22093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212.91216</v>
      </c>
      <c r="U21" s="3"/>
    </row>
    <row r="22" spans="1:25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8">
        <v>18500</v>
      </c>
      <c r="C23" s="8">
        <v>1861</v>
      </c>
      <c r="D23" s="8">
        <v>0</v>
      </c>
      <c r="E23" s="8">
        <v>0</v>
      </c>
      <c r="F23" s="8">
        <v>0</v>
      </c>
      <c r="G23" s="8">
        <v>20232</v>
      </c>
      <c r="H23" s="8">
        <v>0</v>
      </c>
      <c r="I23" s="8"/>
      <c r="J23" s="8"/>
      <c r="K23" s="8"/>
      <c r="L23" s="8"/>
      <c r="M23" s="8"/>
      <c r="N23" s="8"/>
      <c r="O23" s="8">
        <v>22093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105.78816</v>
      </c>
      <c r="U24" s="13">
        <f>N43</f>
        <v>0.49686293164279582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1">
        <f>B18/O18</f>
        <v>0.83736930249400265</v>
      </c>
      <c r="P25" s="3"/>
      <c r="Q25" s="3"/>
      <c r="R25" s="3"/>
      <c r="S25" s="3" t="s">
        <v>59</v>
      </c>
      <c r="T25" s="12">
        <f>G42/1000</f>
        <v>34.427999999999997</v>
      </c>
      <c r="U25" s="14">
        <f>G43</f>
        <v>0.16170048718682858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4.7009999999999996</v>
      </c>
      <c r="U27" s="13">
        <f>F43</f>
        <v>2.2079528008170129E-2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4.8330000000000002</v>
      </c>
      <c r="U28" s="13">
        <f>E43</f>
        <v>2.2699501991807324E-2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979</v>
      </c>
      <c r="D31" s="8">
        <v>0</v>
      </c>
      <c r="E31" s="8">
        <v>0</v>
      </c>
      <c r="F31" s="8">
        <v>101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2415</v>
      </c>
      <c r="O31" s="8">
        <v>3496</v>
      </c>
      <c r="P31" s="17">
        <f>O31/O$39</f>
        <v>1.7351339815269776E-2</v>
      </c>
      <c r="Q31" s="18" t="s">
        <v>34</v>
      </c>
      <c r="R31" s="3"/>
      <c r="S31" s="3" t="s">
        <v>4</v>
      </c>
      <c r="T31" s="12">
        <f>I42/1000</f>
        <v>0</v>
      </c>
      <c r="U31" s="13">
        <f>I43</f>
        <v>0</v>
      </c>
      <c r="W31" s="8"/>
      <c r="X31" s="8"/>
      <c r="Y31" s="8"/>
    </row>
    <row r="32" spans="1:25" ht="16" x14ac:dyDescent="0.2">
      <c r="A32" s="4" t="s">
        <v>36</v>
      </c>
      <c r="B32" s="8">
        <v>240</v>
      </c>
      <c r="C32" s="8">
        <v>254</v>
      </c>
      <c r="D32" s="8">
        <v>0</v>
      </c>
      <c r="E32" s="58">
        <f>O32-N32-C32-B32</f>
        <v>4833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22303</v>
      </c>
      <c r="O32" s="58">
        <f>O39-O38-O37-O36-O35-O34-O33-O31</f>
        <v>27630</v>
      </c>
      <c r="P32" s="17">
        <f>O32/O$39</f>
        <v>0.1371331576361281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8"/>
      <c r="X32" s="8"/>
      <c r="Y32" s="8"/>
    </row>
    <row r="33" spans="1:48" ht="16" x14ac:dyDescent="0.2">
      <c r="A33" s="4" t="s">
        <v>38</v>
      </c>
      <c r="B33" s="8">
        <v>6265</v>
      </c>
      <c r="C33" s="8">
        <v>1968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9248</v>
      </c>
      <c r="O33" s="8">
        <v>17481</v>
      </c>
      <c r="P33" s="17">
        <f>O33/O$39</f>
        <v>8.676166227423654E-2</v>
      </c>
      <c r="Q33" s="18" t="s">
        <v>39</v>
      </c>
      <c r="R33" s="3"/>
      <c r="S33" s="3" t="s">
        <v>35</v>
      </c>
      <c r="T33" s="12">
        <f>C42/1000</f>
        <v>63.161999999999999</v>
      </c>
      <c r="U33" s="14">
        <f>C43</f>
        <v>0.29665755117039816</v>
      </c>
      <c r="W33" s="8"/>
      <c r="X33" s="8"/>
      <c r="Y33" s="8"/>
    </row>
    <row r="34" spans="1:48" ht="16" x14ac:dyDescent="0.2">
      <c r="A34" s="4" t="s">
        <v>40</v>
      </c>
      <c r="B34" s="8">
        <v>0</v>
      </c>
      <c r="C34" s="8">
        <v>56531</v>
      </c>
      <c r="D34" s="8">
        <v>0</v>
      </c>
      <c r="E34" s="8">
        <v>0</v>
      </c>
      <c r="F34" s="58">
        <v>4600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8</v>
      </c>
      <c r="O34" s="58">
        <f>SUM(B34:N34)</f>
        <v>61139</v>
      </c>
      <c r="P34" s="17">
        <f>O34/O$39</f>
        <v>0.3034449556538269</v>
      </c>
      <c r="Q34" s="18" t="s">
        <v>41</v>
      </c>
      <c r="R34" s="3"/>
      <c r="S34" s="3"/>
      <c r="T34" s="12">
        <f>SUM(T24:T33)</f>
        <v>212.91216</v>
      </c>
      <c r="U34" s="13">
        <f>SUM(U24:U33)</f>
        <v>1</v>
      </c>
      <c r="W34" s="8"/>
      <c r="X34" s="8"/>
      <c r="Y34" s="8"/>
    </row>
    <row r="35" spans="1:48" ht="16" x14ac:dyDescent="0.2">
      <c r="A35" s="4" t="s">
        <v>42</v>
      </c>
      <c r="B35" s="8">
        <v>45</v>
      </c>
      <c r="C35" s="8">
        <v>713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12407</v>
      </c>
      <c r="O35" s="8">
        <v>13165</v>
      </c>
      <c r="P35" s="17">
        <f>O35/O$39</f>
        <v>6.5340500191083117E-2</v>
      </c>
      <c r="Q35" s="18" t="s">
        <v>43</v>
      </c>
      <c r="R35" s="18"/>
      <c r="W35" s="8"/>
      <c r="X35" s="8"/>
      <c r="Y35" s="8"/>
    </row>
    <row r="36" spans="1:48" ht="16" x14ac:dyDescent="0.2">
      <c r="A36" s="4" t="s">
        <v>44</v>
      </c>
      <c r="B36" s="8">
        <v>750</v>
      </c>
      <c r="C36" s="8">
        <v>855</v>
      </c>
      <c r="D36" s="8">
        <v>0</v>
      </c>
      <c r="E36" s="8">
        <v>0</v>
      </c>
      <c r="F36" s="8">
        <v>0</v>
      </c>
      <c r="G36" s="8">
        <v>14196</v>
      </c>
      <c r="H36" s="8">
        <v>0</v>
      </c>
      <c r="I36" s="8"/>
      <c r="J36" s="8"/>
      <c r="K36" s="8"/>
      <c r="L36" s="8"/>
      <c r="M36" s="27"/>
      <c r="N36" s="8">
        <v>47219</v>
      </c>
      <c r="O36" s="8">
        <v>63020</v>
      </c>
      <c r="P36" s="18"/>
      <c r="Q36" s="18"/>
      <c r="R36" s="3"/>
      <c r="S36" s="7"/>
      <c r="T36" s="7"/>
      <c r="U36" s="7"/>
      <c r="W36" s="8"/>
      <c r="X36" s="8"/>
      <c r="Y36" s="8"/>
    </row>
    <row r="37" spans="1:48" ht="16" x14ac:dyDescent="0.2">
      <c r="A37" s="4" t="s">
        <v>45</v>
      </c>
      <c r="B37" s="8">
        <v>11200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2676</v>
      </c>
      <c r="O37" s="8">
        <v>13876</v>
      </c>
      <c r="P37" s="18"/>
      <c r="Q37" s="18"/>
      <c r="R37" s="3"/>
      <c r="S37" s="7"/>
      <c r="T37" s="7" t="s">
        <v>26</v>
      </c>
      <c r="U37" s="7" t="s">
        <v>27</v>
      </c>
      <c r="W37" s="8"/>
      <c r="X37" s="8"/>
      <c r="Y37" s="8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1676</v>
      </c>
      <c r="O38" s="8">
        <v>1676</v>
      </c>
      <c r="P38" s="18">
        <f>SUM(P31:P35)</f>
        <v>0.61003161557054453</v>
      </c>
      <c r="Q38" s="18"/>
      <c r="R38" s="3"/>
      <c r="S38" s="7" t="s">
        <v>47</v>
      </c>
      <c r="T38" s="19">
        <f>O45/1000</f>
        <v>7.8361599999999996</v>
      </c>
      <c r="U38" s="7"/>
      <c r="W38" s="8"/>
      <c r="X38" s="8"/>
      <c r="Y38" s="8"/>
    </row>
    <row r="39" spans="1:48" ht="16" x14ac:dyDescent="0.2">
      <c r="A39" s="4" t="s">
        <v>15</v>
      </c>
      <c r="B39" s="8">
        <v>18500</v>
      </c>
      <c r="C39" s="8">
        <v>61301</v>
      </c>
      <c r="D39" s="8">
        <v>0</v>
      </c>
      <c r="E39" s="58">
        <f>SUM(E31:E38)</f>
        <v>4833</v>
      </c>
      <c r="F39" s="58">
        <f>SUM(F31:F38)</f>
        <v>4701</v>
      </c>
      <c r="G39" s="8">
        <v>14196</v>
      </c>
      <c r="H39" s="8">
        <v>0</v>
      </c>
      <c r="I39" s="8"/>
      <c r="J39" s="8"/>
      <c r="K39" s="8"/>
      <c r="L39" s="8"/>
      <c r="M39" s="27"/>
      <c r="N39" s="8">
        <v>97952</v>
      </c>
      <c r="O39" s="8">
        <v>201483</v>
      </c>
      <c r="P39" s="3"/>
      <c r="Q39" s="3"/>
      <c r="R39" s="3"/>
      <c r="S39" s="7" t="s">
        <v>48</v>
      </c>
      <c r="T39" s="20">
        <f>O41/1000</f>
        <v>78.572000000000003</v>
      </c>
      <c r="U39" s="13">
        <f>P41</f>
        <v>0.38996838442945558</v>
      </c>
      <c r="W39" s="8"/>
      <c r="X39" s="8"/>
      <c r="Y39" s="8"/>
    </row>
    <row r="40" spans="1:48" ht="16" x14ac:dyDescent="0.2">
      <c r="O40" s="9"/>
      <c r="S40" s="7" t="s">
        <v>49</v>
      </c>
      <c r="T40" s="20">
        <f>O35/1000</f>
        <v>13.164999999999999</v>
      </c>
      <c r="U40" s="14">
        <f>P35</f>
        <v>6.5340500191083117E-2</v>
      </c>
      <c r="W40" s="8"/>
      <c r="X40" s="8"/>
      <c r="Y40" s="8"/>
    </row>
    <row r="41" spans="1:48" ht="16" x14ac:dyDescent="0.2">
      <c r="A41" s="21" t="s">
        <v>50</v>
      </c>
      <c r="B41" s="22">
        <f>B38+B37+B36</f>
        <v>11950</v>
      </c>
      <c r="C41" s="22">
        <f t="shared" ref="C41:O41" si="0">C38+C37+C36</f>
        <v>855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14196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51571</v>
      </c>
      <c r="O41" s="22">
        <f t="shared" si="0"/>
        <v>78572</v>
      </c>
      <c r="P41" s="17">
        <f>O41/O$39</f>
        <v>0.38996838442945558</v>
      </c>
      <c r="Q41" s="17" t="s">
        <v>51</v>
      </c>
      <c r="R41" s="7"/>
      <c r="S41" s="7" t="s">
        <v>52</v>
      </c>
      <c r="T41" s="20">
        <f>O33/1000</f>
        <v>17.481000000000002</v>
      </c>
      <c r="U41" s="13">
        <f>P33</f>
        <v>8.676166227423654E-2</v>
      </c>
      <c r="W41" s="8"/>
      <c r="X41" s="8"/>
      <c r="Y41" s="8"/>
    </row>
    <row r="42" spans="1:48" ht="16" x14ac:dyDescent="0.2">
      <c r="A42" s="23" t="s">
        <v>53</v>
      </c>
      <c r="B42" s="22"/>
      <c r="C42" s="24">
        <f>C39+C23+C10</f>
        <v>63162</v>
      </c>
      <c r="D42" s="24">
        <f t="shared" ref="D42:M42" si="1">D39+D23+D10</f>
        <v>0</v>
      </c>
      <c r="E42" s="24">
        <f t="shared" si="1"/>
        <v>4833</v>
      </c>
      <c r="F42" s="24">
        <f t="shared" si="1"/>
        <v>4701</v>
      </c>
      <c r="G42" s="24">
        <f t="shared" si="1"/>
        <v>34428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105788.16</v>
      </c>
      <c r="O42" s="25">
        <f>SUM(C42:N42)</f>
        <v>212912.16</v>
      </c>
      <c r="P42" s="7"/>
      <c r="Q42" s="7"/>
      <c r="R42" s="7"/>
      <c r="S42" s="7" t="s">
        <v>34</v>
      </c>
      <c r="T42" s="20">
        <f>O31/1000</f>
        <v>3.496</v>
      </c>
      <c r="U42" s="13">
        <f>P31</f>
        <v>1.7351339815269776E-2</v>
      </c>
      <c r="W42" s="8"/>
      <c r="X42" s="8"/>
      <c r="Y42" s="8"/>
    </row>
    <row r="43" spans="1:48" ht="16" x14ac:dyDescent="0.2">
      <c r="A43" s="23" t="s">
        <v>54</v>
      </c>
      <c r="B43" s="22"/>
      <c r="C43" s="17">
        <f t="shared" ref="C43:N43" si="2">C42/$O42</f>
        <v>0.29665755117039816</v>
      </c>
      <c r="D43" s="17">
        <f t="shared" si="2"/>
        <v>0</v>
      </c>
      <c r="E43" s="17">
        <f t="shared" si="2"/>
        <v>2.2699501991807324E-2</v>
      </c>
      <c r="F43" s="17">
        <f t="shared" si="2"/>
        <v>2.2079528008170129E-2</v>
      </c>
      <c r="G43" s="17">
        <f t="shared" si="2"/>
        <v>0.16170048718682858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0.49686293164279582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27.63</v>
      </c>
      <c r="U43" s="14">
        <f>P32</f>
        <v>0.1371331576361281</v>
      </c>
      <c r="W43" s="8"/>
      <c r="X43" s="8"/>
      <c r="Y43" s="8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61.139000000000003</v>
      </c>
      <c r="U44" s="14">
        <f>P34</f>
        <v>0.3034449556538269</v>
      </c>
    </row>
    <row r="45" spans="1:48" ht="16" x14ac:dyDescent="0.2">
      <c r="A45" s="6" t="s">
        <v>57</v>
      </c>
      <c r="B45" s="6">
        <f>B23-B39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7836.16</v>
      </c>
      <c r="O45" s="25">
        <f>B45+N45</f>
        <v>7836.16</v>
      </c>
      <c r="P45" s="7"/>
      <c r="Q45" s="7"/>
      <c r="R45" s="7"/>
      <c r="S45" s="7" t="s">
        <v>58</v>
      </c>
      <c r="T45" s="20">
        <f>SUM(T39:T44)</f>
        <v>201.483</v>
      </c>
      <c r="U45" s="13">
        <f>SUM(U39:U44)</f>
        <v>1</v>
      </c>
    </row>
    <row r="46" spans="1:48" ht="16" x14ac:dyDescent="0.2">
      <c r="A46" s="6"/>
      <c r="B46" s="52">
        <f>B45/B23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1"/>
      <c r="G48" s="40"/>
      <c r="H48" s="4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1"/>
      <c r="E52" s="40"/>
      <c r="F52" s="40"/>
      <c r="G52" s="40"/>
      <c r="H52" s="41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1"/>
      <c r="E55" s="40"/>
      <c r="F55" s="41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1"/>
      <c r="E56" s="40"/>
      <c r="F56" s="41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 enableFormatConditionsCalculation="0"/>
  <dimension ref="A1:AV69"/>
  <sheetViews>
    <sheetView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5" width="8.83203125" style="2"/>
    <col min="6" max="6" width="9.6640625" style="2" customWidth="1"/>
    <col min="7" max="7" width="12.1640625" style="2" customWidth="1"/>
    <col min="8" max="8" width="8.83203125" style="2"/>
    <col min="9" max="9" width="11.1640625" style="2" customWidth="1"/>
    <col min="10" max="10" width="8.83203125" style="2"/>
    <col min="11" max="11" width="10.1640625" style="2" customWidth="1"/>
    <col min="12" max="12" width="9.5" style="2" customWidth="1"/>
    <col min="13" max="13" width="9.83203125" style="2" customWidth="1"/>
    <col min="14" max="15" width="10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69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35</v>
      </c>
      <c r="D3" s="6" t="s">
        <v>2</v>
      </c>
      <c r="E3" s="6" t="s">
        <v>3</v>
      </c>
      <c r="F3" s="6" t="s">
        <v>18</v>
      </c>
      <c r="G3" s="6" t="s">
        <v>59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88</v>
      </c>
      <c r="B4" s="91">
        <f>0.95*50</f>
        <v>47.5</v>
      </c>
      <c r="Q4" s="27"/>
      <c r="R4" s="27"/>
      <c r="AH4" s="27"/>
      <c r="AI4" s="27"/>
    </row>
    <row r="5" spans="1:35" ht="15.75" x14ac:dyDescent="0.25">
      <c r="A5" s="27" t="s">
        <v>78</v>
      </c>
      <c r="Q5" s="27"/>
      <c r="R5" s="27"/>
      <c r="AH5" s="27"/>
      <c r="AI5" s="27"/>
    </row>
    <row r="6" spans="1:35" ht="16" x14ac:dyDescent="0.2">
      <c r="A6" s="4" t="s">
        <v>11</v>
      </c>
      <c r="B6" s="58">
        <v>0</v>
      </c>
      <c r="C6" s="58">
        <v>0</v>
      </c>
      <c r="D6" s="51">
        <v>0</v>
      </c>
      <c r="E6" s="51">
        <v>0</v>
      </c>
      <c r="F6" s="51">
        <v>0</v>
      </c>
      <c r="G6" s="58">
        <v>0</v>
      </c>
      <c r="H6" s="51">
        <v>0</v>
      </c>
      <c r="I6" s="51"/>
      <c r="J6" s="51"/>
      <c r="K6" s="51"/>
      <c r="L6" s="51"/>
      <c r="M6" s="51"/>
      <c r="N6" s="51"/>
      <c r="O6" s="5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/>
      <c r="J7" s="51"/>
      <c r="K7" s="51"/>
      <c r="L7" s="51"/>
      <c r="M7" s="51"/>
      <c r="N7" s="51"/>
      <c r="O7" s="51">
        <v>0</v>
      </c>
      <c r="P7" s="51"/>
      <c r="Q7" s="27"/>
      <c r="R7" s="27"/>
      <c r="AH7" s="27"/>
      <c r="AI7" s="27"/>
    </row>
    <row r="8" spans="1:35" ht="15.75" x14ac:dyDescent="0.25">
      <c r="A8" s="4" t="s">
        <v>13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/>
      <c r="J8" s="51"/>
      <c r="K8" s="51"/>
      <c r="L8" s="51"/>
      <c r="M8" s="51"/>
      <c r="N8" s="51"/>
      <c r="O8" s="51">
        <v>0</v>
      </c>
      <c r="P8" s="51"/>
      <c r="Q8" s="27"/>
      <c r="R8" s="27"/>
      <c r="AH8" s="27"/>
      <c r="AI8" s="27"/>
    </row>
    <row r="9" spans="1:35" ht="15.75" x14ac:dyDescent="0.25">
      <c r="A9" s="4" t="s">
        <v>14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/>
      <c r="J9" s="51"/>
      <c r="K9" s="51"/>
      <c r="L9" s="51"/>
      <c r="M9" s="51"/>
      <c r="N9" s="51"/>
      <c r="O9" s="51">
        <v>0</v>
      </c>
      <c r="P9" s="51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58">
        <f>SUM(B4:B9)</f>
        <v>47.5</v>
      </c>
      <c r="C10" s="58">
        <v>0</v>
      </c>
      <c r="D10" s="51">
        <v>0</v>
      </c>
      <c r="E10" s="51">
        <v>0</v>
      </c>
      <c r="F10" s="51">
        <v>0</v>
      </c>
      <c r="G10" s="58">
        <v>0</v>
      </c>
      <c r="H10" s="51">
        <v>0</v>
      </c>
      <c r="I10" s="51"/>
      <c r="J10" s="51"/>
      <c r="K10" s="51"/>
      <c r="L10" s="51"/>
      <c r="M10" s="51"/>
      <c r="N10" s="51"/>
      <c r="O10" s="58">
        <v>0</v>
      </c>
      <c r="P10" s="51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35</v>
      </c>
      <c r="D15" s="6" t="s">
        <v>2</v>
      </c>
      <c r="E15" s="6" t="s">
        <v>3</v>
      </c>
      <c r="F15" s="6" t="s">
        <v>18</v>
      </c>
      <c r="G15" s="6" t="s">
        <v>59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5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5" ht="16" x14ac:dyDescent="0.2">
      <c r="A18" s="4" t="s">
        <v>20</v>
      </c>
      <c r="B18" s="8">
        <v>910</v>
      </c>
      <c r="C18" s="8">
        <v>1065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v>1065</v>
      </c>
      <c r="P18" s="3"/>
      <c r="Q18" s="3"/>
      <c r="R18" s="3"/>
      <c r="S18" s="3"/>
      <c r="T18" s="3"/>
      <c r="U18" s="3"/>
    </row>
    <row r="19" spans="1:25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5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5" ht="16" x14ac:dyDescent="0.2">
      <c r="A21" s="4" t="s">
        <v>23</v>
      </c>
      <c r="B21" s="8">
        <v>24705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4390.3884400000006</v>
      </c>
      <c r="U21" s="3"/>
    </row>
    <row r="22" spans="1:25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5" ht="16" x14ac:dyDescent="0.2">
      <c r="A23" s="4" t="s">
        <v>15</v>
      </c>
      <c r="B23" s="8">
        <v>25615</v>
      </c>
      <c r="C23" s="8">
        <v>1065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8">
        <v>1065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499.03343999999998</v>
      </c>
      <c r="U24" s="13">
        <f>N43</f>
        <v>0.11366498587081737</v>
      </c>
    </row>
    <row r="25" spans="1:25" ht="16" x14ac:dyDescent="0.2"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59</v>
      </c>
      <c r="T25" s="12">
        <f>G42/1000</f>
        <v>832.85299999999995</v>
      </c>
      <c r="U25" s="14">
        <f>G43</f>
        <v>0.18969916019549285</v>
      </c>
    </row>
    <row r="26" spans="1:25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5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177.12799999999999</v>
      </c>
      <c r="U27" s="13">
        <f>F43</f>
        <v>4.0344493982860427E-2</v>
      </c>
    </row>
    <row r="28" spans="1:25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5.0000000000000001E-3</v>
      </c>
      <c r="U28" s="13">
        <f>E43</f>
        <v>1.1388513951171025E-6</v>
      </c>
    </row>
    <row r="29" spans="1:25" ht="16" x14ac:dyDescent="0.2">
      <c r="B29" s="6" t="s">
        <v>29</v>
      </c>
      <c r="C29" s="6" t="s">
        <v>35</v>
      </c>
      <c r="D29" s="6" t="s">
        <v>2</v>
      </c>
      <c r="E29" s="6" t="s">
        <v>3</v>
      </c>
      <c r="F29" s="6" t="s">
        <v>30</v>
      </c>
      <c r="G29" s="6" t="s">
        <v>59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5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5" ht="16" x14ac:dyDescent="0.2">
      <c r="A31" s="4" t="s">
        <v>32</v>
      </c>
      <c r="B31" s="8">
        <v>0</v>
      </c>
      <c r="C31" s="8">
        <v>2229</v>
      </c>
      <c r="D31" s="8">
        <v>0</v>
      </c>
      <c r="E31" s="8">
        <v>0</v>
      </c>
      <c r="F31" s="8">
        <v>187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4693</v>
      </c>
      <c r="O31" s="8">
        <v>7109</v>
      </c>
      <c r="P31" s="17">
        <f>O31/O$39</f>
        <v>1.6253849972094777E-3</v>
      </c>
      <c r="Q31" s="18" t="s">
        <v>34</v>
      </c>
      <c r="R31" s="3"/>
      <c r="S31" s="3" t="s">
        <v>4</v>
      </c>
      <c r="T31" s="12">
        <f>I42/1000</f>
        <v>2626</v>
      </c>
      <c r="U31" s="13">
        <f>I43</f>
        <v>0.59812475271550225</v>
      </c>
      <c r="W31" s="51"/>
      <c r="X31" s="51"/>
      <c r="Y31" s="51"/>
    </row>
    <row r="32" spans="1:25" ht="16" x14ac:dyDescent="0.2">
      <c r="A32" s="4" t="s">
        <v>36</v>
      </c>
      <c r="B32" s="8">
        <v>0</v>
      </c>
      <c r="C32" s="58">
        <f>C39-C36-C35-C34-C31</f>
        <v>105315</v>
      </c>
      <c r="D32" s="8">
        <v>0</v>
      </c>
      <c r="E32" s="58">
        <f>E39</f>
        <v>5</v>
      </c>
      <c r="F32" s="83">
        <v>163000</v>
      </c>
      <c r="G32" s="84">
        <f>742000+64000</f>
        <v>806000</v>
      </c>
      <c r="H32" s="70">
        <v>0</v>
      </c>
      <c r="I32" s="77">
        <v>2626000</v>
      </c>
      <c r="J32" s="8"/>
      <c r="K32" s="8"/>
      <c r="L32" s="77"/>
      <c r="M32" s="27"/>
      <c r="N32" s="84">
        <f>341000+29850+30000</f>
        <v>400850</v>
      </c>
      <c r="O32" s="63">
        <f>SUM(B32:N32)</f>
        <v>4101170</v>
      </c>
      <c r="P32" s="17">
        <f>O32/O$39</f>
        <v>0.937681838374679</v>
      </c>
      <c r="Q32" s="18" t="s">
        <v>37</v>
      </c>
      <c r="R32" s="3"/>
      <c r="S32" s="3" t="s">
        <v>5</v>
      </c>
      <c r="T32" s="12">
        <f>H42/1000</f>
        <v>0</v>
      </c>
      <c r="U32" s="13">
        <f>H43</f>
        <v>0</v>
      </c>
      <c r="W32" s="51"/>
      <c r="X32" s="51"/>
      <c r="Y32" s="51"/>
    </row>
    <row r="33" spans="1:48" ht="16" x14ac:dyDescent="0.2">
      <c r="A33" s="4" t="s">
        <v>38</v>
      </c>
      <c r="B33" s="8">
        <v>4190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7347</v>
      </c>
      <c r="O33" s="8">
        <v>11537</v>
      </c>
      <c r="P33" s="17">
        <f>O33/O$39</f>
        <v>2.6377924761296586E-3</v>
      </c>
      <c r="Q33" s="18" t="s">
        <v>39</v>
      </c>
      <c r="R33" s="3"/>
      <c r="S33" s="3" t="s">
        <v>35</v>
      </c>
      <c r="T33" s="12">
        <f>C42/1000</f>
        <v>255.369</v>
      </c>
      <c r="U33" s="14">
        <f>C43</f>
        <v>5.816546838393187E-2</v>
      </c>
      <c r="W33" s="51"/>
      <c r="X33" s="51"/>
      <c r="Y33" s="51"/>
    </row>
    <row r="34" spans="1:48" ht="16" x14ac:dyDescent="0.2">
      <c r="A34" s="4" t="s">
        <v>40</v>
      </c>
      <c r="B34" s="8">
        <v>0</v>
      </c>
      <c r="C34" s="58">
        <f>O34-N34-F34</f>
        <v>144594</v>
      </c>
      <c r="D34" s="8">
        <v>0</v>
      </c>
      <c r="E34" s="8">
        <v>0</v>
      </c>
      <c r="F34" s="58">
        <v>13941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89</v>
      </c>
      <c r="O34" s="8">
        <v>158624</v>
      </c>
      <c r="P34" s="17">
        <f>O34/O$39</f>
        <v>3.626741732977299E-2</v>
      </c>
      <c r="Q34" s="18" t="s">
        <v>41</v>
      </c>
      <c r="R34" s="3"/>
      <c r="S34" s="3"/>
      <c r="T34" s="12">
        <f>SUM(T24:T33)</f>
        <v>4390.3884399999997</v>
      </c>
      <c r="U34" s="13">
        <f>SUM(U24:U33)</f>
        <v>1</v>
      </c>
      <c r="W34" s="51"/>
      <c r="X34" s="51"/>
      <c r="Y34" s="51"/>
    </row>
    <row r="35" spans="1:48" ht="16" x14ac:dyDescent="0.2">
      <c r="A35" s="4" t="s">
        <v>42</v>
      </c>
      <c r="B35" s="8">
        <v>1397</v>
      </c>
      <c r="C35" s="8">
        <v>1389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12219</v>
      </c>
      <c r="O35" s="8">
        <v>15005</v>
      </c>
      <c r="P35" s="17">
        <f>O35/O$39</f>
        <v>3.430707818698581E-3</v>
      </c>
      <c r="Q35" s="18" t="s">
        <v>43</v>
      </c>
      <c r="R35" s="18"/>
      <c r="W35" s="51"/>
      <c r="X35" s="51"/>
      <c r="Y35" s="51"/>
    </row>
    <row r="36" spans="1:48" ht="16" x14ac:dyDescent="0.2">
      <c r="A36" s="4" t="s">
        <v>44</v>
      </c>
      <c r="B36" s="8">
        <v>5544</v>
      </c>
      <c r="C36" s="8">
        <v>777</v>
      </c>
      <c r="D36" s="8">
        <v>0</v>
      </c>
      <c r="E36" s="8">
        <v>0</v>
      </c>
      <c r="F36" s="8">
        <v>0</v>
      </c>
      <c r="G36" s="8">
        <v>26853</v>
      </c>
      <c r="H36" s="8">
        <v>0</v>
      </c>
      <c r="I36" s="8"/>
      <c r="J36" s="8"/>
      <c r="K36" s="8"/>
      <c r="L36" s="8"/>
      <c r="M36" s="27"/>
      <c r="N36" s="8">
        <v>30160</v>
      </c>
      <c r="O36" s="8">
        <v>63334</v>
      </c>
      <c r="P36" s="18"/>
      <c r="Q36" s="18"/>
      <c r="R36" s="3"/>
      <c r="S36" s="7"/>
      <c r="T36" s="7"/>
      <c r="U36" s="7"/>
      <c r="W36" s="51"/>
      <c r="X36" s="51"/>
      <c r="Y36" s="51"/>
    </row>
    <row r="37" spans="1:48" ht="16" x14ac:dyDescent="0.2">
      <c r="A37" s="4" t="s">
        <v>45</v>
      </c>
      <c r="B37" s="8">
        <v>10244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4287</v>
      </c>
      <c r="O37" s="8">
        <v>14531</v>
      </c>
      <c r="P37" s="18"/>
      <c r="Q37" s="18"/>
      <c r="R37" s="3"/>
      <c r="S37" s="7"/>
      <c r="T37" s="7" t="s">
        <v>26</v>
      </c>
      <c r="U37" s="7" t="s">
        <v>27</v>
      </c>
      <c r="W37" s="51"/>
      <c r="X37" s="51"/>
      <c r="Y37" s="51"/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2423</v>
      </c>
      <c r="O38" s="8">
        <v>2423</v>
      </c>
      <c r="P38" s="18">
        <f>SUM(P31:P35)</f>
        <v>0.98164314099648964</v>
      </c>
      <c r="Q38" s="18"/>
      <c r="R38" s="3"/>
      <c r="S38" s="7" t="s">
        <v>47</v>
      </c>
      <c r="T38" s="19">
        <f>O45/1000</f>
        <v>41.205440000000003</v>
      </c>
      <c r="U38" s="7"/>
      <c r="W38" s="51"/>
      <c r="X38" s="51"/>
      <c r="Y38" s="51"/>
    </row>
    <row r="39" spans="1:48" ht="16" x14ac:dyDescent="0.2">
      <c r="A39" s="4" t="s">
        <v>15</v>
      </c>
      <c r="B39" s="8">
        <v>21375</v>
      </c>
      <c r="C39" s="63">
        <f>224304+30000</f>
        <v>254304</v>
      </c>
      <c r="D39" s="8">
        <v>0</v>
      </c>
      <c r="E39" s="58">
        <v>5</v>
      </c>
      <c r="F39" s="58">
        <f>SUM(F31:F38)</f>
        <v>177128</v>
      </c>
      <c r="G39" s="58">
        <f>SUM(G31:G38)</f>
        <v>832853</v>
      </c>
      <c r="H39" s="70">
        <v>0</v>
      </c>
      <c r="I39" s="77">
        <f>SUM(I32:I38)</f>
        <v>2626000</v>
      </c>
      <c r="J39" s="8"/>
      <c r="K39" s="8"/>
      <c r="L39" s="77"/>
      <c r="M39" s="27"/>
      <c r="N39" s="58">
        <f>SUM(N31:N38)</f>
        <v>462068</v>
      </c>
      <c r="O39" s="63">
        <f>SUM(O31:O38)</f>
        <v>4373733</v>
      </c>
      <c r="P39" s="3"/>
      <c r="Q39" s="3"/>
      <c r="R39" s="3"/>
      <c r="S39" s="7" t="s">
        <v>48</v>
      </c>
      <c r="T39" s="20">
        <f>O41/1000</f>
        <v>80.287999999999997</v>
      </c>
      <c r="U39" s="13">
        <f>P41</f>
        <v>1.8356859003510275E-2</v>
      </c>
      <c r="W39" s="51"/>
      <c r="X39" s="51"/>
      <c r="Y39" s="51"/>
    </row>
    <row r="40" spans="1:48" ht="16" x14ac:dyDescent="0.2">
      <c r="K40" s="9"/>
      <c r="N40" s="9"/>
      <c r="O40" s="9"/>
      <c r="S40" s="7" t="s">
        <v>49</v>
      </c>
      <c r="T40" s="20">
        <f>O35/1000</f>
        <v>15.005000000000001</v>
      </c>
      <c r="U40" s="14">
        <f>P35</f>
        <v>3.430707818698581E-3</v>
      </c>
      <c r="W40" s="51"/>
      <c r="X40" s="51"/>
      <c r="Y40" s="51"/>
    </row>
    <row r="41" spans="1:48" ht="16" x14ac:dyDescent="0.2">
      <c r="A41" s="21" t="s">
        <v>50</v>
      </c>
      <c r="B41" s="22">
        <f>B38+B37+B36</f>
        <v>15788</v>
      </c>
      <c r="C41" s="22">
        <f t="shared" ref="C41:O41" si="0">C38+C37+C36</f>
        <v>777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26853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36870</v>
      </c>
      <c r="O41" s="22">
        <f t="shared" si="0"/>
        <v>80288</v>
      </c>
      <c r="P41" s="17">
        <f>O41/O$39</f>
        <v>1.8356859003510275E-2</v>
      </c>
      <c r="Q41" s="17" t="s">
        <v>51</v>
      </c>
      <c r="R41" s="7"/>
      <c r="S41" s="7" t="s">
        <v>52</v>
      </c>
      <c r="T41" s="20">
        <f>O33/1000</f>
        <v>11.537000000000001</v>
      </c>
      <c r="U41" s="13">
        <f>P33</f>
        <v>2.6377924761296586E-3</v>
      </c>
      <c r="W41" s="51"/>
      <c r="X41" s="51"/>
      <c r="Y41" s="51"/>
    </row>
    <row r="42" spans="1:48" ht="16" x14ac:dyDescent="0.2">
      <c r="A42" s="23" t="s">
        <v>53</v>
      </c>
      <c r="B42" s="22"/>
      <c r="C42" s="24">
        <f>C39+C23+C10</f>
        <v>255369</v>
      </c>
      <c r="D42" s="24">
        <f t="shared" ref="D42:M42" si="1">D39+D23+D10</f>
        <v>0</v>
      </c>
      <c r="E42" s="24">
        <f t="shared" si="1"/>
        <v>5</v>
      </c>
      <c r="F42" s="24">
        <f t="shared" si="1"/>
        <v>177128</v>
      </c>
      <c r="G42" s="24">
        <f t="shared" si="1"/>
        <v>832853</v>
      </c>
      <c r="H42" s="24">
        <f t="shared" si="1"/>
        <v>0</v>
      </c>
      <c r="I42" s="24">
        <f t="shared" si="1"/>
        <v>2626000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499033.44</v>
      </c>
      <c r="O42" s="25">
        <f>SUM(C42:N42)</f>
        <v>4390388.4400000004</v>
      </c>
      <c r="P42" s="7"/>
      <c r="Q42" s="7"/>
      <c r="R42" s="7"/>
      <c r="S42" s="7" t="s">
        <v>34</v>
      </c>
      <c r="T42" s="20">
        <f>O31/1000</f>
        <v>7.109</v>
      </c>
      <c r="U42" s="13">
        <f>P31</f>
        <v>1.6253849972094777E-3</v>
      </c>
      <c r="W42" s="51"/>
      <c r="X42" s="51"/>
      <c r="Y42" s="51"/>
    </row>
    <row r="43" spans="1:48" ht="16" x14ac:dyDescent="0.2">
      <c r="A43" s="23" t="s">
        <v>54</v>
      </c>
      <c r="B43" s="22"/>
      <c r="C43" s="17">
        <f t="shared" ref="C43:N43" si="2">C42/$O42</f>
        <v>5.816546838393187E-2</v>
      </c>
      <c r="D43" s="17">
        <f t="shared" si="2"/>
        <v>0</v>
      </c>
      <c r="E43" s="17">
        <f t="shared" si="2"/>
        <v>1.1388513951171025E-6</v>
      </c>
      <c r="F43" s="17">
        <f t="shared" si="2"/>
        <v>4.0344493982860427E-2</v>
      </c>
      <c r="G43" s="17">
        <f t="shared" si="2"/>
        <v>0.18969916019549285</v>
      </c>
      <c r="H43" s="17">
        <f t="shared" si="2"/>
        <v>0</v>
      </c>
      <c r="I43" s="17">
        <f t="shared" si="2"/>
        <v>0.59812475271550225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0.11366498587081737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4101.17</v>
      </c>
      <c r="U43" s="14">
        <f>P32</f>
        <v>0.937681838374679</v>
      </c>
      <c r="W43" s="51"/>
      <c r="X43" s="51"/>
      <c r="Y43" s="51"/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158.624</v>
      </c>
      <c r="U44" s="14">
        <f>P34</f>
        <v>3.626741732977299E-2</v>
      </c>
    </row>
    <row r="45" spans="1:48" ht="16" x14ac:dyDescent="0.2">
      <c r="A45" s="6" t="s">
        <v>57</v>
      </c>
      <c r="B45" s="6">
        <f>B23-B39</f>
        <v>4240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36965.440000000002</v>
      </c>
      <c r="O45" s="25">
        <f>B45+N45</f>
        <v>41205.440000000002</v>
      </c>
      <c r="P45" s="7"/>
      <c r="Q45" s="7"/>
      <c r="R45" s="7"/>
      <c r="S45" s="7" t="s">
        <v>58</v>
      </c>
      <c r="T45" s="20">
        <f>SUM(T39:T44)</f>
        <v>4373.7330000000002</v>
      </c>
      <c r="U45" s="13">
        <f>SUM(U39:U44)</f>
        <v>1</v>
      </c>
    </row>
    <row r="46" spans="1:48" ht="16" x14ac:dyDescent="0.2">
      <c r="A46" s="6"/>
      <c r="B46" s="52">
        <f>B45/B23</f>
        <v>0.16552801093109507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6" x14ac:dyDescent="0.2">
      <c r="A49" s="3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6" x14ac:dyDescent="0.2">
      <c r="A50" s="3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6" x14ac:dyDescent="0.2">
      <c r="A51" s="4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6" x14ac:dyDescent="0.2">
      <c r="A52" s="4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6" x14ac:dyDescent="0.2">
      <c r="A53" s="4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ht="16" x14ac:dyDescent="0.2">
      <c r="A54" s="87"/>
      <c r="B54" s="8"/>
      <c r="C54" s="8"/>
      <c r="D54" s="8"/>
      <c r="E54" s="8"/>
      <c r="F54" s="8"/>
      <c r="G54" s="8"/>
      <c r="H54" s="8"/>
      <c r="I54" s="8"/>
      <c r="K54" s="8"/>
      <c r="L54" s="8"/>
      <c r="M54" s="8"/>
      <c r="N54" s="8"/>
      <c r="O54" s="8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6" x14ac:dyDescent="0.2">
      <c r="A55" s="87"/>
      <c r="B55" s="87"/>
      <c r="C55" s="9"/>
      <c r="D55" s="9"/>
      <c r="E55" s="9"/>
      <c r="F55" s="9"/>
      <c r="G55" s="9"/>
      <c r="H55" s="9"/>
      <c r="I55" s="88"/>
      <c r="K55" s="8"/>
      <c r="L55" s="8"/>
      <c r="M55" s="8"/>
      <c r="N55" s="8"/>
      <c r="O55" s="8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ht="16" x14ac:dyDescent="0.2">
      <c r="A56" s="86"/>
      <c r="B56" s="87"/>
      <c r="C56" s="9"/>
      <c r="D56" s="9"/>
      <c r="E56" s="9"/>
      <c r="F56" s="9"/>
      <c r="G56" s="9"/>
      <c r="H56" s="9"/>
      <c r="I56" s="89"/>
      <c r="K56" s="28"/>
      <c r="L56" s="6"/>
      <c r="M56" s="6"/>
      <c r="N56" s="29"/>
      <c r="O56" s="7"/>
      <c r="P56" s="6"/>
      <c r="Q56" s="13"/>
      <c r="R56" s="7"/>
      <c r="S56" s="7"/>
      <c r="T56" s="6"/>
      <c r="U56" s="30"/>
    </row>
    <row r="57" spans="1:48" ht="16" x14ac:dyDescent="0.2">
      <c r="A57" s="86"/>
      <c r="B57" s="87"/>
      <c r="C57" s="9"/>
      <c r="D57" s="9"/>
      <c r="E57" s="9"/>
      <c r="F57" s="9"/>
      <c r="G57" s="9"/>
      <c r="H57" s="9"/>
      <c r="I57" s="9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86"/>
      <c r="B58" s="87"/>
      <c r="C58" s="9"/>
      <c r="D58" s="9"/>
      <c r="E58" s="9"/>
      <c r="F58" s="9"/>
      <c r="G58" s="9"/>
      <c r="H58" s="9"/>
      <c r="I58" s="9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86"/>
      <c r="B59" s="87"/>
      <c r="C59" s="9"/>
      <c r="D59" s="9"/>
      <c r="E59" s="9"/>
      <c r="F59" s="9"/>
      <c r="G59" s="9"/>
      <c r="H59" s="9"/>
      <c r="I59" s="9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86"/>
      <c r="B60" s="87"/>
      <c r="C60" s="9"/>
      <c r="D60" s="9"/>
      <c r="E60" s="9"/>
      <c r="F60" s="9"/>
      <c r="G60" s="9"/>
      <c r="H60" s="9"/>
      <c r="I60" s="89"/>
      <c r="K60" s="7"/>
      <c r="L60" s="6"/>
      <c r="M60" s="6"/>
      <c r="N60" s="29"/>
      <c r="O60" s="7"/>
      <c r="P60" s="6"/>
      <c r="Q60" s="13"/>
      <c r="R60" s="7"/>
      <c r="S60" s="7"/>
      <c r="T60" s="31"/>
      <c r="U60" s="32"/>
    </row>
    <row r="61" spans="1:48" x14ac:dyDescent="0.2">
      <c r="A61" s="86"/>
      <c r="B61" s="87"/>
      <c r="C61" s="9"/>
      <c r="D61" s="9"/>
      <c r="E61" s="9"/>
      <c r="F61" s="9"/>
      <c r="G61" s="9"/>
      <c r="H61" s="9"/>
      <c r="I61" s="9"/>
      <c r="K61" s="7"/>
      <c r="L61" s="7"/>
      <c r="M61" s="7"/>
      <c r="N61" s="7"/>
      <c r="O61" s="7"/>
      <c r="P61" s="7"/>
      <c r="Q61" s="7"/>
      <c r="R61" s="7"/>
      <c r="S61" s="7"/>
      <c r="T61" s="7"/>
      <c r="U61" s="6"/>
    </row>
    <row r="62" spans="1:48" x14ac:dyDescent="0.2">
      <c r="A62" s="86"/>
      <c r="B62" s="87"/>
      <c r="C62" s="9"/>
      <c r="D62" s="9"/>
      <c r="E62" s="9"/>
      <c r="F62" s="9"/>
      <c r="G62" s="9"/>
      <c r="H62" s="9"/>
      <c r="I62" s="89"/>
      <c r="K62" s="7"/>
      <c r="L62" s="7"/>
      <c r="M62" s="7"/>
      <c r="N62" s="7"/>
      <c r="O62" s="7"/>
      <c r="P62" s="7"/>
      <c r="Q62" s="7"/>
      <c r="R62" s="7"/>
      <c r="S62" s="7"/>
      <c r="T62" s="33"/>
      <c r="U62" s="34"/>
    </row>
    <row r="63" spans="1:48" ht="16" x14ac:dyDescent="0.2">
      <c r="A63" s="7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6"/>
      <c r="Q63" s="29"/>
      <c r="R63" s="7"/>
      <c r="S63" s="7"/>
      <c r="T63" s="6"/>
      <c r="U63" s="30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31"/>
      <c r="C69" s="31"/>
      <c r="D69" s="31"/>
      <c r="E69" s="31"/>
      <c r="F69" s="31"/>
      <c r="G69" s="31"/>
      <c r="H69" s="31"/>
      <c r="I69" s="31"/>
      <c r="J69" s="7"/>
      <c r="K69" s="7"/>
      <c r="L69" s="7"/>
      <c r="M69" s="7"/>
      <c r="N69" s="7"/>
      <c r="O69" s="7"/>
      <c r="P69" s="31"/>
      <c r="Q69" s="35"/>
      <c r="R69" s="7"/>
      <c r="S69" s="36"/>
      <c r="T69" s="31"/>
      <c r="U69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8C499CD-6151-4175-AE2A-B5682577C3CC}"/>
</file>

<file path=customXml/itemProps2.xml><?xml version="1.0" encoding="utf-8"?>
<ds:datastoreItem xmlns:ds="http://schemas.openxmlformats.org/officeDocument/2006/customXml" ds:itemID="{539AA5EB-1D05-4924-B489-4BA814B154CD}"/>
</file>

<file path=customXml/itemProps3.xml><?xml version="1.0" encoding="utf-8"?>
<ds:datastoreItem xmlns:ds="http://schemas.openxmlformats.org/officeDocument/2006/customXml" ds:itemID="{FE8B0F19-4231-4C1A-88B3-ABF168AE9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Värmland</vt:lpstr>
      <vt:lpstr>Kil</vt:lpstr>
      <vt:lpstr>Eda</vt:lpstr>
      <vt:lpstr>Torsby</vt:lpstr>
      <vt:lpstr>Storfors</vt:lpstr>
      <vt:lpstr>Hammarö</vt:lpstr>
      <vt:lpstr>Munkfors</vt:lpstr>
      <vt:lpstr>Forshaga</vt:lpstr>
      <vt:lpstr>Grums</vt:lpstr>
      <vt:lpstr>Årjäng</vt:lpstr>
      <vt:lpstr>Sunne</vt:lpstr>
      <vt:lpstr>Karlstad</vt:lpstr>
      <vt:lpstr>Kristinehamn</vt:lpstr>
      <vt:lpstr>Filipstad</vt:lpstr>
      <vt:lpstr>Hagfors</vt:lpstr>
      <vt:lpstr>Arvika</vt:lpstr>
      <vt:lpstr>Säffle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dcterms:created xsi:type="dcterms:W3CDTF">2016-02-15T22:09:51Z</dcterms:created>
  <dcterms:modified xsi:type="dcterms:W3CDTF">2017-08-31T17:35:35Z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